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SRC_Index!$F$5:$F$1455</definedName>
    <definedName function="false" hidden="false" name="IDX_SrcGrade" vbProcedure="false">SRC_Index!$E$5:$E$1455</definedName>
    <definedName function="false" hidden="false" name="IDX_SrcID" vbProcedure="false">SRC_Index!$A$5:$A$1455</definedName>
    <definedName function="false" hidden="false" name="IDX_SrcStat" vbProcedure="false">SRC_Index!$D$5:$D$1455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<sst xmlns="http://schemas.openxmlformats.org/spreadsheetml/2006/main" count="35235" uniqueCount="9980">
  <si>
    <r>
      <rPr>
        <b val="true"/>
        <sz val="13"/>
        <rFont val="Arial"/>
        <family val="0"/>
        <charset val="1"/>
      </rPr>
      <t xml:space="preserve">Tokenomics v5.35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</si>
  <si>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</si>
  <si>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</si>
  <si>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</si>
  <si>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</si>
  <si>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20261014_Tokenomics_v5.35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</si>
  <si>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</si>
  <si>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</si>
  <si>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</si>
  <si>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</si>
  <si>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</si>
  <si>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</si>
  <si>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</si>
  <si>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</si>
  <si>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</si>
  <si>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</si>
  <si>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</si>
  <si>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</si>
  <si>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</si>
  <si>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</si>
  <si>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</si>
  <si>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</si>
  <si>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</si>
  <si>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</si>
  <si>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</si>
  <si>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</si>
  <si>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</si>
  <si>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</si>
  <si>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</si>
  <si>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</si>
  <si>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</si>
  <si>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</si>
  <si>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</si>
  <si>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</si>
  <si>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</si>
  <si>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</si>
  <si>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</si>
  <si>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</si>
  <si>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</si>
  <si>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</si>
  <si>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</si>
  <si>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</si>
  <si>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</si>
  <si>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</si>
  <si>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</si>
  <si>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</si>
  <si>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</si>
  <si>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</si>
  <si>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</si>
  <si>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</si>
  <si>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</si>
  <si>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</si>
  <si>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</si>
  <si>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</si>
  <si>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</si>
  <si>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</si>
  <si>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</si>
  <si>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</si>
  <si>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</si>
  <si>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</si>
  <si>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</si>
  <si>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</si>
  <si>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</si>
  <si>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</si>
  <si>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</si>
  <si>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</si>
  <si>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</si>
  <si>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</si>
  <si>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</si>
  <si>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</si>
  <si>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</si>
  <si>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</si>
  <si>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</si>
  <si>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</si>
  <si>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</si>
  <si>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</si>
  <si>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</si>
  <si>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</si>
  <si>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</si>
  <si>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</si>
  <si>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</si>
  <si>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</si>
  <si>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</si>
  <si>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</si>
  <si>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</si>
  <si>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</si>
  <si>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</si>
  <si>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</si>
  <si>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</si>
  <si>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</si>
  <si>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</si>
  <si>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</si>
  <si>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</si>
  <si>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</si>
  <si>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</si>
  <si>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</si>
  <si>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</si>
  <si>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</si>
  <si>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</si>
  <si>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</si>
  <si>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</si>
  <si>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</si>
  <si>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</si>
  <si>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</si>
  <si>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</si>
  <si>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</si>
  <si>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</si>
  <si>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</si>
  <si>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</si>
  <si>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</si>
  <si>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</si>
  <si>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</si>
  <si>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</si>
  <si>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</si>
  <si>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</si>
  <si>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</si>
  <si>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</si>
  <si>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</si>
  <si>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</si>
  <si>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</si>
  <si>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</si>
  <si>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</si>
  <si>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</si>
  <si>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</si>
  <si>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</si>
  <si>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</si>
  <si>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</si>
  <si>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</si>
  <si>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</si>
  <si>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</si>
  <si>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</si>
  <si>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</si>
  <si>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</si>
  <si>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</si>
  <si>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</si>
  <si>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</si>
  <si>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</si>
  <si>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</si>
  <si>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</si>
  <si>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</si>
  <si>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</si>
  <si>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</si>
  <si>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</si>
  <si>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</si>
  <si>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</si>
  <si>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</si>
  <si>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</si>
  <si>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</si>
  <si>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</si>
  <si>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</si>
  <si>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</si>
  <si>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</si>
  <si>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</si>
  <si>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</si>
  <si>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</si>
  <si>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</si>
  <si>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</si>
  <si>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</si>
  <si>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</si>
  <si>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</si>
  <si>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</si>
  <si>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</si>
  <si>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</si>
  <si>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</si>
  <si>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</si>
  <si>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</si>
  <si>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</si>
  <si>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</si>
  <si>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</si>
  <si>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</si>
  <si>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</si>
  <si>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</si>
  <si>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</si>
  <si>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</si>
  <si>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</si>
  <si>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</si>
  <si>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</si>
  <si>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</si>
  <si>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</si>
  <si>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</si>
  <si>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</si>
  <si>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</si>
  <si>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</si>
  <si>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</si>
  <si>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</si>
  <si>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</si>
  <si>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</si>
  <si>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</si>
  <si>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</si>
  <si>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</si>
  <si>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</si>
  <si>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</si>
  <si>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</si>
  <si>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</si>
  <si>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</si>
  <si>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</si>
  <si>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</si>
  <si>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</si>
  <si>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</si>
  <si>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</si>
  <si>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</si>
  <si>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</si>
  <si>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</si>
  <si>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</si>
  <si>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</si>
  <si>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</si>
  <si>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</si>
  <si>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</si>
  <si>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</si>
  <si>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</si>
  <si>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</si>
  <si>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</si>
  <si>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</si>
  <si>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</si>
  <si>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</si>
  <si>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</si>
  <si>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</si>
  <si>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</si>
  <si>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</si>
  <si>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</si>
  <si>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</si>
  <si>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</si>
  <si>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</si>
  <si>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</si>
  <si>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</si>
  <si>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</si>
  <si>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</si>
  <si>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</si>
  <si>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</si>
  <si>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</si>
  <si>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</si>
  <si>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</si>
  <si>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</si>
  <si>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</si>
  <si>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</si>
  <si>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</si>
  <si>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</si>
  <si>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</si>
  <si>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</si>
  <si>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</si>
  <si>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</si>
  <si>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</si>
  <si>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</si>
  <si>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</si>
  <si>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</si>
  <si>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</si>
  <si>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</si>
  <si>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</si>
  <si>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</si>
  <si>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</si>
  <si>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</si>
  <si>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</si>
  <si>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</si>
  <si>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</si>
  <si>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</si>
  <si>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</si>
  <si>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</si>
  <si>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</si>
  <si>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</si>
  <si>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</si>
  <si>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</si>
  <si>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</si>
  <si>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</si>
  <si>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</si>
  <si>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</si>
  <si>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</si>
  <si>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</si>
  <si>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</si>
  <si>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</si>
  <si>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</si>
  <si>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</si>
  <si>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</si>
  <si>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</si>
  <si>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</si>
  <si>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</si>
  <si>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</si>
  <si>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</si>
  <si>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</si>
  <si>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</si>
  <si>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</si>
  <si>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</si>
  <si>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</si>
  <si>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</si>
  <si>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</si>
  <si>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</si>
  <si>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</si>
  <si>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</si>
  <si>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</si>
  <si>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</si>
  <si>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</si>
  <si>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</si>
  <si>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</si>
  <si>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</si>
  <si>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</si>
  <si>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</si>
  <si>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</si>
  <si>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</si>
  <si>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</si>
  <si>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</si>
  <si>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</si>
  <si>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</si>
  <si>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</si>
  <si>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</si>
  <si>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</si>
  <si>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</si>
  <si>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</si>
  <si>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</si>
  <si>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</si>
  <si>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</si>
  <si>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</si>
  <si>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</si>
  <si>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</si>
  <si>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</si>
  <si>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</si>
  <si>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</si>
  <si>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</si>
  <si>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</si>
  <si>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</si>
  <si>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</si>
  <si>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</si>
  <si>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</si>
  <si>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</si>
  <si>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</si>
  <si>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</si>
  <si>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</si>
  <si>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</si>
  <si>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</si>
  <si>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</si>
  <si>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</si>
  <si>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</si>
  <si>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</si>
  <si>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</si>
  <si>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</si>
  <si>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</si>
  <si>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</si>
  <si>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</si>
  <si>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</si>
  <si>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</si>
  <si>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</si>
  <si>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</si>
  <si>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</si>
  <si>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</si>
  <si>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</si>
  <si>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</si>
  <si>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</si>
  <si>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</si>
  <si>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</si>
  <si>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</si>
  <si>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</si>
  <si>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</si>
  <si>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</si>
  <si>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</si>
  <si>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</si>
  <si>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</si>
  <si>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</si>
  <si>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</si>
  <si>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</si>
  <si>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</si>
  <si>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</si>
  <si>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</si>
  <si>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</si>
  <si>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</si>
  <si>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</si>
  <si>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</si>
  <si>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</si>
  <si>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</si>
  <si>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</si>
  <si>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</si>
  <si>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</si>
  <si>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</si>
  <si>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</si>
  <si>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</si>
  <si>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</si>
  <si>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</si>
  <si>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</si>
  <si>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</si>
  <si>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</si>
  <si>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</si>
  <si>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</si>
  <si>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</si>
  <si>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</si>
  <si>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</si>
  <si>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</si>
  <si>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</si>
  <si>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</si>
  <si>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</si>
  <si>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</si>
  <si>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</si>
  <si>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</si>
  <si>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</si>
  <si>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</si>
  <si>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</si>
  <si>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</si>
  <si>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</si>
  <si>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</si>
  <si>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</si>
  <si>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</si>
  <si>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</si>
  <si>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</si>
  <si>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</si>
  <si>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</si>
  <si>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</si>
  <si>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</si>
  <si>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</si>
  <si>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</si>
  <si>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</si>
  <si>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</si>
  <si>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</si>
  <si>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</si>
  <si>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</si>
  <si>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</si>
  <si>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</si>
  <si>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</si>
  <si>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</si>
  <si>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</si>
  <si>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</si>
  <si>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</si>
  <si>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</si>
  <si>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</si>
  <si>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</si>
  <si>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</si>
  <si>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</si>
  <si>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</si>
  <si>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</si>
  <si>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</si>
  <si>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</si>
  <si>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</si>
  <si>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</si>
  <si>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</si>
  <si>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</si>
  <si>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</si>
  <si>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</si>
  <si>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</si>
  <si>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</si>
  <si>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</si>
  <si>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</si>
  <si>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</si>
  <si>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</si>
  <si>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</si>
  <si>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</si>
  <si>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</si>
  <si>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</si>
  <si>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</si>
  <si>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</si>
  <si>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</si>
  <si>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</si>
  <si>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</si>
  <si>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</si>
  <si>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</si>
  <si>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</si>
  <si>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</si>
  <si>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</si>
  <si>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</si>
  <si>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</si>
  <si>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</si>
  <si>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</si>
  <si>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</si>
  <si>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</si>
  <si>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</si>
  <si>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</si>
  <si>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</si>
  <si>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</si>
  <si>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</si>
  <si>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</si>
  <si>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</si>
  <si>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</si>
  <si>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</si>
  <si>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</si>
  <si>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</si>
  <si>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</si>
  <si>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</si>
  <si>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</si>
  <si>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</si>
  <si>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</si>
  <si>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</si>
  <si>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</si>
  <si>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</si>
  <si>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</si>
  <si>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</si>
  <si>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</si>
  <si>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</si>
  <si>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</si>
  <si>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</si>
  <si>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</si>
  <si>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</si>
  <si>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</si>
  <si>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</si>
  <si>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</si>
  <si>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</si>
  <si>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</si>
  <si>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</si>
  <si>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</si>
  <si>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</si>
  <si>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</si>
  <si>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</si>
  <si>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</si>
  <si>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</si>
  <si>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</si>
  <si>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</si>
  <si>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</si>
  <si>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</si>
  <si>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</si>
  <si>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</si>
  <si>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</si>
  <si>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</si>
  <si>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</si>
  <si>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</si>
  <si>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</si>
  <si>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</si>
  <si>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</si>
  <si>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</si>
  <si>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</si>
  <si>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</si>
  <si>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</si>
  <si>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</si>
  <si>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</si>
  <si>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</si>
  <si>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</si>
  <si>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</si>
  <si>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</si>
  <si>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</si>
  <si>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</si>
  <si>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</si>
  <si>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</si>
  <si>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</si>
  <si>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</si>
  <si>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</si>
  <si>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</si>
  <si>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</si>
  <si>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</si>
  <si>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</si>
  <si>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</si>
  <si>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</si>
  <si>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</si>
  <si>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</si>
  <si>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</si>
  <si>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</si>
  <si>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</si>
  <si>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</si>
  <si>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</si>
  <si>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</si>
  <si>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</si>
  <si>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</si>
  <si>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</si>
  <si>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</si>
  <si>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</si>
  <si>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</si>
  <si>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</si>
  <si>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</si>
  <si>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</si>
  <si>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</si>
  <si>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</si>
  <si>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</si>
  <si>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</si>
  <si>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</si>
  <si>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</si>
  <si>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</si>
  <si>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</si>
  <si>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</si>
  <si>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</si>
  <si>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</si>
  <si>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</si>
  <si>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</si>
  <si>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</si>
  <si>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</si>
  <si>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</si>
  <si>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</si>
  <si>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</si>
  <si>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</si>
  <si>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</si>
  <si>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</si>
  <si>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</si>
  <si>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</si>
  <si>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</si>
  <si>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</si>
  <si>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</si>
  <si>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</si>
  <si>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</si>
  <si>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</si>
  <si>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</si>
  <si>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</si>
  <si>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</si>
  <si>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</si>
  <si>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</si>
  <si>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</si>
  <si>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</si>
  <si>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</si>
  <si>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</si>
  <si>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</si>
  <si>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</si>
  <si>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</si>
  <si>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</si>
  <si>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</si>
  <si>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</si>
  <si>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</si>
  <si>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</si>
  <si>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</si>
  <si>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</si>
  <si>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</si>
  <si>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</si>
  <si>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</si>
  <si>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</si>
  <si>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</si>
  <si>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</si>
  <si>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</si>
  <si>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</si>
  <si>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</si>
  <si>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</si>
  <si>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</si>
  <si>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</si>
  <si>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</si>
  <si>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</si>
  <si>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</si>
  <si>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</si>
  <si>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</si>
  <si>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</si>
  <si>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</si>
  <si>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</si>
  <si>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</si>
  <si>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</si>
  <si>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</si>
  <si>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</si>
  <si>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</si>
  <si>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</si>
  <si>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</si>
  <si>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</si>
  <si>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</si>
  <si>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</si>
  <si>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</si>
  <si>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</si>
  <si>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</si>
  <si>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</si>
  <si>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</si>
  <si>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</si>
  <si>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</si>
  <si>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</si>
  <si>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</si>
  <si>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</si>
  <si>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</si>
  <si>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</si>
  <si>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</si>
  <si>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</si>
  <si>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</si>
  <si>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</si>
  <si>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</si>
  <si>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</si>
  <si>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</si>
  <si>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</si>
  <si>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</si>
  <si>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</si>
  <si>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</si>
  <si>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</si>
  <si>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</si>
  <si>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</si>
  <si>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</si>
  <si>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</si>
  <si>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</si>
  <si>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</si>
  <si>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</si>
  <si>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</si>
  <si>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</si>
  <si>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</si>
  <si>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</si>
  <si>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</si>
  <si>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</si>
  <si>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</si>
  <si>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</si>
  <si>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</si>
  <si>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</si>
  <si>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</si>
  <si>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</si>
  <si>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</si>
  <si>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</si>
  <si>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</si>
  <si>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</si>
  <si>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</si>
  <si>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</si>
  <si>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</si>
  <si>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</si>
  <si>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</si>
  <si>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</si>
  <si>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</si>
  <si>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</si>
  <si>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</si>
  <si>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</si>
  <si>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</si>
  <si>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</si>
  <si>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</si>
  <si>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</si>
  <si>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</si>
  <si>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</si>
  <si>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</si>
  <si>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</si>
  <si>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</si>
  <si>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</si>
  <si>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</si>
  <si>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</si>
  <si>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</si>
  <si>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</si>
  <si>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</si>
  <si>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</si>
  <si>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</si>
  <si>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</si>
  <si>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</si>
  <si>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</si>
  <si>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</si>
  <si>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</si>
  <si>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</si>
  <si>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</si>
  <si>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</si>
  <si>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</si>
  <si>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</si>
  <si>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</si>
  <si>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</si>
  <si>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</si>
  <si>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</si>
  <si>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</si>
  <si>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</si>
  <si>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</si>
  <si>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</si>
  <si>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</si>
  <si>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</si>
  <si>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</si>
  <si>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</si>
  <si>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</si>
  <si>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</si>
  <si>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</si>
  <si>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</si>
  <si>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</si>
  <si>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</si>
  <si>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</si>
  <si>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</si>
  <si>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</si>
  <si>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</si>
  <si>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</si>
  <si>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</si>
  <si>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</si>
  <si>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</si>
  <si>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</si>
  <si>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</si>
  <si>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</si>
  <si>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</si>
  <si>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</si>
  <si>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</si>
  <si>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</si>
  <si>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</si>
  <si>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</si>
  <si>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</si>
  <si>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</si>
  <si>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</si>
  <si>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</si>
  <si>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</si>
  <si>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</si>
  <si>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</si>
  <si>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</si>
  <si>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</si>
  <si>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</si>
  <si>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</si>
  <si>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</si>
  <si>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</si>
  <si>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</si>
  <si>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</si>
  <si>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</si>
  <si>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</si>
  <si>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</si>
  <si>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</si>
  <si>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</si>
  <si>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</si>
  <si>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</si>
  <si>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</si>
  <si>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</si>
  <si>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</si>
  <si>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</si>
  <si>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</si>
  <si>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</si>
  <si>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</si>
  <si>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</si>
  <si>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</si>
  <si>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</si>
  <si>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</si>
  <si>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</si>
  <si>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</si>
  <si>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</si>
  <si>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</si>
  <si>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</si>
  <si>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</si>
  <si>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</si>
  <si>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</si>
  <si>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</si>
  <si>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</si>
  <si>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</si>
  <si>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</si>
  <si>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</si>
  <si>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</si>
  <si>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</si>
  <si>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</si>
  <si>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</si>
  <si>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</si>
  <si>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</si>
  <si>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</si>
  <si>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</si>
  <si>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</si>
  <si>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</si>
  <si>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</si>
  <si>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</si>
  <si>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</si>
  <si>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</si>
  <si>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</si>
  <si>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</si>
  <si>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</si>
  <si>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</si>
  <si>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</si>
  <si>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</si>
  <si>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</si>
  <si>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</si>
  <si>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</si>
  <si>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</si>
  <si>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</si>
  <si>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</si>
  <si>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</si>
  <si>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</si>
  <si>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</si>
  <si>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</si>
  <si>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</si>
  <si>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</si>
  <si>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</si>
  <si>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</si>
  <si>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</si>
  <si>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</si>
  <si>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</si>
  <si>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</si>
  <si>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</si>
  <si>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</si>
  <si>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</si>
  <si>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</si>
  <si>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</si>
  <si>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</si>
  <si>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</si>
  <si>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</si>
  <si>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</si>
  <si>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</si>
  <si>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</si>
  <si>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</si>
  <si>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</si>
  <si>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</si>
  <si>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</si>
  <si>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</si>
  <si>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</si>
  <si>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</si>
  <si>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</si>
  <si>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</si>
  <si>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</si>
  <si>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</si>
  <si>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</si>
  <si>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</si>
  <si>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</si>
  <si>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</si>
  <si>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</si>
  <si>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</si>
  <si>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</si>
  <si>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</si>
  <si>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</si>
  <si>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</si>
  <si>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</si>
  <si>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</si>
  <si>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</si>
  <si>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</si>
  <si>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</si>
  <si>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</si>
  <si>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</si>
  <si>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</si>
  <si>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</si>
  <si>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</si>
  <si>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</si>
  <si>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</si>
  <si>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</si>
  <si>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</si>
  <si>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</si>
  <si>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</si>
  <si>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</si>
  <si>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</si>
  <si>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</si>
  <si>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</si>
  <si>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</si>
  <si>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</si>
  <si>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</si>
  <si>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</si>
  <si>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</si>
  <si>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</si>
  <si>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</si>
  <si>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</si>
  <si>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</si>
  <si>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</si>
  <si>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</si>
  <si>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</si>
  <si>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</si>
  <si>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</si>
  <si>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</si>
  <si>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</si>
  <si>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</si>
  <si>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</si>
  <si>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</si>
  <si>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</si>
  <si>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</si>
  <si>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</si>
  <si>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</si>
  <si>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</si>
  <si>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</si>
  <si>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</si>
  <si>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</si>
  <si>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</si>
  <si>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</si>
  <si>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</si>
  <si>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</si>
  <si>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</si>
  <si>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</si>
  <si>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</si>
  <si>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</si>
  <si>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</si>
  <si>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</si>
  <si>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</si>
  <si>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</si>
  <si>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</si>
  <si>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</si>
  <si>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</si>
  <si>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</si>
  <si>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</si>
  <si>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</si>
  <si>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</si>
  <si>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</si>
  <si>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</si>
  <si>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</si>
  <si>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</si>
  <si>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</si>
  <si>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</si>
  <si>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</si>
  <si>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</si>
  <si>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</si>
  <si>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</si>
  <si>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</si>
  <si>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</si>
  <si>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</si>
  <si>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</si>
  <si>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</si>
  <si>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</si>
  <si>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</si>
  <si>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</si>
  <si>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</si>
  <si>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</si>
  <si>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</si>
  <si>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</si>
  <si>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</si>
  <si>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</si>
  <si>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</si>
  <si>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</si>
  <si>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</si>
  <si>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</si>
  <si>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</si>
  <si>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</si>
  <si>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</si>
  <si>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</si>
  <si>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</si>
  <si>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</si>
  <si>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</si>
  <si>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</si>
  <si>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</si>
  <si>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</si>
  <si>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</si>
  <si>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</si>
  <si>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</si>
  <si>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</si>
  <si>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</si>
  <si>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</si>
  <si>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</si>
  <si>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</si>
  <si>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</si>
  <si>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</si>
  <si>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</si>
  <si>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</si>
  <si>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</si>
  <si>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</si>
  <si>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</si>
  <si>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</si>
  <si>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</si>
  <si>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</si>
  <si>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</si>
  <si>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</si>
  <si>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</si>
  <si>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</si>
  <si>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</si>
  <si>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</si>
  <si>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</si>
  <si>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</si>
  <si>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</si>
  <si>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</si>
  <si>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</si>
  <si>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</si>
  <si>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</si>
  <si>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</si>
  <si>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</si>
  <si>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</si>
  <si>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</si>
  <si>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</si>
  <si>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</si>
  <si>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</si>
  <si>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</si>
  <si>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</si>
  <si>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</si>
  <si>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</si>
  <si>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</si>
  <si>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</si>
  <si>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</si>
  <si>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</si>
  <si>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</si>
  <si>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</si>
  <si>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</si>
  <si>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</si>
  <si>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</si>
  <si>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</si>
  <si>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</si>
  <si>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</si>
  <si>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</si>
  <si>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</si>
  <si>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</si>
  <si>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</si>
  <si>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</si>
  <si>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</si>
  <si>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</si>
  <si>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</si>
  <si>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</si>
  <si>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</si>
  <si>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</si>
  <si>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</si>
  <si>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</si>
  <si>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</si>
  <si>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</si>
  <si>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</si>
  <si>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</si>
  <si>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</si>
  <si>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</si>
  <si>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</si>
  <si>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</si>
  <si>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</si>
  <si>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</si>
  <si>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</si>
  <si>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</si>
  <si>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</si>
  <si>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</si>
  <si>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</si>
  <si>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</si>
  <si>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</si>
  <si>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</si>
  <si>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</si>
  <si>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</si>
  <si>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</si>
  <si>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</si>
  <si>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</si>
  <si>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</si>
  <si>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</si>
  <si>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</si>
  <si>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</si>
  <si>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</si>
  <si>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</si>
  <si>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</si>
  <si>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</si>
  <si>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</si>
  <si>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</si>
  <si>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</si>
  <si>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</si>
  <si>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</si>
  <si>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</si>
  <si>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</si>
  <si>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</si>
  <si>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</si>
  <si>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</si>
  <si>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</si>
  <si>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</si>
  <si>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</si>
  <si>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</si>
  <si>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</si>
  <si>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</si>
  <si>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</si>
  <si>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</si>
  <si>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</si>
  <si>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</si>
  <si>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</si>
  <si>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</si>
  <si>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</si>
  <si>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</si>
  <si>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</si>
  <si>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</si>
  <si>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</si>
  <si>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</si>
  <si>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</si>
  <si>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</si>
  <si>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</si>
  <si>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</si>
  <si>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</si>
  <si>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</si>
  <si>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</si>
  <si>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</si>
  <si>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</si>
  <si>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</si>
  <si>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</si>
  <si>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</si>
  <si>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</si>
  <si>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</si>
  <si>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</si>
  <si>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</si>
  <si>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</si>
  <si>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</si>
  <si>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</si>
  <si>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</si>
  <si>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</si>
  <si>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</si>
  <si>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</si>
  <si>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</si>
  <si>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</si>
  <si>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</si>
  <si>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</si>
  <si>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</si>
  <si>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</si>
  <si>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</si>
  <si>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</si>
  <si>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</si>
  <si>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</si>
  <si>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</si>
  <si>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</si>
  <si>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</si>
  <si>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</si>
  <si>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</si>
  <si>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</si>
  <si>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</si>
  <si>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</si>
  <si>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</si>
  <si>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</si>
  <si>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</si>
  <si>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</si>
  <si>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</si>
  <si>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</si>
  <si>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</si>
  <si>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</si>
  <si>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</si>
  <si>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</si>
  <si>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</si>
  <si>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</si>
  <si>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</si>
  <si>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</si>
  <si>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</si>
  <si>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</si>
  <si>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</si>
  <si>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</si>
  <si>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</si>
  <si>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</si>
  <si>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</si>
  <si>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</si>
  <si>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</si>
  <si>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</si>
  <si>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</si>
  <si>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</si>
  <si>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</si>
  <si>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</si>
  <si>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</si>
  <si>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</si>
  <si>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</si>
  <si>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</si>
  <si>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</si>
  <si>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</si>
  <si>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</si>
  <si>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</si>
  <si>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</si>
  <si>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</si>
  <si>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</si>
  <si>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</si>
  <si>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</si>
  <si>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</si>
  <si>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</si>
  <si>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</si>
  <si>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</si>
  <si>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</si>
  <si>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</si>
  <si>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</si>
  <si>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</si>
  <si>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</si>
  <si>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</si>
  <si>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</si>
  <si>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</si>
  <si>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</si>
  <si>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</si>
  <si>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</si>
  <si>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</si>
  <si>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</si>
  <si>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</si>
  <si>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</si>
  <si>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</si>
  <si>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</si>
  <si>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</si>
  <si>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</si>
  <si>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</si>
  <si>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</si>
  <si>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</si>
  <si>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</si>
  <si>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</si>
  <si>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</si>
  <si>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</si>
  <si>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</si>
  <si>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</si>
  <si>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</si>
  <si>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</si>
  <si>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</si>
  <si>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</si>
  <si>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</si>
  <si>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</si>
  <si>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</si>
  <si>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</si>
  <si>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</si>
  <si>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</si>
  <si>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</si>
  <si>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</si>
  <si>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</si>
  <si>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</si>
  <si>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</si>
  <si>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</si>
  <si>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</si>
  <si>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</si>
  <si>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</si>
  <si>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</si>
  <si>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</si>
  <si>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</si>
  <si>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</si>
  <si>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</si>
  <si>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</si>
  <si>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</si>
  <si>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</si>
  <si>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</si>
  <si>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</si>
  <si>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</si>
  <si>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</si>
  <si>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</si>
  <si>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</si>
  <si>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</si>
  <si>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</si>
  <si>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</si>
  <si>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</si>
  <si>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</si>
  <si>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</si>
  <si>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</si>
  <si>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</si>
  <si>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</si>
  <si>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</si>
  <si>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</si>
  <si>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</si>
  <si>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</si>
  <si>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</si>
  <si>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</si>
  <si>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</si>
  <si>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</si>
  <si>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</si>
  <si>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</si>
  <si>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</si>
  <si>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</si>
  <si>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</si>
  <si>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</si>
  <si>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</si>
  <si>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</si>
  <si>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</si>
  <si>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</si>
  <si>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</si>
  <si>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</si>
  <si>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</si>
  <si>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</si>
  <si>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</si>
  <si>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</si>
  <si>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</si>
  <si>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</si>
  <si>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</si>
  <si>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</si>
  <si>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</si>
  <si>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</si>
  <si>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</si>
  <si>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</si>
  <si>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</si>
  <si>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</si>
  <si>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</si>
  <si>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</si>
  <si>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</si>
  <si>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</si>
  <si>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</si>
  <si>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</si>
  <si>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</si>
  <si>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</si>
  <si>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</si>
  <si>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</si>
  <si>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</si>
  <si>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</si>
  <si>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</si>
  <si>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</si>
  <si>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</si>
  <si>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</si>
  <si>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</si>
  <si>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</si>
  <si>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</si>
  <si>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</si>
  <si>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</si>
  <si>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</si>
  <si>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</si>
  <si>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</si>
  <si>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</si>
  <si>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</si>
  <si>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</si>
  <si>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</si>
  <si>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</si>
  <si>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</si>
  <si>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</si>
  <si>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</si>
  <si>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</si>
  <si>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</si>
  <si>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</si>
  <si>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</si>
  <si>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</si>
  <si>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</si>
  <si>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</si>
  <si>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</si>
  <si>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</si>
  <si>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</si>
  <si>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</si>
  <si>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</si>
  <si>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</si>
  <si>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</si>
  <si>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</si>
  <si>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</si>
  <si>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</si>
  <si>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</si>
  <si>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</si>
  <si>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</si>
  <si>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</si>
  <si>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</si>
  <si>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</si>
  <si>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</si>
  <si>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計價倍數）＝</t>
    </r>
    <r>
      <rPr>
        <sz val="10"/>
        <color rgb="FF000000"/>
        <rFont val="Arial"/>
        <family val="0"/>
        <charset val="1"/>
      </rPr>
      <t xml:space="preserve">AL_ServeGWSpend ÷ AL_SpendBasis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</si>
  <si>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SRC_DEM_018 ÷ </t>
    </r>
    <r>
      <rPr>
        <sz val="9"/>
        <color rgb="FF595959"/>
        <rFont val="Noto Sans CJK SC"/>
        <family val="2"/>
      </rPr>
      <t xml:space="preserve">世代組合持有成本）</t>
    </r>
    <r>
      <rPr>
        <sz val="9"/>
        <color rgb="FF595959"/>
        <rFont val="Arial"/>
        <family val="0"/>
        <charset val="1"/>
      </rPr>
      <t xml:space="preserve">÷ Alloc_In 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</si>
  <si>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</si>
  <si>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</si>
  <si>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</si>
  <si>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</si>
  <si>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</si>
  <si>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</si>
  <si>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</si>
  <si>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</si>
  <si>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</si>
  <si>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</si>
  <si>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</si>
  <si>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、高端取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</si>
  <si>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</si>
  <si>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</si>
  <si>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</si>
  <si>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</si>
  <si>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</si>
  <si>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</si>
  <si>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</si>
  <si>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</si>
  <si>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</si>
  <si>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</si>
  <si>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</si>
  <si>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</si>
  <si>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</si>
  <si>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</si>
  <si>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</si>
  <si>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</si>
  <si>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</si>
  <si>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</si>
  <si>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</si>
  <si>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</si>
  <si>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</si>
  <si>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</si>
  <si>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</si>
  <si>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</si>
  <si>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</si>
  <si>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</si>
  <si>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</si>
  <si>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</si>
  <si>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</si>
  <si>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</si>
  <si>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</si>
  <si>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</si>
  <si>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</si>
  <si>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</si>
  <si>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</si>
  <si>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</si>
  <si>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</si>
  <si>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</si>
  <si>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</si>
  <si>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</si>
  <si>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</si>
  <si>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</si>
  <si>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</si>
  <si>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</si>
  <si>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</si>
  <si>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</si>
  <si>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</si>
  <si>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</si>
  <si>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</si>
  <si>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</si>
  <si>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</si>
  <si>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</si>
  <si>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</si>
  <si>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</si>
  <si>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</si>
  <si>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</si>
  <si>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</si>
  <si>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</si>
  <si>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</si>
  <si>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</si>
  <si>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</si>
  <si>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</si>
  <si>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</si>
  <si>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</si>
  <si>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</si>
  <si>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</si>
  <si>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</si>
  <si>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</si>
  <si>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</si>
  <si>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</si>
  <si>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</si>
  <si>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</si>
  <si>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</si>
  <si>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</si>
  <si>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</si>
  <si>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</si>
  <si>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</si>
  <si>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</si>
  <si>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</si>
  <si>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</si>
  <si>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</si>
  <si>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</si>
  <si>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</si>
  <si>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</si>
  <si>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</si>
  <si>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</si>
  <si>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</si>
  <si>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</si>
  <si>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</si>
  <si>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</si>
  <si>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</si>
  <si>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</si>
  <si>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</si>
  <si>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</si>
  <si>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</si>
  <si>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</si>
  <si>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</si>
  <si>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</si>
  <si>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</si>
  <si>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</si>
  <si>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</si>
  <si>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</si>
  <si>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</si>
  <si>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</si>
  <si>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</si>
  <si>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</si>
  <si>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</si>
  <si>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</si>
  <si>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</si>
  <si>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</si>
  <si>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</si>
  <si>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</si>
  <si>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</si>
  <si>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</si>
  <si>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</si>
  <si>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</si>
  <si>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</si>
  <si>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</si>
  <si>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</si>
  <si>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</si>
  <si>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</si>
  <si>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</si>
  <si>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</si>
  <si>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</si>
  <si>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</si>
  <si>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</si>
  <si>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</si>
  <si>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</si>
  <si>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</si>
  <si>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</si>
  <si>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</si>
  <si>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</si>
  <si>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</si>
  <si>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</si>
  <si>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</si>
  <si>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</si>
  <si>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</si>
  <si>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</si>
  <si>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</si>
  <si>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</si>
  <si>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</si>
  <si>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</si>
  <si>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</si>
  <si>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</si>
  <si>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</si>
  <si>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</si>
  <si>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</si>
  <si>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</si>
  <si>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</si>
  <si>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</si>
  <si>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</si>
  <si>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</si>
  <si>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</si>
  <si>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</si>
  <si>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</si>
  <si>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</si>
  <si>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</si>
  <si>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</si>
  <si>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</si>
  <si>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</si>
  <si>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</si>
  <si>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</si>
  <si>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</si>
  <si>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</si>
  <si>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</si>
  <si>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</si>
  <si>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</si>
  <si>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</si>
  <si>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</si>
  <si>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</si>
  <si>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</si>
  <si>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</si>
  <si>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</si>
  <si>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</si>
  <si>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</si>
  <si>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</si>
  <si>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</si>
  <si>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SRC_DEM_018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</si>
  <si>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</si>
  <si>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</si>
  <si>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</si>
  <si>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</si>
  <si>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</si>
  <si>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</si>
  <si>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</si>
  <si>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</si>
  <si>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</si>
  <si>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</si>
  <si>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</si>
  <si>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</si>
  <si>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</si>
  <si>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</si>
  <si>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 AL_UtilActual ÷ IF_Util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</si>
  <si>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0.3929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</si>
  <si>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</si>
  <si>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</si>
  <si>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</si>
  <si>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</si>
  <si>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</si>
  <si>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</si>
  <si>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</si>
  <si>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</si>
  <si>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</si>
  <si>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</si>
  <si>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</si>
  <si>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</si>
  <si>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</si>
  <si>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</si>
  <si>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</si>
  <si>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</si>
  <si>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</si>
  <si>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</si>
  <si>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</si>
  <si>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</si>
  <si>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</si>
  <si>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</si>
  <si>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</si>
  <si>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</si>
  <si>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</si>
  <si>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</si>
  <si>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</si>
  <si>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</si>
  <si>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</si>
  <si>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</si>
  <si>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</si>
  <si>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</si>
  <si>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</si>
  <si>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</si>
  <si>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</si>
  <si>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</si>
  <si>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</si>
  <si>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</si>
  <si>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</si>
  <si>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</si>
  <si>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</si>
  <si>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</si>
  <si>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</si>
  <si>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</si>
  <si>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</si>
  <si>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</si>
  <si>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</si>
  <si>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</si>
  <si>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</si>
  <si>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</si>
  <si>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</si>
  <si>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</si>
  <si>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</si>
  <si>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</si>
  <si>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</si>
  <si>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</si>
  <si>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</si>
  <si>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</si>
  <si>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</si>
  <si>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</si>
  <si>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</si>
  <si>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</si>
  <si>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</si>
  <si>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</si>
  <si>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</si>
  <si>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</si>
  <si>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</si>
  <si>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</si>
  <si>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</si>
  <si>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</si>
  <si>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</si>
  <si>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</si>
  <si>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</si>
  <si>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</si>
  <si>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</si>
  <si>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</si>
  <si>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</si>
  <si>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</si>
  <si>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</si>
  <si>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</si>
  <si>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</si>
  <si>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</si>
  <si>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</si>
  <si>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</si>
  <si>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</si>
  <si>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</si>
  <si>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</si>
  <si>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</si>
  <si>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</si>
  <si>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</si>
  <si>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</si>
  <si>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</si>
  <si>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</si>
  <si>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</si>
  <si>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</si>
  <si>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</si>
  <si>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</si>
  <si>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</si>
  <si>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</si>
  <si>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</si>
  <si>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</si>
  <si>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</si>
  <si>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</si>
  <si>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</si>
  <si>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</si>
  <si>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</si>
  <si>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</si>
  <si>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</si>
  <si>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</si>
  <si>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</si>
  <si>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</si>
  <si>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</si>
  <si>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</si>
  <si>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</si>
  <si>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</si>
  <si>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</si>
  <si>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</si>
  <si>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</si>
  <si>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</si>
  <si>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</si>
  <si>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</si>
  <si>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</si>
  <si>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</si>
  <si>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</si>
  <si>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</si>
  <si>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</si>
  <si>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</si>
  <si>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</si>
  <si>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</si>
  <si>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</si>
  <si>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</si>
  <si>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</si>
  <si>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</si>
  <si>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</si>
  <si>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</si>
  <si>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</si>
  <si>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</si>
  <si>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</si>
  <si>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</si>
  <si>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</si>
  <si>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</si>
  <si>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</si>
  <si>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</si>
  <si>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</si>
  <si>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</si>
  <si>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</si>
  <si>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</si>
  <si>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</si>
  <si>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</si>
  <si>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</si>
  <si>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</si>
  <si>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</si>
  <si>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</si>
  <si>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</si>
  <si>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</si>
  <si>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</si>
  <si>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</si>
  <si>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</si>
  <si>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</si>
  <si>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</si>
  <si>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</si>
  <si>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</si>
  <si>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</si>
  <si>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</si>
  <si>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</si>
  <si>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</si>
  <si>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</si>
  <si>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</si>
  <si>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</si>
  <si>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</si>
  <si>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</si>
  <si>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</si>
  <si>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</si>
  <si>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</si>
  <si>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</si>
  <si>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</si>
  <si>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</si>
  <si>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</si>
  <si>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</si>
  <si>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</si>
  <si>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</si>
  <si>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</si>
  <si>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</si>
  <si>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</si>
  <si>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</si>
  <si>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</si>
  <si>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</si>
  <si>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</si>
  <si>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</si>
  <si>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</si>
  <si>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</si>
  <si>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</si>
  <si>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</si>
  <si>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</si>
  <si>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</si>
  <si>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</si>
  <si>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</si>
  <si>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</si>
  <si>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</si>
  <si>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</si>
  <si>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</si>
  <si>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</si>
  <si>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</si>
  <si>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</si>
  <si>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</si>
  <si>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</si>
  <si>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</si>
  <si>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</si>
  <si>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</si>
  <si>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</si>
  <si>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</si>
  <si>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</si>
  <si>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</si>
  <si>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</si>
  <si>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</si>
  <si>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</si>
  <si>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</si>
  <si>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</si>
  <si>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</si>
  <si>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</si>
  <si>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</si>
  <si>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</si>
  <si>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</si>
  <si>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</si>
  <si>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</si>
  <si>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</si>
  <si>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</si>
  <si>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</si>
  <si>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</si>
  <si>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</si>
  <si>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</si>
  <si>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</si>
  <si>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</si>
  <si>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</si>
  <si>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</si>
  <si>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</si>
  <si>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</si>
  <si>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</si>
  <si>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</si>
  <si>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</si>
  <si>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</si>
  <si>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</si>
  <si>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</si>
  <si>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</si>
  <si>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</si>
  <si>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</si>
  <si>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</si>
  <si>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</si>
  <si>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</si>
  <si>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</si>
  <si>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</si>
  <si>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</si>
  <si>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</si>
  <si>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</si>
  <si>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</si>
  <si>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</si>
  <si>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</si>
  <si>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</si>
  <si>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</si>
  <si>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</si>
  <si>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</si>
  <si>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</si>
  <si>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</si>
  <si>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</si>
  <si>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</si>
  <si>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</si>
  <si>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</si>
  <si>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</si>
  <si>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</si>
  <si>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</si>
  <si>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</si>
  <si>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</si>
  <si>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</si>
  <si>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</si>
  <si>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</si>
  <si>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</si>
  <si>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</si>
  <si>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</si>
  <si>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</si>
  <si>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</si>
  <si>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</si>
  <si>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</si>
  <si>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</si>
  <si>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</si>
  <si>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</si>
  <si>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</si>
  <si>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</si>
  <si>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</si>
  <si>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</si>
  <si>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</si>
  <si>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</si>
  <si>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</si>
  <si>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</si>
  <si>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</si>
  <si>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</si>
  <si>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</si>
  <si>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</si>
  <si>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</si>
  <si>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</si>
  <si>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</si>
  <si>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</si>
  <si>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</si>
  <si>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</si>
  <si>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</si>
  <si>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</si>
  <si>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</si>
  <si>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</si>
  <si>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</si>
  <si>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</si>
  <si>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</si>
  <si>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</si>
  <si>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</si>
  <si>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</si>
  <si>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</si>
  <si>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</si>
  <si>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</si>
  <si>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</si>
  <si>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</si>
  <si>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</si>
  <si>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</si>
  <si>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</si>
  <si>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</si>
  <si>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</si>
  <si>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</si>
  <si>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</si>
  <si>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</si>
  <si>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</si>
  <si>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</si>
  <si>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</si>
  <si>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</si>
  <si>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</si>
  <si>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</si>
  <si>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</si>
  <si>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</si>
  <si>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</si>
  <si>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</si>
  <si>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</si>
  <si>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</si>
  <si>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</si>
  <si>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</si>
  <si>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</si>
  <si>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</si>
  <si>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</si>
  <si>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</si>
  <si>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</si>
  <si>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</si>
  <si>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</si>
  <si>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</si>
  <si>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</si>
  <si>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</si>
  <si>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</si>
  <si>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</si>
  <si>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</si>
  <si>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</si>
  <si>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</si>
  <si>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</si>
  <si>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</si>
  <si>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</si>
  <si>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</si>
  <si>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</si>
  <si>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</si>
  <si>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</si>
  <si>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</si>
  <si>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</si>
  <si>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</si>
  <si>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</si>
  <si>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</si>
  <si>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</si>
  <si>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</si>
  <si>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</si>
  <si>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</si>
  <si>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</si>
  <si>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</si>
  <si>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</si>
  <si>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</si>
  <si>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</si>
  <si>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</si>
  <si>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</si>
  <si>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</si>
  <si>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</si>
  <si>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</si>
  <si>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</si>
  <si>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</si>
  <si>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</si>
  <si>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</si>
  <si>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</si>
  <si>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</si>
  <si>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</si>
  <si>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</si>
  <si>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</si>
  <si>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</si>
  <si>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</si>
  <si>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</si>
  <si>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</si>
  <si>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</si>
  <si>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</si>
  <si>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</si>
  <si>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</si>
  <si>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</si>
  <si>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</si>
  <si>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</si>
  <si>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</si>
  <si>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</si>
  <si>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</si>
  <si>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</si>
  <si>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</si>
  <si>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</si>
  <si>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</si>
  <si>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</si>
  <si>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</si>
  <si>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</si>
  <si>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</si>
  <si>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</si>
  <si>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</si>
  <si>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</si>
  <si>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</si>
  <si>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</si>
  <si>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</si>
  <si>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</si>
  <si>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</si>
  <si>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</si>
  <si>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</si>
  <si>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</si>
  <si>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</si>
  <si>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</si>
  <si>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</si>
  <si>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</si>
  <si>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</si>
  <si>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</si>
  <si>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</si>
  <si>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</si>
  <si>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</si>
  <si>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</si>
  <si>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</si>
  <si>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</si>
  <si>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</si>
  <si>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</si>
  <si>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</si>
  <si>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</si>
  <si>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</si>
  <si>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</si>
  <si>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</si>
  <si>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</si>
  <si>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</si>
  <si>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</si>
  <si>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</si>
  <si>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</si>
  <si>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</si>
  <si>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</si>
  <si>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</si>
  <si>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</si>
  <si>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</si>
  <si>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</si>
  <si>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</si>
  <si>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</si>
  <si>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</si>
  <si>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</si>
  <si>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</si>
  <si>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</si>
  <si>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</si>
  <si>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</si>
  <si>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</si>
  <si>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</si>
  <si>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</si>
  <si>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</si>
  <si>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</si>
  <si>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</si>
  <si>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</si>
  <si>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</si>
  <si>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</si>
  <si>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</si>
  <si>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</si>
  <si>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</si>
  <si>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</si>
  <si>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</si>
  <si>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</si>
  <si>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</si>
  <si>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</si>
  <si>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</si>
  <si>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</si>
  <si>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</si>
  <si>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</si>
  <si>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</si>
  <si>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</si>
  <si>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</si>
  <si>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</si>
  <si>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</si>
  <si>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</si>
  <si>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</si>
  <si>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</si>
  <si>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</si>
  <si>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</si>
  <si>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</si>
  <si>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</si>
  <si>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</si>
  <si>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</si>
  <si>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</si>
  <si>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</si>
  <si>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</si>
  <si>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</si>
  <si>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</si>
  <si>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</si>
  <si>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</si>
  <si>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</si>
  <si>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</si>
  <si>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</si>
  <si>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</si>
  <si>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</si>
  <si>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</si>
  <si>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</si>
  <si>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</si>
  <si>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</si>
  <si>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</si>
  <si>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</si>
  <si>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</si>
  <si>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</si>
  <si>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</si>
  <si>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</si>
  <si>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</si>
  <si>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</si>
  <si>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</si>
  <si>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</si>
  <si>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</si>
  <si>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</si>
  <si>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</si>
  <si>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</si>
  <si>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</si>
  <si>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</si>
  <si>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</si>
  <si>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</si>
  <si>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</si>
  <si>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</si>
  <si>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</si>
  <si>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</si>
  <si>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</si>
  <si>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</si>
  <si>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</si>
  <si>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</si>
  <si>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</si>
  <si>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</si>
  <si>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</si>
  <si>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同上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</si>
  <si>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</si>
  <si>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</si>
  <si>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</si>
  <si>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</si>
  <si>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</si>
  <si>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</si>
  <si>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</si>
  <si>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</si>
  <si>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</si>
  <si>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</si>
  <si>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</si>
  <si>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</si>
  <si>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</si>
  <si>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</si>
  <si>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</si>
  <si>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</si>
  <si>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</si>
  <si>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</si>
  <si>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</si>
  <si>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</si>
  <si>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</si>
  <si>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</si>
  <si>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</si>
  <si>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</si>
  <si>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</si>
  <si>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</si>
  <si>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</si>
  <si>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</si>
  <si>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</si>
  <si>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</si>
  <si>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</si>
  <si>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</si>
  <si>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</si>
  <si>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</si>
  <si>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</si>
  <si>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</si>
  <si>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</si>
  <si>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</si>
  <si>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</si>
  <si>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</si>
  <si>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</si>
  <si>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</si>
  <si>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</si>
  <si>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</si>
  <si>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</si>
  <si>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</si>
  <si>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</si>
  <si>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</si>
  <si>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</si>
  <si>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</si>
  <si>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</si>
  <si>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</si>
  <si>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</si>
  <si>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</si>
  <si>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</si>
  <si>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</si>
  <si>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</si>
  <si>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</si>
  <si>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</si>
  <si>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</si>
  <si>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</si>
  <si>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</si>
  <si>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</si>
  <si>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</si>
  <si>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</si>
  <si>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</si>
  <si>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</si>
  <si>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</si>
  <si>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</si>
  <si>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</si>
  <si>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</si>
  <si>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</si>
  <si>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</si>
  <si>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</si>
  <si>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</si>
  <si>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</si>
  <si>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</si>
  <si>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</si>
  <si>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</si>
  <si>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</si>
  <si>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</si>
  <si>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</si>
  <si>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</si>
  <si>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</si>
  <si>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</si>
  <si>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</si>
  <si>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</si>
  <si>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</si>
  <si>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</si>
  <si>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</si>
  <si>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</si>
  <si>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</si>
  <si>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</si>
  <si>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</si>
  <si>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</si>
  <si>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</si>
  <si>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</si>
  <si>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</si>
  <si>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</si>
  <si>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</si>
  <si>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</si>
  <si>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</si>
  <si>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</si>
  <si>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</si>
  <si>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</si>
  <si>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</si>
  <si>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</si>
  <si>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</si>
  <si>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</si>
  <si>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</si>
  <si>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</si>
  <si>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</si>
  <si>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</si>
  <si>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</si>
  <si>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</si>
  <si>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</si>
  <si>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</si>
  <si>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</si>
  <si>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</si>
  <si>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</si>
  <si>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</si>
  <si>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</si>
  <si>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</si>
  <si>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</si>
  <si>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</si>
  <si>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</si>
  <si>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</si>
  <si>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</si>
  <si>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</si>
  <si>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</si>
  <si>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</si>
  <si>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</si>
  <si>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</si>
  <si>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</si>
  <si>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</si>
  <si>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</si>
  <si>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</si>
  <si>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</si>
  <si>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</si>
  <si>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</si>
  <si>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</si>
  <si>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</si>
  <si>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</si>
  <si>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</si>
  <si>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</si>
  <si>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</si>
  <si>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</si>
  <si>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</si>
  <si>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</si>
  <si>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</si>
  <si>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</si>
  <si>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</si>
  <si>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</si>
  <si>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</si>
  <si>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</si>
  <si>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</si>
  <si>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</si>
  <si>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</si>
  <si>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</si>
  <si>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</si>
  <si>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</si>
  <si>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</si>
  <si>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</si>
  <si>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</si>
  <si>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</si>
  <si>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</si>
  <si>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</si>
  <si>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</si>
  <si>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</si>
  <si>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</si>
  <si>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</si>
  <si>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</si>
  <si>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</si>
  <si>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</si>
  <si>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</si>
  <si>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</si>
  <si>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</si>
  <si>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</si>
  <si>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</si>
  <si>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</si>
  <si>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</si>
  <si>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</si>
  <si>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</si>
  <si>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</si>
  <si>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</si>
  <si>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</si>
  <si>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</si>
  <si>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</si>
  <si>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</si>
  <si>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</si>
  <si>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</si>
  <si>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</si>
  <si>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</si>
  <si>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</si>
  <si>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</si>
  <si>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</si>
  <si>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</si>
  <si>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</si>
  <si>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</si>
  <si>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</si>
  <si>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</si>
  <si>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</si>
  <si>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</si>
  <si>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</si>
  <si>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</si>
  <si>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</si>
  <si>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</si>
  <si>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</si>
  <si>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</si>
  <si>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</si>
  <si>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</si>
  <si>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</si>
  <si>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</si>
  <si>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</si>
  <si>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</si>
  <si>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</si>
  <si>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</si>
  <si>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</si>
  <si>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</si>
  <si>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</si>
  <si>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</si>
  <si>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</si>
  <si>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</si>
  <si>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</si>
  <si>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</si>
  <si>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</si>
  <si>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</si>
  <si>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</si>
  <si>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</si>
  <si>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</si>
  <si>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</si>
  <si>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</si>
  <si>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</si>
  <si>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</si>
  <si>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</si>
  <si>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</si>
  <si>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</si>
  <si>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</si>
  <si>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</si>
  <si>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</si>
  <si>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</si>
  <si>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</si>
  <si>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</si>
  <si>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</si>
  <si>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</si>
  <si>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</si>
  <si>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</si>
  <si>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</si>
  <si>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</si>
  <si>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</si>
  <si>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</si>
  <si>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</si>
  <si>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</si>
  <si>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</si>
  <si>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</si>
  <si>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</si>
  <si>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</si>
  <si>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</si>
  <si>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</si>
  <si>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</si>
  <si>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</si>
  <si>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</si>
  <si>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</si>
  <si>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</si>
  <si>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</si>
  <si>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</si>
  <si>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</si>
  <si>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</si>
  <si>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</si>
  <si>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</si>
  <si>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</si>
  <si>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</si>
  <si>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</si>
  <si>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</si>
  <si>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</si>
  <si>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</si>
  <si>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</si>
  <si>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</si>
  <si>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</si>
  <si>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</si>
  <si>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</si>
  <si>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</si>
  <si>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</si>
  <si>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</si>
  <si>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</si>
  <si>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</si>
  <si>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</si>
  <si>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</si>
  <si>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</si>
  <si>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</si>
  <si>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</si>
  <si>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</si>
  <si>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</si>
  <si>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</si>
  <si>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</si>
  <si>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</si>
  <si>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</si>
  <si>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</si>
  <si>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</si>
  <si>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</si>
  <si>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</si>
  <si>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</si>
  <si>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</si>
  <si>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</si>
  <si>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</si>
  <si>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</si>
  <si>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</si>
  <si>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</si>
  <si>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</si>
  <si>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</si>
  <si>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</si>
  <si>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</si>
  <si>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</si>
  <si>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</si>
  <si>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</si>
  <si>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</si>
  <si>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</si>
  <si>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</si>
  <si>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</si>
  <si>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</si>
  <si>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</si>
  <si>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</si>
  <si>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</si>
  <si>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</si>
  <si>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</si>
  <si>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</si>
  <si>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</si>
  <si>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</si>
  <si>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</si>
  <si>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</si>
  <si>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</si>
  <si>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</si>
  <si>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</si>
  <si>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</si>
  <si>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</si>
  <si>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</si>
  <si>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</si>
  <si>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</si>
  <si>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</si>
  <si>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</si>
  <si>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</si>
  <si>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</si>
  <si>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</si>
  <si>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</si>
  <si>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</si>
  <si>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</si>
  <si>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</si>
  <si>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</si>
  <si>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</si>
  <si>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</si>
  <si>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</si>
  <si>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</si>
  <si>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</si>
  <si>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</si>
  <si>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</si>
  <si>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</si>
  <si>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</si>
  <si>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</si>
  <si>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</si>
  <si>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</si>
  <si>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</si>
  <si>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</si>
  <si>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</si>
  <si>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</si>
  <si>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</si>
  <si>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</si>
  <si>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</si>
  <si>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</si>
  <si>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</si>
  <si>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</si>
  <si>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</si>
  <si>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</si>
  <si>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</si>
  <si>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</si>
  <si>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</si>
  <si>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</si>
  <si>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</si>
  <si>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</si>
  <si>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</si>
  <si>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</si>
  <si>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</si>
  <si>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</si>
  <si>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</si>
  <si>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</si>
  <si>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</si>
  <si>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</si>
  <si>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</si>
  <si>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</si>
  <si>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</si>
  <si>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</si>
  <si>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</si>
  <si>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</si>
  <si>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</si>
  <si>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</si>
  <si>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</si>
  <si>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</si>
  <si>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</si>
  <si>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</si>
  <si>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</si>
  <si>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</si>
  <si>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</si>
  <si>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</si>
  <si>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</si>
  <si>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</si>
  <si>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</si>
  <si>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</si>
  <si>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</si>
  <si>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</si>
  <si>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</si>
  <si>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</si>
  <si>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</si>
  <si>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</si>
  <si>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</si>
  <si>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</si>
  <si>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</si>
  <si>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</si>
  <si>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</si>
  <si>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</si>
  <si>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</si>
  <si>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</si>
  <si>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</si>
  <si>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</si>
  <si>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</si>
  <si>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</si>
  <si>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</si>
  <si>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</si>
  <si>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</si>
  <si>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</si>
  <si>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</si>
  <si>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</si>
  <si>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</si>
  <si>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</si>
  <si>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</si>
  <si>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</si>
  <si>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</si>
  <si>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</si>
  <si>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</si>
  <si>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</si>
  <si>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</si>
  <si>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</si>
  <si>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</si>
  <si>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</si>
  <si>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</si>
  <si>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</si>
  <si>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</si>
  <si>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</si>
  <si>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</si>
  <si>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</si>
  <si>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</si>
  <si>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</si>
  <si>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</si>
  <si>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</si>
  <si>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</si>
  <si>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</si>
  <si>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</si>
  <si>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</si>
  <si>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</si>
  <si>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</si>
  <si>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</si>
  <si>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</si>
  <si>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</si>
  <si>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</si>
  <si>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</si>
  <si>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</si>
  <si>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</si>
  <si>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</si>
  <si>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</si>
  <si>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</si>
  <si>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</si>
  <si>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</si>
  <si>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</si>
  <si>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</si>
  <si>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</si>
  <si>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</si>
  <si>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</si>
  <si>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</si>
  <si>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</si>
  <si>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</si>
  <si>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</si>
  <si>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</si>
  <si>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</si>
  <si>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</si>
  <si>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</si>
  <si>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</si>
  <si>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</si>
  <si>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</si>
  <si>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</si>
  <si>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</si>
  <si>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</si>
  <si>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</si>
  <si>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</si>
  <si>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</si>
  <si>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</si>
  <si>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</si>
  <si>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</si>
  <si>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</si>
  <si>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</si>
  <si>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</si>
  <si>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</si>
  <si>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</si>
  <si>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</si>
  <si>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</si>
  <si>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</si>
  <si>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</si>
  <si>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</si>
  <si>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</si>
  <si>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</si>
  <si>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</si>
  <si>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</si>
  <si>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</si>
  <si>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</si>
  <si>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</si>
  <si>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</si>
  <si>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</si>
  <si>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</si>
  <si>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</si>
  <si>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</si>
  <si>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</si>
  <si>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</si>
  <si>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</si>
  <si>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</si>
  <si>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</si>
  <si>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</si>
  <si>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</si>
  <si>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</si>
  <si>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</si>
  <si>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</si>
  <si>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</si>
  <si>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</si>
  <si>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</si>
  <si>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</si>
  <si>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</si>
  <si>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</si>
  <si>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</si>
  <si>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</si>
  <si>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</si>
  <si>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</si>
  <si>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</si>
  <si>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</si>
  <si>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</si>
  <si>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</si>
  <si>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</si>
  <si>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</si>
  <si>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</si>
  <si>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</si>
  <si>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</si>
  <si>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</si>
  <si>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</si>
  <si>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</si>
  <si>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</si>
  <si>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</si>
  <si>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</si>
  <si>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</si>
  <si>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</si>
  <si>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</si>
  <si>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</si>
  <si>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</si>
  <si>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</si>
  <si>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</si>
  <si>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</si>
  <si>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</si>
  <si>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</si>
  <si>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</si>
  <si>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</si>
  <si>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</si>
  <si>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</si>
  <si>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</si>
  <si>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</si>
  <si>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</si>
  <si>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</si>
  <si>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</si>
  <si>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</si>
  <si>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</si>
  <si>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</si>
  <si>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</si>
  <si>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</si>
  <si>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</si>
  <si>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</si>
  <si>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</si>
  <si>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</si>
  <si>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</si>
  <si>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</si>
  <si>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</si>
  <si>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</si>
  <si>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</si>
  <si>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</si>
  <si>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</si>
  <si>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</si>
  <si>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</si>
  <si>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</si>
  <si>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</si>
  <si>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</si>
  <si>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</si>
  <si>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</si>
  <si>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</si>
  <si>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</si>
  <si>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</si>
  <si>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</si>
  <si>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</si>
  <si>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</si>
  <si>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</si>
  <si>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</si>
  <si>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</si>
  <si>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</si>
  <si>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</si>
  <si>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</si>
  <si>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</si>
  <si>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</si>
  <si>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</si>
  <si>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</si>
  <si>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</si>
  <si>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</si>
  <si>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</si>
  <si>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</si>
  <si>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</si>
  <si>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</si>
  <si>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</si>
  <si>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</si>
  <si>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</si>
  <si>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</si>
  <si>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</si>
  <si>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</si>
  <si>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</si>
  <si>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</si>
  <si>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</si>
  <si>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</si>
  <si>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</si>
  <si>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</si>
  <si>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</si>
  <si>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</si>
  <si>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</si>
  <si>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</si>
  <si>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</si>
  <si>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</si>
  <si>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</si>
  <si>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</si>
  <si>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</si>
  <si>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</si>
  <si>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</si>
  <si>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</si>
  <si>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</si>
  <si>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</si>
  <si>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</si>
  <si>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</si>
  <si>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</si>
  <si>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</si>
  <si>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</si>
  <si>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</si>
  <si>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</si>
  <si>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</si>
  <si>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</si>
  <si>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</si>
  <si>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</si>
  <si>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</si>
  <si>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</si>
  <si>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</si>
  <si>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</si>
  <si>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</si>
  <si>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</si>
  <si>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</si>
  <si>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</si>
  <si>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</si>
  <si>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</si>
  <si>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</si>
  <si>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</si>
  <si>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</si>
  <si>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</si>
  <si>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</si>
  <si>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</si>
  <si>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</si>
  <si>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</si>
  <si>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</si>
  <si>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</si>
  <si>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</si>
  <si>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</si>
  <si>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</si>
  <si>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</si>
  <si>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</si>
  <si>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</si>
  <si>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</si>
  <si>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</si>
  <si>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</si>
  <si>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</si>
  <si>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</si>
  <si>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</si>
  <si>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</si>
  <si>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</si>
  <si>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</si>
  <si>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</si>
  <si>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</si>
  <si>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</si>
  <si>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</si>
  <si>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</si>
  <si>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</si>
  <si>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</si>
  <si>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</si>
  <si>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</si>
  <si>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</si>
  <si>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</si>
  <si>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</si>
  <si>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</si>
  <si>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</si>
  <si>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</si>
  <si>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</si>
  <si>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</si>
  <si>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</si>
  <si>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</si>
  <si>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</si>
  <si>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</si>
  <si>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</si>
  <si>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</si>
  <si>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</si>
  <si>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</si>
  <si>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</si>
  <si>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</si>
  <si>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</si>
  <si>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</si>
  <si>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</si>
  <si>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</si>
  <si>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</si>
  <si>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</si>
  <si>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</si>
  <si>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</si>
  <si>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</si>
  <si>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</si>
  <si>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</si>
  <si>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</si>
  <si>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</si>
  <si>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</si>
  <si>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</si>
  <si>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</si>
  <si>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</si>
  <si>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</si>
  <si>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</si>
  <si>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</si>
  <si>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</si>
  <si>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</si>
  <si>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</si>
  <si>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</si>
  <si>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</si>
  <si>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</si>
  <si>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</si>
  <si>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</si>
  <si>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</si>
  <si>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</si>
  <si>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</si>
  <si>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</si>
  <si>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</si>
  <si>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</si>
  <si>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</si>
  <si>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</si>
  <si>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</si>
  <si>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</si>
  <si>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</si>
  <si>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</si>
  <si>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</si>
  <si>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</si>
  <si>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</si>
  <si>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</si>
  <si>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</si>
  <si>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</si>
  <si>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</si>
  <si>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</si>
  <si>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</si>
  <si>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</si>
  <si>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</si>
  <si>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</si>
  <si>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</si>
  <si>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</si>
  <si>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</si>
  <si>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</si>
  <si>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</si>
  <si>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</si>
  <si>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</si>
  <si>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</si>
  <si>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</si>
  <si>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</si>
  <si>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</si>
  <si>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</si>
  <si>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</si>
  <si>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</si>
  <si>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</si>
  <si>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</si>
  <si>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</si>
  <si>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</si>
  <si>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</si>
  <si>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</si>
  <si>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</si>
  <si>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</si>
  <si>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</si>
  <si>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</si>
  <si>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</si>
  <si>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</si>
  <si>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</si>
  <si>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</si>
  <si>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</si>
  <si>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</si>
  <si>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</si>
  <si>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</si>
  <si>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</si>
  <si>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</si>
  <si>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</si>
  <si>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</si>
  <si>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</si>
  <si>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</si>
  <si>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</si>
  <si>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</si>
  <si>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</si>
  <si>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</si>
  <si>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</si>
  <si>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</si>
  <si>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</si>
  <si>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</si>
  <si>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</si>
  <si>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</si>
  <si>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</si>
  <si>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</si>
  <si>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</si>
  <si>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</si>
  <si>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</si>
  <si>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</si>
  <si>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</si>
  <si>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</si>
  <si>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</si>
  <si>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</si>
  <si>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</si>
  <si>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</si>
  <si>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</si>
  <si>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</si>
  <si>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</si>
  <si>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</si>
  <si>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</si>
  <si>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</si>
  <si>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</si>
  <si>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</si>
  <si>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</si>
  <si>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</si>
  <si>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</si>
  <si>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</si>
  <si>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</si>
  <si>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</si>
  <si>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</si>
  <si>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</si>
  <si>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</si>
  <si>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</si>
  <si>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</si>
  <si>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</si>
  <si>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</si>
  <si>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</si>
  <si>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</si>
  <si>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</si>
  <si>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</si>
  <si>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</si>
  <si>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</si>
  <si>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</si>
  <si>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</si>
  <si>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</si>
  <si>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</si>
  <si>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</si>
  <si>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</si>
  <si>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</si>
  <si>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</si>
  <si>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</si>
  <si>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</si>
  <si>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</si>
  <si>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</si>
  <si>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</si>
  <si>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</si>
  <si>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</si>
  <si>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</si>
  <si>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</si>
  <si>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</si>
  <si>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</si>
  <si>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</si>
  <si>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</si>
  <si>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</si>
  <si>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</si>
  <si>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</si>
  <si>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</si>
  <si>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</si>
  <si>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</si>
  <si>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</si>
  <si>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</si>
  <si>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</si>
  <si>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</si>
  <si>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</si>
  <si>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</si>
  <si>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</si>
  <si>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</si>
  <si>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</si>
  <si>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</si>
  <si>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</si>
  <si>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</si>
  <si>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</si>
  <si>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</si>
  <si>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</si>
  <si>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</si>
  <si>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</si>
  <si>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</si>
  <si>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</si>
  <si>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</si>
  <si>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</si>
  <si>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</si>
  <si>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</si>
  <si>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</si>
  <si>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</si>
  <si>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</si>
  <si>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</si>
  <si>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</si>
  <si>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</si>
  <si>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</si>
  <si>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</si>
  <si>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</si>
  <si>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</si>
  <si>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</si>
  <si>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</si>
  <si>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</si>
  <si>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</si>
  <si>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</si>
  <si>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</si>
  <si>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</si>
  <si>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</si>
  <si>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</si>
  <si>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</si>
  <si>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</si>
  <si>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</si>
  <si>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</si>
  <si>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</si>
  <si>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</si>
  <si>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</si>
  <si>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</si>
  <si>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</si>
  <si>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</si>
  <si>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</si>
  <si>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</si>
  <si>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</si>
  <si>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</si>
  <si>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</si>
  <si>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</si>
  <si>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</si>
  <si>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</si>
  <si>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</si>
  <si>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</si>
  <si>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</si>
  <si>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</si>
  <si>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</si>
  <si>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</si>
  <si>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</si>
  <si>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</si>
  <si>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</si>
  <si>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</si>
  <si>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</si>
  <si>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</si>
  <si>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</si>
  <si>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</si>
  <si>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</si>
  <si>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</si>
  <si>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</si>
  <si>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</si>
  <si>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</si>
  <si>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</si>
  <si>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</si>
  <si>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</si>
  <si>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</si>
  <si>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</si>
  <si>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</si>
  <si>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</si>
  <si>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</si>
  <si>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</si>
  <si>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</si>
  <si>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</si>
  <si>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</si>
  <si>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</si>
  <si>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</si>
  <si>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</si>
  <si>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</si>
  <si>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</si>
  <si>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</si>
  <si>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</si>
  <si>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</si>
  <si>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</si>
  <si>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</si>
  <si>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</si>
  <si>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</si>
  <si>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</si>
  <si>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</si>
  <si>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</si>
  <si>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</si>
  <si>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</si>
  <si>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</si>
  <si>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</si>
  <si>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</si>
  <si>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</si>
  <si>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</si>
  <si>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</si>
  <si>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</si>
  <si>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</si>
  <si>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</si>
  <si>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</si>
  <si>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</si>
  <si>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</si>
  <si>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</si>
  <si>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</si>
  <si>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</si>
  <si>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</si>
  <si>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</si>
  <si>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</si>
  <si>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</si>
  <si>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</si>
  <si>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</si>
  <si>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</si>
  <si>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</si>
  <si>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</si>
  <si>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</si>
  <si>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</si>
  <si>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</si>
  <si>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</si>
  <si>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</si>
  <si>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</si>
  <si>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</si>
  <si>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</si>
  <si>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</si>
  <si>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</si>
  <si>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</si>
  <si>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</si>
  <si>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</si>
  <si>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</si>
  <si>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</si>
  <si>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</si>
  <si>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</si>
  <si>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</si>
  <si>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</si>
  <si>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</si>
  <si>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</si>
  <si>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</si>
  <si>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</si>
  <si>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</si>
  <si>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</si>
  <si>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</si>
  <si>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</si>
  <si>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</si>
  <si>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</si>
  <si>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</si>
  <si>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</si>
  <si>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</si>
  <si>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</si>
  <si>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</si>
  <si>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</si>
  <si>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</si>
  <si>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</si>
  <si>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</si>
  <si>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</si>
  <si>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</si>
  <si>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</si>
  <si>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</si>
  <si>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</si>
  <si>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</si>
  <si>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</si>
  <si>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</si>
  <si>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</si>
  <si>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</si>
  <si>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</si>
  <si>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</si>
  <si>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</si>
  <si>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</si>
  <si>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</si>
  <si>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</si>
  <si>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</si>
  <si>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</si>
  <si>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</si>
  <si>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</si>
  <si>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</si>
  <si>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</si>
  <si>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</si>
  <si>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</si>
  <si>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</si>
  <si>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</si>
  <si>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</si>
  <si>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</si>
  <si>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</si>
  <si>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</si>
  <si>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</si>
  <si>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</si>
  <si>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</si>
  <si>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</si>
  <si>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</si>
  <si>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</si>
  <si>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</si>
  <si>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</si>
  <si>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</si>
  <si>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</si>
  <si>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</si>
  <si>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</si>
  <si>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</si>
  <si>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</si>
  <si>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</si>
  <si>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</si>
  <si>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</si>
  <si>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</si>
  <si>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</si>
  <si>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</si>
  <si>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</si>
  <si>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</si>
  <si>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</si>
  <si>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</si>
  <si>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</si>
  <si>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</si>
  <si>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</si>
  <si>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</si>
  <si>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</si>
  <si>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</si>
  <si>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</si>
  <si>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</si>
  <si>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</si>
  <si>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</si>
  <si>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</si>
  <si>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</si>
  <si>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</si>
  <si>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</si>
  <si>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</si>
  <si>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</si>
  <si>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</si>
  <si>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</si>
  <si>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</si>
  <si>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</si>
  <si>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</si>
  <si>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</si>
  <si>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</si>
  <si>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</si>
  <si>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</si>
  <si>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</si>
  <si>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</si>
  <si>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</si>
  <si>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</si>
  <si>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</si>
  <si>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</si>
  <si>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</si>
  <si>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</si>
  <si>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</si>
  <si>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</si>
  <si>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</si>
  <si>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</si>
  <si>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</si>
  <si>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</si>
  <si>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</si>
  <si>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</si>
  <si>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</si>
  <si>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</si>
  <si>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</si>
  <si>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</si>
  <si>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</si>
  <si>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</si>
  <si>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</si>
  <si>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</si>
  <si>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</si>
  <si>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</si>
  <si>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</si>
  <si>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</si>
  <si>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</si>
  <si>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</si>
  <si>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</si>
  <si>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</si>
  <si>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</si>
  <si>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</si>
  <si>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</si>
  <si>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</si>
  <si>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</si>
  <si>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</si>
  <si>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</si>
  <si>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</si>
  <si>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</si>
  <si>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</si>
  <si>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</si>
  <si>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</si>
  <si>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</si>
  <si>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</si>
  <si>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</si>
  <si>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</si>
  <si>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</si>
  <si>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</si>
  <si>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</si>
  <si>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</si>
  <si>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</si>
  <si>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</si>
  <si>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</si>
  <si>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</si>
  <si>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</si>
  <si>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</si>
  <si>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</si>
  <si>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</si>
  <si>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</si>
  <si>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</si>
  <si>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</si>
  <si>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</si>
  <si>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</si>
  <si>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</si>
  <si>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</si>
  <si>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</si>
  <si>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</si>
  <si>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</si>
  <si>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</si>
  <si>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</si>
  <si>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</si>
  <si>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</si>
  <si>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</si>
  <si>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</si>
  <si>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</si>
  <si>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</si>
  <si>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</si>
  <si>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</si>
  <si>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</si>
  <si>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</si>
  <si>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</si>
  <si>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</si>
  <si>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</si>
  <si>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</si>
  <si>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</si>
  <si>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</si>
  <si>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</si>
  <si>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</si>
  <si>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</si>
  <si>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</si>
  <si>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</si>
  <si>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</si>
  <si>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</si>
  <si>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</si>
  <si>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</si>
  <si>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</si>
  <si>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</si>
  <si>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</si>
  <si>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</si>
  <si>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</si>
  <si>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</si>
  <si>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</si>
  <si>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</si>
  <si>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</si>
  <si>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</si>
  <si>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</si>
  <si>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</si>
  <si>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</si>
  <si>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</si>
  <si>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</si>
  <si>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</si>
  <si>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</si>
  <si>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</si>
  <si>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</si>
  <si>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</si>
  <si>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</si>
  <si>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</si>
  <si>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</si>
  <si>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</si>
  <si>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</si>
  <si>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</si>
  <si>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</si>
  <si>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</si>
  <si>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</si>
  <si>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</si>
  <si>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</si>
  <si>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</si>
  <si>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</si>
  <si>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</si>
  <si>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</si>
  <si>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</si>
  <si>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</si>
  <si>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</si>
  <si>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</si>
  <si>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</si>
  <si>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</si>
  <si>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</si>
  <si>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</si>
  <si>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</si>
  <si>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</si>
  <si>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</si>
  <si>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</si>
  <si>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</si>
  <si>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</si>
  <si>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</si>
  <si>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</si>
  <si>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</si>
  <si>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</si>
  <si>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</si>
  <si>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</si>
  <si>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</si>
  <si>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</si>
  <si>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</si>
  <si>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</si>
  <si>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</si>
  <si>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</si>
  <si>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</si>
  <si>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</si>
  <si>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</si>
  <si>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</si>
  <si>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</si>
  <si>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</si>
  <si>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</si>
  <si>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</si>
  <si>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</si>
  <si>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</si>
  <si>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</si>
  <si>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</si>
  <si>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</si>
  <si>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</si>
  <si>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</si>
  <si>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</si>
  <si>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</si>
  <si>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</si>
  <si>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</si>
  <si>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</si>
  <si>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</si>
  <si>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</si>
  <si>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</si>
  <si>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</si>
  <si>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</si>
  <si>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</si>
  <si>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</si>
  <si>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</si>
  <si>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</si>
  <si>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</si>
  <si>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</si>
  <si>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</si>
  <si>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</si>
  <si>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</si>
  <si>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</si>
  <si>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</si>
  <si>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</si>
  <si>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</si>
  <si>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</si>
  <si>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</si>
  <si>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</si>
  <si>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</si>
  <si>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</si>
  <si>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</si>
  <si>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</si>
  <si>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</si>
  <si>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</si>
  <si>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</si>
  <si>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</si>
  <si>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</si>
  <si>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</si>
  <si>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</si>
  <si>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</si>
  <si>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</si>
  <si>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</si>
  <si>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</si>
  <si>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</si>
  <si>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</si>
  <si>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</si>
  <si>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</si>
  <si>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</si>
  <si>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</si>
  <si>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</si>
  <si>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</si>
  <si>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</si>
  <si>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</si>
  <si>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</si>
  <si>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</si>
  <si>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</si>
  <si>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</si>
  <si>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</si>
  <si>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</si>
  <si>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</si>
  <si>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</si>
  <si>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</si>
  <si>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</si>
  <si>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</si>
  <si>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</si>
  <si>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</si>
  <si>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</si>
  <si>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</si>
  <si>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</si>
  <si>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</si>
  <si>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</si>
  <si>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</si>
  <si>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</si>
  <si>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</si>
  <si>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</si>
  <si>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</si>
  <si>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</si>
  <si>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</si>
  <si>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</si>
  <si>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</si>
  <si>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</si>
  <si>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</si>
  <si>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</si>
  <si>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</si>
  <si>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</si>
  <si>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</si>
  <si>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</si>
  <si>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</si>
  <si>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</si>
  <si>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</si>
  <si>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</si>
  <si>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</si>
  <si>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</si>
  <si>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</si>
  <si>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</si>
  <si>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</si>
  <si>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</si>
  <si>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</si>
  <si>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</si>
  <si>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</si>
  <si>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</si>
  <si>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</si>
  <si>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</si>
  <si>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</si>
  <si>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</si>
  <si>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</si>
  <si>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</si>
  <si>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</si>
  <si>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</si>
  <si>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</si>
  <si>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</si>
  <si>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</si>
  <si>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</si>
  <si>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</si>
  <si>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</si>
  <si>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</si>
  <si>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</si>
  <si>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</si>
  <si>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</si>
  <si>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</si>
  <si>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</si>
  <si>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</si>
  <si>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</si>
  <si>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</si>
  <si>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</si>
  <si>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</si>
  <si>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</si>
  <si>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</si>
  <si>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</si>
  <si>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</si>
  <si>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</si>
  <si>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</si>
  <si>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</si>
  <si>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</si>
  <si>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</si>
  <si>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</si>
  <si>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</si>
  <si>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</si>
  <si>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</si>
  <si>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</si>
  <si>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</si>
  <si>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</si>
  <si>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</si>
  <si>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</si>
  <si>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</si>
  <si>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</si>
  <si>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</si>
  <si>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</si>
  <si>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</si>
  <si>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</si>
  <si>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</si>
  <si>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</si>
  <si>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</si>
  <si>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</si>
  <si>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</si>
  <si>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</si>
  <si>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</si>
  <si>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</si>
  <si>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</si>
  <si>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</si>
  <si>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</si>
  <si>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</si>
  <si>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</si>
  <si>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</si>
  <si>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</si>
  <si>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</si>
  <si>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</si>
  <si>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</si>
  <si>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</si>
  <si>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</si>
  <si>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</si>
  <si>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</si>
  <si>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</si>
  <si>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</si>
  <si>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</si>
  <si>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</si>
  <si>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</si>
  <si>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</si>
  <si>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</si>
  <si>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</si>
  <si>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</si>
  <si>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</si>
  <si>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</si>
  <si>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</si>
  <si>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</si>
  <si>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</si>
  <si>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</si>
  <si>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</si>
  <si>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</si>
  <si>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</si>
  <si>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</si>
  <si>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</si>
  <si>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</si>
  <si>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</si>
  <si>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</si>
  <si>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</si>
  <si>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</si>
  <si>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</si>
  <si>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</si>
  <si>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</si>
  <si>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</si>
  <si>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</si>
  <si>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</si>
  <si>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</si>
  <si>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</si>
  <si>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</si>
  <si>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</si>
  <si>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</si>
  <si>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</si>
  <si>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</si>
  <si>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</si>
  <si>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</si>
  <si>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</si>
  <si>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</si>
  <si>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</si>
  <si>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</si>
  <si>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</si>
  <si>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</si>
  <si>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</si>
  <si>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</si>
  <si>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</si>
  <si>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</si>
  <si>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</si>
  <si>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</si>
  <si>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</si>
  <si>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</si>
  <si>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</si>
  <si>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</si>
  <si>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</si>
  <si>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</si>
  <si>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</si>
  <si>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</si>
  <si>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</si>
  <si>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</si>
  <si>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</si>
  <si>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</si>
  <si>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</si>
  <si>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</si>
  <si>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</si>
  <si>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</si>
  <si>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</si>
  <si>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</si>
  <si>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</si>
  <si>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</si>
  <si>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</si>
  <si>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</si>
  <si>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</si>
  <si>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</si>
  <si>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</si>
  <si>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</si>
  <si>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</si>
  <si>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</si>
  <si>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</si>
  <si>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</si>
  <si>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</si>
  <si>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</si>
  <si>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</si>
  <si>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</si>
  <si>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</si>
  <si>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</si>
  <si>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</si>
  <si>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</si>
  <si>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</si>
  <si>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</si>
  <si>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</si>
  <si>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</si>
  <si>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</si>
  <si>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</si>
  <si>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</si>
  <si>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</si>
  <si>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</si>
  <si>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</si>
  <si>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</si>
  <si>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</si>
  <si>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</si>
  <si>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</si>
  <si>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</si>
  <si>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</si>
  <si>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</si>
  <si>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</si>
  <si>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</si>
  <si>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</si>
  <si>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</si>
  <si>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</si>
  <si>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</si>
  <si>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</si>
  <si>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</si>
  <si>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</si>
  <si>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</si>
  <si>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</si>
  <si>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</si>
  <si>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</si>
  <si>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</si>
  <si>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</si>
  <si>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</si>
  <si>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</si>
  <si>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</si>
  <si>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</si>
  <si>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</si>
  <si>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</si>
  <si>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</si>
  <si>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</si>
  <si>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</si>
  <si>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</si>
  <si>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</si>
  <si>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</si>
  <si>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</si>
  <si>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</si>
  <si>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</si>
  <si>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</si>
  <si>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</si>
  <si>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</si>
  <si>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</si>
  <si>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</si>
  <si>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</si>
  <si>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</si>
  <si>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</si>
  <si>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</si>
  <si>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</si>
  <si>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</si>
  <si>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</si>
  <si>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</si>
  <si>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</si>
  <si>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</si>
  <si>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</si>
  <si>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</si>
  <si>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</si>
  <si>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</si>
  <si>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</si>
  <si>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</si>
  <si>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</si>
  <si>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</si>
  <si>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</si>
  <si>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</si>
  <si>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</si>
  <si>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</si>
  <si>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</si>
  <si>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</si>
  <si>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</si>
  <si>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</si>
  <si>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</si>
  <si>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</si>
  <si>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</si>
  <si>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</si>
  <si>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</si>
  <si>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</si>
  <si>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</si>
  <si>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</si>
  <si>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</si>
  <si>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</si>
  <si>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</si>
  <si>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</si>
  <si>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</si>
  <si>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</si>
  <si>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</si>
  <si>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</si>
  <si>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</si>
  <si>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</si>
  <si>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</si>
  <si>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</si>
  <si>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</si>
  <si>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</si>
  <si>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</si>
  <si>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</si>
  <si>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</si>
  <si>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</si>
  <si>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</si>
  <si>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</si>
  <si>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</si>
  <si>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</si>
  <si>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</si>
  <si>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</si>
  <si>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</si>
  <si>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</si>
  <si>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</si>
  <si>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</si>
  <si>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</si>
  <si>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</si>
  <si>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</si>
  <si>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</si>
  <si>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</si>
  <si>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</si>
  <si>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</si>
  <si>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</si>
  <si>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</si>
  <si>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</si>
  <si>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</si>
  <si>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</si>
  <si>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</si>
  <si>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</si>
  <si>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</si>
  <si>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</si>
  <si>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</si>
  <si>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</si>
  <si>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</si>
  <si>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</si>
  <si>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</si>
  <si>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</si>
  <si>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</si>
  <si>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</si>
  <si>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</si>
  <si>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</si>
  <si>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</si>
  <si>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</si>
  <si>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</si>
  <si>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</si>
  <si>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</si>
  <si>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</si>
  <si>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</si>
  <si>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</si>
  <si>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</si>
  <si>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</si>
  <si>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</si>
  <si>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</si>
  <si>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</si>
  <si>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</si>
  <si>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</si>
  <si>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</si>
  <si>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</si>
  <si>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</si>
  <si>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</si>
  <si>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</si>
  <si>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</si>
  <si>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</si>
  <si>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</si>
  <si>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</si>
  <si>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</si>
  <si>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</si>
  <si>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</si>
  <si>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</si>
  <si>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</si>
  <si>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</si>
  <si>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</si>
  <si>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</si>
  <si>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</si>
  <si>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</si>
  <si>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</si>
  <si>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</si>
  <si>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</si>
  <si>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</si>
  <si>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</si>
  <si>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</si>
  <si>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</si>
  <si>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</si>
  <si>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</si>
  <si>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</si>
  <si>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</si>
  <si>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</si>
  <si>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</si>
  <si>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</si>
  <si>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</si>
  <si>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</si>
  <si>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</si>
  <si>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</si>
  <si>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</si>
  <si>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</si>
  <si>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</si>
  <si>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</si>
  <si>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</si>
  <si>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</si>
  <si>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</si>
  <si>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</si>
  <si>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</si>
  <si>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</si>
  <si>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</si>
  <si>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</si>
  <si>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</si>
  <si>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</si>
  <si>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</si>
  <si>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</si>
  <si>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</si>
  <si>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</si>
  <si>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</si>
  <si>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</si>
  <si>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</si>
  <si>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</si>
  <si>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</si>
  <si>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</si>
  <si>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</si>
  <si>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</si>
  <si>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</si>
  <si>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</si>
  <si>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</si>
  <si>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</si>
  <si>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</si>
  <si>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</si>
  <si>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</si>
  <si>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</si>
  <si>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</si>
  <si>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</si>
  <si>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</si>
  <si>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</si>
  <si>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</si>
  <si>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</si>
  <si>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</si>
  <si>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</si>
  <si>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</si>
  <si>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</si>
  <si>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</si>
  <si>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</si>
  <si>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</si>
  <si>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</si>
  <si>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</si>
  <si>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</si>
  <si>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</si>
  <si>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</si>
  <si>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</si>
  <si>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</si>
  <si>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</si>
  <si>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</si>
  <si>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</si>
  <si>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</si>
  <si>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</si>
  <si>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</si>
  <si>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</si>
  <si>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</si>
  <si>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</si>
  <si>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</si>
  <si>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</si>
  <si>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</si>
  <si>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</si>
  <si>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</si>
  <si>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</si>
  <si>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</si>
  <si>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</si>
  <si>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</si>
  <si>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</si>
  <si>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</si>
  <si>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</si>
  <si>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</si>
  <si>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</si>
  <si>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</si>
  <si>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</si>
  <si>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</si>
  <si>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</si>
  <si>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</si>
  <si>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</si>
  <si>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</si>
  <si>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</si>
  <si>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</si>
  <si>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</si>
  <si>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</si>
  <si>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</si>
  <si>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</si>
  <si>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</si>
  <si>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</si>
  <si>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</si>
  <si>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</si>
  <si>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</si>
  <si>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</si>
  <si>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</si>
  <si>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</si>
  <si>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</si>
  <si>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</si>
  <si>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</si>
  <si>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</si>
  <si>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</si>
  <si>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</si>
  <si>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</si>
  <si>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</si>
  <si>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</si>
  <si>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</si>
  <si>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</si>
  <si>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</si>
  <si>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</si>
  <si>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</si>
  <si>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</si>
  <si>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</si>
  <si>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</si>
  <si>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</si>
  <si>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</si>
  <si>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</si>
  <si>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</si>
  <si>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</si>
  <si>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</si>
  <si>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</si>
  <si>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</si>
  <si>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</si>
  <si>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</si>
  <si>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</si>
  <si>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</si>
  <si>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</si>
  <si>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</si>
  <si>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</si>
  <si>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</si>
  <si>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</si>
  <si>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</si>
  <si>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</si>
  <si>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</si>
  <si>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</si>
  <si>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</si>
  <si>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</si>
  <si>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</si>
  <si>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</si>
  <si>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</si>
  <si>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</si>
  <si>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</si>
  <si>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</si>
  <si>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</si>
  <si>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</si>
  <si>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</si>
  <si>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</si>
  <si>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</si>
  <si>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</si>
  <si>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</si>
  <si>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</si>
  <si>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</si>
  <si>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</si>
  <si>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</si>
  <si>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</si>
  <si>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</si>
  <si>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</si>
  <si>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</si>
  <si>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</si>
  <si>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</si>
  <si>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</si>
  <si>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</si>
  <si>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</si>
  <si>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</si>
  <si>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</si>
  <si>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</si>
  <si>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</si>
  <si>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</si>
  <si>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</si>
  <si>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</si>
  <si>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</si>
  <si>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</si>
  <si>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</si>
  <si>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</si>
  <si>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</si>
  <si>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</si>
  <si>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</si>
  <si>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</si>
  <si>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</si>
  <si>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</si>
  <si>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</si>
  <si>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</si>
  <si>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</si>
  <si>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</si>
  <si>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</si>
  <si>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</si>
  <si>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</si>
  <si>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</si>
  <si>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</si>
  <si>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</si>
  <si>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</si>
  <si>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</si>
  <si>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</si>
  <si>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</si>
  <si>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</si>
  <si>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</si>
  <si>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</si>
  <si>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</si>
  <si>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</si>
  <si>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</si>
  <si>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</si>
  <si>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</si>
  <si>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</si>
  <si>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</si>
  <si>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</si>
  <si>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</si>
  <si>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</si>
  <si>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</si>
  <si>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</si>
  <si>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</si>
  <si>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</si>
  <si>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</si>
  <si>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</si>
  <si>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</si>
  <si>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</si>
  <si>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</si>
  <si>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</si>
  <si>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</si>
  <si>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</si>
  <si>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</si>
  <si>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</si>
  <si>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</si>
  <si>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</si>
  <si>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</si>
  <si>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</si>
  <si>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</si>
  <si>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</si>
  <si>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</si>
  <si>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</si>
  <si>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</si>
  <si>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</si>
  <si>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</si>
  <si>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</si>
  <si>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</si>
  <si>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</si>
  <si>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</si>
  <si>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</si>
  <si>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</si>
  <si>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</si>
  <si>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</si>
  <si>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</si>
  <si>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</si>
  <si>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</si>
  <si>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</si>
  <si>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</si>
  <si>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</si>
  <si>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</si>
  <si>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</si>
  <si>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</si>
  <si>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</si>
  <si>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</si>
  <si>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</si>
  <si>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</si>
  <si>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</si>
  <si>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</si>
  <si>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</si>
  <si>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</si>
  <si>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</si>
  <si>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</si>
  <si>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</si>
  <si>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</si>
  <si>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</si>
  <si>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</si>
  <si>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</si>
  <si>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</si>
  <si>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</si>
  <si>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</si>
  <si>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</si>
  <si>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</si>
  <si>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</si>
  <si>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</si>
  <si>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</si>
  <si>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</si>
  <si>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</si>
  <si>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</si>
  <si>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</si>
  <si>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</si>
  <si>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</si>
  <si>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</si>
  <si>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</si>
  <si>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</si>
  <si>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</si>
  <si>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</si>
  <si>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</si>
  <si>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</si>
  <si>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</si>
  <si>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</si>
  <si>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</si>
  <si>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</si>
  <si>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</si>
  <si>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</si>
  <si>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</si>
  <si>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</si>
  <si>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</si>
  <si>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</si>
  <si>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</si>
  <si>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</si>
  <si>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</si>
  <si>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</si>
  <si>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</si>
  <si>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</si>
  <si>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</si>
  <si>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</si>
  <si>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</si>
  <si>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</si>
  <si>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</si>
  <si>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</si>
  <si>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</si>
  <si>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</si>
  <si>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</si>
  <si>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</si>
  <si>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</si>
  <si>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</si>
  <si>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</si>
  <si>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</si>
  <si>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</si>
  <si>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</si>
  <si>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</si>
  <si>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</si>
  <si>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</si>
  <si>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</si>
  <si>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</si>
  <si>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</si>
  <si>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</si>
  <si>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</si>
  <si>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</si>
  <si>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</si>
  <si>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</si>
  <si>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</si>
  <si>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</si>
  <si>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</si>
  <si>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</si>
  <si>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</si>
  <si>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</si>
  <si>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</si>
  <si>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</si>
  <si>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</si>
  <si>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</si>
  <si>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</si>
  <si>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</si>
  <si>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</si>
  <si>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</si>
  <si>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</si>
  <si>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</si>
  <si>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</si>
  <si>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</si>
  <si>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</si>
  <si>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</si>
  <si>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</si>
  <si>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</si>
  <si>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</si>
  <si>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</si>
  <si>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</si>
  <si>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</si>
  <si>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</si>
  <si>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</si>
  <si>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</si>
  <si>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</si>
  <si>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</si>
  <si>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</si>
  <si>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</si>
  <si>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</si>
  <si>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</si>
  <si>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</si>
  <si>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</si>
  <si>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</si>
  <si>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</si>
  <si>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</si>
  <si>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</si>
  <si>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</si>
  <si>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</si>
  <si>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</si>
  <si>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</si>
  <si>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</si>
  <si>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</si>
  <si>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</si>
  <si>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</si>
  <si>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</si>
  <si>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</si>
  <si>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</si>
  <si>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</si>
  <si>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</si>
  <si>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</si>
  <si>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</si>
  <si>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</si>
  <si>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</si>
  <si>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</si>
  <si>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</si>
  <si>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</si>
  <si>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</si>
  <si>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</si>
  <si>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</si>
  <si>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</si>
  <si>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</si>
  <si>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</si>
  <si>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</si>
  <si>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</si>
  <si>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</si>
  <si>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</si>
  <si>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</si>
  <si>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</si>
  <si>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</si>
  <si>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</si>
  <si>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</si>
  <si>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</si>
  <si>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</si>
  <si>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</si>
  <si>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</si>
  <si>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</si>
  <si>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</si>
  <si>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</si>
  <si>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</si>
  <si>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</si>
  <si>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</si>
  <si>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</si>
  <si>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</si>
  <si>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</si>
  <si>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</si>
  <si>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</si>
  <si>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</si>
  <si>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</si>
  <si>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</si>
  <si>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</si>
  <si>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</si>
  <si>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</si>
  <si>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</si>
  <si>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</si>
  <si>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</si>
  <si>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</si>
  <si>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</si>
  <si>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</si>
  <si>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</si>
  <si>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</si>
  <si>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</si>
  <si>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</si>
  <si>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</si>
  <si>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</si>
  <si>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</si>
  <si>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</si>
  <si>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</si>
  <si>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</si>
  <si>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</si>
  <si>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</si>
  <si>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</si>
  <si>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</si>
  <si>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</si>
  <si>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</si>
  <si>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</si>
  <si>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</si>
  <si>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</si>
  <si>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</si>
  <si>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</si>
  <si>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</si>
  <si>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</si>
  <si>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</si>
  <si>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</si>
  <si>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</si>
  <si>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</si>
  <si>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</si>
  <si>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</si>
  <si>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</si>
  <si>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</si>
  <si>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</si>
  <si>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</si>
  <si>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</si>
  <si>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</si>
  <si>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</si>
  <si>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</si>
  <si>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</si>
  <si>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</si>
  <si>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</si>
  <si>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</si>
  <si>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</si>
  <si>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</si>
  <si>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</si>
  <si>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</si>
  <si>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</si>
  <si>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</si>
  <si>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</si>
  <si>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</si>
  <si>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</si>
  <si>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</si>
  <si>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</si>
  <si>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</si>
  <si>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</si>
  <si>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</si>
  <si>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</si>
  <si>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</si>
  <si>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</si>
  <si>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</si>
  <si>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</si>
  <si>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</si>
  <si>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</si>
  <si>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</si>
  <si>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</si>
  <si>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</si>
  <si>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</si>
  <si>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</si>
  <si>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</si>
  <si>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</si>
  <si>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</si>
  <si>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</si>
  <si>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</si>
  <si>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</si>
  <si>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</si>
  <si>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</si>
  <si>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</si>
  <si>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</si>
  <si>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</si>
  <si>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</si>
  <si>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</si>
  <si>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</si>
  <si>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</si>
  <si>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</si>
  <si>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</si>
  <si>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</si>
  <si>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</si>
  <si>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</si>
  <si>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</si>
  <si>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</si>
  <si>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</si>
  <si>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</si>
  <si>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</si>
  <si>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</si>
  <si>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</si>
  <si>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</si>
  <si>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</si>
  <si>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</si>
  <si>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</si>
  <si>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</si>
  <si>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</si>
  <si>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</si>
  <si>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</si>
  <si>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</si>
  <si>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</si>
  <si>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</si>
  <si>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</si>
  <si>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</si>
  <si>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</si>
  <si>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</si>
  <si>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</si>
  <si>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</si>
  <si>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</si>
  <si>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</si>
  <si>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</si>
  <si>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</si>
  <si>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</si>
  <si>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</si>
  <si>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</si>
  <si>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</si>
  <si>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</si>
  <si>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</si>
  <si>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</si>
  <si>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</si>
  <si>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</si>
  <si>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</si>
  <si>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</si>
  <si>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</si>
  <si>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</si>
  <si>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</si>
  <si>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</si>
  <si>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</si>
  <si>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</si>
  <si>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</si>
  <si>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</si>
  <si>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</si>
  <si>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</si>
  <si>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</si>
  <si>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</si>
  <si>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</si>
  <si>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</si>
  <si>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</si>
  <si>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</si>
  <si>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</si>
  <si>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</si>
  <si>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</si>
  <si>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</si>
  <si>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</si>
  <si>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</si>
  <si>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</si>
  <si>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</si>
  <si>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</si>
  <si>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</si>
  <si>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</si>
  <si>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</si>
  <si>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</si>
  <si>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</si>
  <si>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</si>
  <si>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</si>
  <si>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</si>
  <si>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</si>
  <si>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</si>
  <si>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</si>
  <si>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</si>
  <si>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</si>
  <si>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</si>
  <si>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</si>
  <si>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</si>
  <si>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</si>
  <si>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</si>
  <si>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</si>
  <si>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</si>
  <si>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</si>
  <si>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</si>
  <si>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</si>
  <si>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</si>
  <si>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</si>
  <si>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</si>
  <si>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</si>
  <si>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</si>
  <si>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</si>
  <si>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</si>
  <si>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</si>
  <si>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</si>
  <si>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</si>
  <si>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</si>
  <si>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</si>
  <si>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</si>
  <si>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</si>
  <si>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</si>
  <si>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</si>
  <si>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</si>
  <si>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</si>
  <si>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</si>
  <si>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</si>
  <si>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</si>
  <si>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</si>
  <si>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</si>
  <si>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</si>
  <si>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</si>
  <si>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</si>
  <si>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</si>
  <si>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</si>
  <si>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</si>
  <si>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</si>
  <si>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</si>
  <si>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</si>
  <si>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</si>
  <si>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</si>
  <si>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</si>
  <si>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</si>
  <si>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</si>
  <si>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</si>
  <si>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</si>
  <si>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</si>
  <si>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</si>
  <si>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</si>
  <si>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</si>
  <si>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</si>
  <si>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</si>
  <si>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</si>
  <si>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</si>
  <si>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</si>
  <si>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</si>
  <si>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</si>
  <si>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</si>
  <si>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</si>
  <si>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</si>
  <si>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</si>
  <si>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</si>
  <si>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</si>
  <si>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</si>
  <si>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</si>
  <si>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</si>
  <si>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</si>
  <si>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</si>
  <si>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</si>
  <si>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</si>
  <si>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</si>
  <si>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</si>
  <si>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</si>
  <si>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</si>
  <si>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</si>
  <si>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</si>
  <si>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</si>
  <si>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</si>
  <si>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</si>
  <si>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</si>
  <si>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</si>
  <si>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</si>
  <si>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</si>
  <si>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</si>
  <si>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</si>
  <si>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</si>
  <si>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</si>
  <si>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</si>
  <si>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</si>
  <si>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</si>
  <si>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</si>
  <si>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</si>
  <si>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</si>
  <si>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</si>
  <si>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</si>
  <si>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</si>
  <si>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</si>
  <si>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</si>
  <si>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</si>
  <si>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</si>
  <si>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</si>
  <si>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</si>
  <si>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</si>
  <si>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</si>
  <si>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</si>
  <si>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</si>
  <si>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</si>
  <si>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</si>
  <si>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</si>
  <si>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</si>
  <si>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</si>
  <si>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</si>
  <si>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</si>
  <si>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</si>
  <si>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</si>
  <si>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</si>
  <si>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</si>
  <si>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</si>
  <si>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</si>
  <si>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</si>
  <si>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</si>
  <si>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</si>
  <si>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</si>
  <si>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</si>
  <si>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</si>
  <si>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</si>
  <si>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</si>
  <si>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</si>
  <si>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</si>
  <si>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</si>
  <si>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</si>
  <si>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</si>
  <si>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</si>
  <si>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</si>
  <si>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</si>
  <si>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</si>
  <si>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</si>
  <si>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</si>
  <si>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</si>
  <si>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</si>
  <si>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</si>
  <si>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</si>
  <si>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</si>
  <si>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</si>
  <si>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</si>
  <si>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</si>
  <si>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</si>
  <si>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</si>
  <si>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</si>
  <si>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</si>
  <si>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</si>
  <si>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</si>
  <si>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</si>
  <si>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</si>
  <si>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</si>
  <si>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</si>
  <si>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</si>
  <si>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</si>
  <si>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</si>
  <si>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</si>
  <si>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</si>
  <si>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</si>
  <si>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</si>
  <si>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</si>
  <si>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</si>
  <si>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</si>
  <si>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</si>
  <si>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</si>
  <si>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</si>
  <si>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</si>
  <si>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</si>
  <si>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</si>
  <si>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</si>
  <si>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</si>
  <si>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</si>
  <si>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</si>
  <si>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</si>
  <si>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</si>
  <si>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</si>
  <si>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</si>
  <si>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</si>
  <si>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</si>
  <si>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</si>
  <si>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</si>
  <si>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</si>
  <si>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</si>
  <si>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</si>
  <si>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</si>
  <si>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</si>
  <si>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</si>
  <si>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</si>
  <si>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</si>
  <si>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</si>
  <si>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</si>
  <si>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</si>
  <si>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</si>
  <si>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</si>
  <si>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</si>
  <si>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</si>
  <si>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</si>
  <si>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</si>
  <si>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</si>
  <si>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</si>
  <si>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</si>
  <si>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</si>
  <si>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</si>
  <si>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</si>
  <si>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</si>
  <si>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</si>
  <si>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</si>
  <si>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</si>
  <si>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</si>
  <si>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</si>
  <si>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</si>
  <si>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</si>
  <si>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</si>
  <si>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</si>
  <si>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</si>
  <si>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</si>
  <si>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</si>
  <si>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</si>
  <si>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</si>
  <si>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</si>
  <si>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</si>
  <si>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</si>
  <si>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</si>
  <si>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</si>
  <si>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</si>
  <si>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</si>
  <si>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</si>
  <si>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</si>
  <si>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</si>
  <si>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</si>
  <si>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</si>
  <si>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</si>
  <si>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</si>
  <si>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</si>
  <si>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</si>
  <si>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</si>
  <si>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</si>
  <si>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</si>
  <si>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</si>
  <si>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</si>
  <si>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</si>
  <si>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</si>
  <si>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</si>
  <si>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</si>
  <si>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</si>
  <si>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</si>
  <si>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</si>
  <si>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</si>
  <si>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</si>
  <si>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</si>
  <si>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</si>
  <si>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</si>
  <si>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</si>
  <si>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</si>
  <si>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</si>
  <si>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</si>
  <si>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</si>
  <si>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</si>
  <si>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</si>
  <si>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</si>
  <si>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</si>
  <si>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</si>
  <si>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</si>
  <si>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</si>
  <si>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</si>
  <si>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</si>
  <si>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</si>
  <si>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</si>
  <si>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</si>
  <si>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</si>
  <si>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</si>
  <si>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</si>
  <si>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</si>
  <si>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</si>
  <si>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</si>
  <si>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</si>
  <si>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</si>
  <si>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</si>
  <si>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</si>
  <si>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</si>
  <si>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</si>
  <si>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</si>
  <si>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</si>
  <si>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</si>
  <si>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</si>
  <si>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</si>
  <si>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</si>
  <si>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</si>
  <si>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</si>
  <si>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</si>
  <si>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</si>
  <si>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</si>
  <si>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</si>
  <si>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</si>
  <si>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</si>
  <si>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</si>
  <si>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</si>
  <si>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</si>
  <si>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</si>
  <si>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</si>
  <si>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</si>
  <si>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</si>
  <si>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</si>
  <si>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</si>
  <si>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</si>
  <si>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</si>
  <si>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</si>
  <si>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</si>
  <si>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</si>
  <si>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</si>
  <si>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</si>
  <si>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</si>
  <si>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</si>
  <si>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</si>
  <si>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</si>
  <si>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</si>
  <si>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</si>
  <si>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</si>
  <si>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</si>
  <si>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</si>
  <si>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</si>
  <si>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</si>
  <si>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</si>
  <si>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</si>
  <si>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</si>
  <si>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</si>
  <si>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</si>
  <si>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</si>
  <si>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</si>
  <si>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</si>
  <si>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</si>
  <si>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</si>
  <si>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</si>
  <si>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</si>
  <si>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</si>
  <si>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</si>
  <si>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</si>
  <si>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</si>
  <si>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</si>
  <si>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</si>
  <si>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</si>
  <si>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</si>
  <si>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</si>
  <si>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</si>
  <si>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</si>
  <si>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</si>
  <si>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</si>
  <si>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</si>
  <si>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</si>
  <si>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</si>
  <si>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</si>
  <si>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</si>
  <si>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</si>
  <si>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</si>
  <si>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</si>
  <si>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</si>
  <si>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</si>
  <si>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</si>
  <si>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</si>
  <si>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</si>
  <si>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</si>
  <si>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</si>
  <si>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</si>
  <si>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</si>
  <si>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</si>
  <si>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</si>
  <si>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</si>
  <si>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</si>
  <si>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</si>
  <si>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</si>
  <si>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</si>
  <si>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</si>
  <si>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</si>
  <si>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</si>
  <si>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</si>
  <si>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</si>
  <si>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</si>
  <si>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</si>
  <si>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</si>
  <si>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</si>
  <si>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</si>
  <si>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</si>
  <si>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</si>
  <si>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</si>
  <si>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</si>
  <si>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</si>
  <si>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</si>
  <si>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</si>
  <si>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</si>
  <si>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</si>
  <si>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</si>
  <si>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</si>
  <si>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</si>
  <si>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</si>
  <si>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</si>
  <si>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</si>
  <si>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</si>
  <si>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</si>
  <si>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</si>
  <si>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</si>
  <si>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</si>
  <si>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</si>
  <si>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</si>
  <si>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</si>
  <si>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</si>
  <si>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</si>
  <si>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</si>
  <si>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</si>
  <si>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</si>
  <si>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</si>
  <si>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</si>
  <si>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</si>
  <si>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</si>
  <si>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</si>
  <si>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</si>
  <si>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</si>
  <si>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</si>
  <si>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</si>
  <si>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</si>
  <si>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</si>
  <si>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</si>
  <si>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</si>
  <si>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</si>
  <si>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</si>
  <si>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</si>
  <si>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</si>
  <si>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</si>
  <si>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</si>
  <si>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</si>
  <si>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</si>
  <si>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</si>
  <si>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</si>
  <si>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</si>
  <si>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</si>
  <si>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</si>
  <si>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</si>
  <si>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</si>
  <si>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</si>
  <si>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</si>
  <si>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</si>
  <si>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</si>
  <si>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</si>
  <si>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</si>
  <si>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</si>
  <si>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</si>
  <si>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</si>
  <si>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</si>
  <si>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</si>
  <si>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</si>
  <si>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</si>
  <si>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</si>
  <si>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</si>
  <si>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</si>
  <si>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</si>
  <si>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</si>
  <si>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</si>
  <si>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</si>
  <si>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</si>
  <si>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</si>
  <si>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</si>
  <si>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</si>
  <si>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</si>
  <si>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</si>
  <si>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</si>
  <si>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</si>
  <si>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</si>
  <si>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</si>
  <si>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</si>
  <si>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</si>
  <si>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</si>
  <si>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</si>
  <si>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</si>
  <si>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</si>
  <si>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</si>
  <si>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</si>
  <si>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</si>
  <si>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</si>
  <si>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</si>
  <si>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</si>
  <si>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</si>
  <si>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</si>
  <si>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</si>
  <si>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</si>
  <si>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</si>
  <si>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</si>
  <si>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</si>
  <si>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</si>
  <si>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</si>
  <si>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</si>
  <si>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</si>
  <si>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</si>
  <si>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</si>
  <si>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</si>
  <si>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</si>
  <si>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</si>
  <si>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</si>
  <si>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</si>
  <si>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</si>
  <si>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</si>
  <si>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</si>
  <si>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</si>
  <si>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</si>
  <si>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</si>
  <si>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</si>
  <si>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</si>
  <si>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</si>
  <si>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</si>
  <si>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</si>
  <si>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</si>
  <si>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</si>
  <si>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</si>
  <si>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</si>
  <si>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</si>
  <si>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</si>
  <si>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</si>
  <si>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</si>
  <si>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</si>
  <si>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</si>
  <si>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</si>
  <si>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</si>
  <si>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</si>
  <si>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</si>
  <si>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</si>
  <si>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</si>
  <si>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</si>
  <si>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</si>
  <si>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</si>
  <si>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</si>
  <si>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</si>
  <si>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</si>
  <si>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</si>
  <si>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</si>
  <si>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</si>
  <si>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</si>
  <si>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</si>
  <si>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</si>
  <si>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</si>
  <si>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</si>
  <si>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</si>
  <si>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</si>
  <si>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</si>
  <si>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</si>
  <si>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</si>
  <si>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</si>
  <si>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</si>
  <si>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</si>
  <si>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</si>
  <si>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</si>
  <si>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</si>
  <si>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</si>
  <si>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</si>
  <si>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</si>
  <si>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</si>
  <si>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</si>
  <si>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</si>
  <si>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</si>
  <si>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</si>
  <si>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</si>
  <si>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</si>
  <si>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</si>
  <si>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</si>
  <si>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</si>
  <si>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</si>
  <si>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</si>
  <si>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</si>
  <si>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</si>
  <si>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</si>
  <si>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</si>
  <si>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</si>
  <si>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</si>
  <si>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</si>
  <si>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</si>
  <si>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</si>
  <si>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</si>
  <si>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</si>
  <si>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</si>
  <si>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</si>
  <si>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</si>
  <si>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</si>
  <si>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</si>
  <si>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</si>
  <si>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</si>
  <si>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</si>
  <si>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</si>
  <si>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</si>
  <si>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</si>
  <si>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</si>
  <si>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</si>
  <si>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</si>
  <si>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</si>
  <si>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</si>
  <si>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</si>
  <si>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</si>
  <si>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</si>
  <si>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</si>
  <si>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</si>
  <si>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</si>
  <si>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</si>
  <si>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</si>
  <si>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</si>
  <si>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</si>
  <si>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</si>
  <si>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</si>
  <si>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</si>
  <si>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</si>
  <si>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</si>
  <si>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</si>
  <si>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</si>
  <si>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</si>
  <si>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</si>
  <si>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</si>
  <si>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</si>
  <si>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</si>
  <si>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</si>
  <si>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</si>
  <si>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</si>
  <si>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</si>
  <si>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</si>
  <si>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</si>
  <si>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</si>
  <si>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</si>
  <si>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</si>
  <si>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</si>
  <si>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</si>
  <si>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</si>
  <si>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</si>
  <si>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</si>
  <si>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</si>
  <si>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</si>
  <si>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</si>
  <si>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</si>
  <si>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</si>
  <si>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</si>
  <si>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</si>
  <si>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</si>
  <si>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</si>
  <si>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</si>
  <si>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</si>
  <si>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</si>
  <si>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</si>
  <si>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</si>
  <si>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</si>
  <si>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</si>
  <si>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</si>
  <si>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</si>
  <si>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</si>
  <si>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</si>
  <si>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</si>
  <si>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</si>
  <si>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</si>
  <si>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</si>
  <si>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</si>
  <si>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</si>
  <si>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</si>
  <si>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</si>
  <si>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</si>
  <si>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</si>
  <si>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</si>
  <si>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</si>
  <si>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</si>
  <si>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</si>
  <si>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</si>
  <si>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</si>
  <si>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</si>
  <si>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</si>
  <si>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</si>
  <si>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</si>
  <si>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</si>
  <si>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</si>
  <si>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</si>
  <si>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</si>
  <si>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</si>
  <si>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</si>
  <si>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</si>
  <si>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</si>
  <si>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</si>
  <si>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</si>
  <si>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</si>
  <si>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</si>
  <si>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</si>
  <si>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</si>
  <si>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</si>
  <si>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</si>
  <si>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</si>
  <si>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</si>
  <si>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</si>
  <si>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</si>
  <si>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</si>
  <si>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</si>
  <si>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</si>
  <si>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</si>
  <si>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</si>
  <si>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</si>
  <si>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</si>
  <si>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</si>
  <si>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</si>
  <si>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</si>
  <si>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</si>
  <si>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</si>
  <si>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</si>
  <si>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</si>
  <si>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</si>
  <si>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</si>
  <si>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</si>
  <si>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</si>
  <si>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</si>
  <si>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</si>
  <si>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</si>
  <si>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</si>
  <si>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</si>
  <si>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</si>
  <si>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</si>
  <si>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</si>
  <si>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</si>
  <si>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</si>
  <si>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</si>
  <si>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</si>
  <si>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</si>
  <si>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</si>
  <si>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</si>
  <si>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</si>
  <si>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</si>
  <si>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</si>
  <si>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</si>
  <si>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</si>
  <si>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</si>
  <si>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</si>
  <si>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</si>
  <si>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</si>
  <si>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</si>
  <si>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</si>
  <si>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</si>
  <si>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</si>
  <si>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</si>
  <si>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</si>
  <si>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</si>
  <si>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</si>
  <si>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</si>
  <si>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</si>
  <si>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</si>
  <si>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</si>
  <si>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</si>
  <si>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</si>
  <si>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</si>
  <si>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</si>
  <si>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</si>
  <si>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</si>
  <si>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</si>
  <si>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</si>
  <si>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</si>
  <si>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</si>
  <si>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</si>
  <si>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</si>
  <si>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</si>
  <si>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</si>
  <si>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</si>
  <si>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</si>
  <si>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</si>
  <si>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</si>
  <si>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</si>
  <si>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</si>
  <si>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</si>
  <si>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</si>
  <si>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</si>
  <si>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</si>
  <si>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</si>
  <si>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</si>
  <si>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</si>
  <si>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</si>
  <si>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</si>
  <si>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</si>
  <si>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</si>
  <si>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</si>
  <si>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</si>
  <si>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</si>
  <si>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</si>
  <si>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</si>
  <si>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</si>
  <si>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</si>
  <si>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</si>
  <si>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</si>
  <si>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</si>
  <si>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</si>
  <si>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</si>
  <si>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</si>
  <si>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</si>
  <si>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</si>
  <si>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</si>
  <si>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</si>
  <si>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</si>
  <si>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</si>
  <si>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</si>
  <si>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</si>
  <si>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</si>
  <si>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</si>
  <si>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</si>
  <si>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</si>
  <si>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</si>
  <si>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</si>
  <si>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</si>
  <si>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</si>
  <si>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</si>
  <si>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</si>
  <si>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</si>
  <si>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</si>
  <si>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</si>
  <si>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</si>
  <si>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</si>
  <si>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</si>
  <si>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</si>
  <si>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</si>
  <si>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</si>
  <si>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</si>
  <si>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</si>
  <si>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</si>
  <si>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</si>
  <si>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</si>
  <si>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</si>
  <si>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</si>
  <si>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</si>
  <si>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</si>
  <si>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</si>
  <si>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</si>
  <si>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</si>
  <si>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</si>
  <si>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</si>
  <si>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</si>
  <si>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</si>
  <si>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</si>
  <si>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</si>
  <si>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</si>
  <si>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</si>
  <si>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</si>
  <si>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</si>
  <si>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</si>
  <si>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</si>
  <si>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</si>
  <si>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</si>
  <si>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</si>
  <si>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</si>
  <si>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</si>
  <si>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</si>
  <si>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</si>
  <si>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</si>
  <si>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</si>
  <si>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</si>
  <si>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</si>
  <si>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</si>
  <si>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</si>
  <si>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</si>
  <si>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</si>
  <si>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</si>
  <si>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</si>
  <si>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</si>
  <si>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</si>
  <si>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</si>
  <si>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</si>
  <si>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</si>
  <si>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</si>
  <si>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</si>
  <si>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</si>
  <si>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</si>
  <si>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</si>
  <si>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</si>
  <si>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</si>
  <si>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</si>
  <si>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</si>
  <si>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</si>
  <si>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</si>
  <si>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</si>
  <si>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</si>
  <si>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</si>
  <si>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</si>
  <si>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</si>
  <si>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</si>
  <si>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</si>
  <si>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</si>
  <si>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</si>
  <si>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</si>
  <si>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</si>
  <si>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</si>
  <si>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</si>
  <si>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</si>
  <si>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</si>
  <si>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</si>
  <si>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</si>
  <si>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</si>
  <si>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</si>
  <si>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</si>
  <si>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</si>
  <si>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</si>
  <si>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</si>
  <si>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</si>
  <si>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</si>
  <si>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</si>
  <si>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</si>
  <si>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</si>
  <si>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</si>
  <si>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</si>
  <si>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</si>
  <si>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</si>
  <si>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</si>
  <si>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</si>
  <si>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</si>
  <si>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</si>
  <si>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</si>
  <si>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</si>
  <si>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</si>
  <si>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</si>
  <si>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</si>
  <si>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</si>
  <si>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</si>
  <si>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</si>
  <si>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</si>
  <si>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</si>
  <si>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</si>
  <si>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</si>
  <si>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</si>
  <si>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</si>
  <si>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</si>
  <si>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</si>
  <si>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</si>
  <si>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</si>
  <si>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</si>
  <si>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</si>
  <si>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</si>
  <si>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</si>
  <si>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</si>
  <si>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</si>
  <si>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</si>
  <si>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</si>
  <si>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</si>
  <si>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</si>
  <si>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</si>
  <si>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</si>
  <si>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</si>
  <si>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</si>
  <si>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</si>
  <si>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</si>
  <si>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</si>
  <si>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</si>
  <si>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</si>
  <si>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</si>
  <si>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</si>
  <si>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</si>
  <si>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</si>
  <si>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</si>
  <si>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</si>
  <si>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</si>
  <si>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</si>
  <si>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</si>
  <si>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</si>
  <si>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</si>
  <si>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</si>
  <si>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</si>
  <si>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</si>
  <si>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</si>
  <si>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</si>
  <si>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</si>
  <si>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</si>
  <si>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</si>
  <si>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</si>
  <si>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</si>
  <si>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</si>
  <si>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</si>
  <si>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</si>
  <si>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</si>
  <si>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</si>
  <si>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</si>
  <si>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</si>
  <si>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</si>
  <si>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</si>
  <si>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</si>
  <si>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</si>
  <si>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</si>
  <si>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</si>
  <si>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</si>
  <si>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</si>
  <si>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</si>
  <si>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</si>
  <si>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</si>
  <si>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</si>
  <si>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</si>
  <si>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</si>
  <si>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</si>
  <si>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</si>
  <si>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</si>
  <si>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</si>
  <si>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</si>
  <si>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</si>
  <si>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</si>
  <si>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</si>
  <si>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</si>
  <si>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</si>
  <si>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</si>
  <si>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</si>
  <si>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</si>
  <si>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</si>
  <si>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</si>
  <si>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</si>
  <si>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</si>
  <si>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</si>
  <si>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</si>
  <si>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</si>
  <si>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</si>
  <si>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</si>
  <si>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</si>
  <si>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</si>
  <si>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</si>
  <si>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</si>
  <si>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</si>
  <si>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</si>
  <si>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</si>
  <si>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</si>
  <si>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</si>
  <si>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</si>
  <si>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</si>
  <si>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</si>
  <si>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</si>
  <si>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</si>
  <si>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</si>
  <si>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</si>
  <si>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</si>
  <si>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</si>
  <si>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</si>
  <si>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</si>
  <si>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</si>
  <si>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</si>
  <si>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</si>
  <si>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</si>
  <si>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</si>
  <si>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</si>
  <si>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</si>
  <si>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</si>
  <si>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</si>
  <si>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</si>
  <si>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</si>
  <si>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</si>
  <si>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</si>
  <si>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</si>
  <si>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</si>
  <si>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</si>
  <si>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</si>
  <si>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</si>
  <si>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</si>
  <si>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</si>
  <si>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</si>
  <si>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</si>
  <si>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</si>
  <si>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</si>
  <si>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</si>
  <si>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</si>
  <si>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</si>
  <si>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</si>
  <si>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</si>
  <si>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</si>
  <si>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</si>
  <si>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</si>
  <si>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</si>
  <si>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</si>
  <si>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</si>
  <si>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</si>
  <si>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</si>
  <si>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</si>
  <si>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</si>
  <si>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</si>
  <si>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</si>
  <si>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</si>
  <si>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</si>
  <si>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</si>
  <si>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</si>
  <si>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</si>
  <si>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</si>
  <si>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</si>
  <si>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</si>
  <si>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</si>
  <si>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</si>
  <si>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</si>
  <si>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</si>
  <si>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</si>
  <si>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</si>
  <si>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</si>
  <si>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</si>
  <si>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</si>
  <si>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</si>
  <si>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</si>
  <si>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</si>
  <si>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</si>
  <si>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</si>
  <si>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</si>
  <si>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</si>
  <si>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</si>
  <si>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</si>
  <si>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</si>
  <si>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</si>
  <si>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</si>
  <si>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</si>
  <si>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</si>
  <si>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</si>
  <si>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v5.35 L </t>
    </r>
    <r>
      <rPr>
        <sz val="10"/>
        <color rgb="FF000000"/>
        <rFont val="Noto Sans CJK SC"/>
        <family val="2"/>
      </rPr>
      <t xml:space="preserve">拆分）</t>
    </r>
  </si>
  <si>
    <t xml:space="preserve">C226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</si>
  <si>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</si>
  <si>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</si>
  <si>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</si>
  <si>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</si>
  <si>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</si>
  <si>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</si>
  <si>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</si>
  <si>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</si>
  <si>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</si>
  <si>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</si>
  <si>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</si>
  <si>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</si>
  <si>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</si>
  <si>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</si>
  <si>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</si>
  <si>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</si>
  <si>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</si>
  <si>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</si>
  <si>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</si>
  <si>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</si>
  <si>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</si>
  <si>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v5.35 m </t>
    </r>
    <r>
      <rPr>
        <sz val="10"/>
        <color rgb="FF000000"/>
        <rFont val="Noto Sans CJK SC"/>
        <family val="2"/>
      </rPr>
      <t xml:space="preserve">序列修正）</t>
    </r>
  </si>
  <si>
    <t xml:space="preserve">D186</t>
  </si>
  <si>
    <t xml:space="preserve">SRC_DEM_072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</si>
  <si>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為上線初期、</t>
    </r>
    <r>
      <rPr>
        <sz val="10"/>
        <color rgb="FF000000"/>
        <rFont val="Arial"/>
        <family val="0"/>
        <charset val="1"/>
      </rPr>
      <t xml:space="preserve">FY2026 1.0 </t>
    </r>
    <r>
      <rPr>
        <sz val="10"/>
        <color rgb="FF000000"/>
        <rFont val="Noto Sans CJK SC"/>
        <family val="2"/>
      </rPr>
      <t xml:space="preserve">為全年</t>
    </r>
  </si>
  <si>
    <t xml:space="preserve">X43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</si>
  <si>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</si>
  <si>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</si>
  <si>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</si>
  <si>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</si>
  <si>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0.3–0.8</t>
    </r>
    <r>
      <rPr>
        <sz val="10"/>
        <color rgb="FF000000"/>
        <rFont val="Noto Sans CJK SC"/>
        <family val="2"/>
      </rPr>
      <t xml:space="preserve">）</t>
    </r>
  </si>
  <si>
    <t xml:space="preserve">GM642</t>
  </si>
  <si>
    <t xml:space="preserve">F186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</si>
  <si>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）</t>
    </r>
  </si>
  <si>
    <t xml:space="preserve">GM643</t>
  </si>
  <si>
    <t xml:space="preserve">D200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</si>
  <si>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H8 0.75</t>
    </r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</si>
  <si>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</si>
  <si>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</si>
  <si>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</si>
  <si>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</si>
  <si>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</si>
  <si>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</si>
  <si>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</si>
  <si>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</si>
  <si>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</si>
  <si>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</si>
  <si>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</si>
  <si>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</si>
  <si>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</si>
  <si>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</si>
  <si>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</si>
  <si>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</si>
  <si>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</si>
  <si>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</si>
  <si>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</si>
  <si>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</si>
  <si>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</si>
  <si>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</si>
  <si>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</si>
  <si>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</si>
  <si>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</si>
  <si>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</si>
  <si>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</si>
  <si>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</si>
  <si>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</si>
  <si>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</si>
  <si>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</si>
  <si>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</si>
  <si>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</si>
  <si>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</si>
  <si>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</si>
  <si>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</si>
  <si>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</si>
  <si>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</si>
  <si>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</si>
  <si>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</si>
  <si>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</si>
  <si>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</si>
  <si>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</si>
  <si>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</si>
  <si>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</si>
  <si>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</si>
  <si>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</si>
  <si>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</si>
  <si>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</si>
  <si>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</si>
  <si>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</si>
  <si>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</si>
  <si>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</si>
  <si>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</si>
  <si>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</si>
  <si>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</si>
  <si>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</si>
  <si>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</si>
  <si>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</si>
  <si>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</si>
  <si>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</si>
  <si>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</si>
  <si>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</si>
  <si>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</si>
  <si>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</si>
  <si>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</si>
  <si>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</si>
  <si>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</si>
  <si>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</si>
  <si>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</si>
  <si>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</si>
  <si>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</si>
  <si>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</si>
  <si>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</si>
  <si>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</si>
  <si>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</si>
  <si>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</si>
  <si>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</si>
  <si>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</si>
  <si>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</si>
  <si>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</si>
  <si>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</si>
  <si>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</si>
  <si>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</si>
  <si>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</si>
  <si>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</si>
  <si>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</si>
  <si>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</si>
  <si>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</si>
  <si>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</si>
  <si>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</si>
  <si>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</si>
  <si>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</si>
  <si>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</si>
  <si>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</si>
  <si>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</si>
  <si>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</si>
  <si>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</si>
  <si>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</si>
  <si>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</si>
  <si>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</si>
  <si>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</si>
  <si>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</si>
  <si>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</si>
  <si>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</si>
  <si>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</si>
  <si>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</si>
  <si>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</si>
  <si>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</si>
  <si>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</si>
  <si>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</si>
  <si>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</si>
  <si>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</si>
  <si>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</si>
  <si>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</si>
  <si>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</si>
  <si>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</si>
  <si>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</si>
  <si>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</si>
  <si>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</si>
  <si>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</si>
  <si>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</si>
  <si>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</si>
  <si>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</si>
  <si>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</si>
  <si>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</si>
  <si>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</si>
  <si>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</si>
  <si>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</si>
  <si>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</si>
  <si>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</si>
  <si>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</si>
  <si>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</si>
  <si>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</si>
  <si>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</si>
  <si>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</si>
  <si>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</si>
  <si>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</si>
  <si>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</si>
  <si>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</si>
  <si>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</si>
  <si>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</si>
  <si>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</si>
  <si>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</si>
  <si>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</si>
  <si>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</si>
  <si>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</si>
  <si>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</si>
  <si>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</si>
  <si>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</si>
  <si>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</si>
  <si>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</si>
  <si>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</si>
  <si>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</si>
  <si>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</si>
  <si>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</si>
  <si>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</si>
  <si>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</si>
  <si>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</si>
  <si>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</si>
  <si>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</si>
  <si>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</si>
  <si>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</si>
  <si>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</si>
  <si>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</si>
  <si>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</si>
  <si>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</si>
  <si>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</si>
  <si>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</si>
  <si>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</si>
  <si>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</si>
  <si>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</si>
  <si>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</si>
  <si>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</si>
  <si>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</si>
  <si>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</si>
  <si>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</si>
  <si>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</si>
  <si>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</si>
  <si>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</si>
  <si>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</si>
  <si>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</si>
  <si>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</si>
  <si>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</si>
  <si>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</si>
  <si>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</si>
  <si>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</si>
  <si>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</si>
  <si>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</si>
  <si>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</si>
  <si>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</si>
  <si>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</si>
  <si>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</si>
  <si>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</si>
  <si>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</si>
  <si>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</si>
  <si>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</si>
  <si>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</si>
  <si>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</si>
  <si>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</si>
  <si>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</si>
  <si>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</si>
  <si>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</si>
  <si>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</si>
  <si>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</si>
  <si>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</si>
  <si>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</si>
  <si>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</si>
  <si>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</si>
  <si>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</si>
  <si>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</si>
  <si>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</si>
  <si>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</si>
  <si>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</si>
  <si>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</si>
  <si>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</si>
  <si>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</si>
  <si>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</si>
  <si>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</si>
  <si>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</si>
  <si>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</si>
  <si>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</si>
  <si>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</si>
  <si>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</si>
  <si>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</si>
  <si>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</si>
  <si>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</si>
  <si>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</si>
  <si>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</si>
  <si>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</si>
  <si>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</si>
  <si>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</si>
  <si>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</si>
  <si>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</si>
  <si>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</si>
  <si>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</si>
  <si>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</si>
  <si>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</si>
  <si>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</si>
  <si>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</si>
  <si>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</si>
  <si>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</si>
  <si>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</si>
  <si>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</si>
  <si>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</si>
  <si>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</si>
  <si>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</si>
  <si>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</si>
  <si>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</si>
  <si>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</si>
  <si>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</si>
  <si>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</si>
  <si>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</si>
  <si>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</si>
  <si>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</si>
  <si>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</si>
  <si>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</si>
  <si>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</si>
  <si>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</si>
  <si>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</si>
  <si>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</si>
  <si>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</si>
  <si>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</si>
  <si>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</si>
  <si>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</si>
  <si>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</si>
  <si>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</si>
  <si>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</si>
  <si>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</si>
  <si>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</si>
  <si>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</si>
  <si>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</si>
  <si>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</si>
  <si>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</si>
  <si>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</si>
  <si>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</si>
  <si>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</si>
  <si>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</si>
  <si>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</si>
  <si>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</si>
  <si>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</si>
  <si>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</si>
  <si>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</si>
  <si>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</si>
  <si>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</si>
  <si>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</si>
  <si>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</si>
  <si>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</si>
  <si>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</si>
  <si>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</si>
  <si>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</si>
  <si>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</si>
  <si>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</si>
  <si>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</si>
  <si>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</si>
  <si>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</si>
  <si>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</si>
  <si>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</si>
  <si>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</si>
  <si>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</si>
  <si>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</si>
  <si>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</si>
  <si>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</si>
  <si>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</si>
  <si>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</si>
  <si>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</si>
  <si>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</si>
  <si>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</si>
  <si>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</si>
  <si>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</si>
  <si>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</si>
  <si>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</si>
  <si>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</si>
  <si>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</si>
  <si>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</si>
  <si>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</si>
  <si>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</si>
  <si>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</si>
  <si>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</si>
  <si>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</si>
  <si>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</si>
  <si>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</si>
  <si>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</si>
  <si>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</si>
  <si>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</si>
  <si>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</si>
  <si>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</si>
  <si>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</si>
  <si>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</si>
  <si>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</si>
  <si>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</si>
  <si>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</si>
  <si>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</si>
  <si>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</si>
  <si>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</si>
  <si>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</si>
  <si>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</si>
  <si>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</si>
  <si>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</si>
  <si>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</si>
  <si>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</si>
  <si>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</si>
  <si>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</si>
  <si>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</si>
  <si>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</si>
  <si>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</si>
  <si>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</si>
  <si>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</si>
  <si>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</si>
  <si>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</si>
  <si>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</si>
  <si>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</si>
  <si>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</si>
  <si>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</si>
  <si>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</si>
  <si>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</si>
  <si>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</si>
  <si>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</si>
  <si>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</si>
  <si>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</si>
  <si>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</si>
  <si>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</si>
  <si>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</si>
  <si>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</si>
  <si>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</si>
  <si>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</si>
  <si>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</si>
  <si>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</si>
  <si>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</si>
  <si>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</si>
  <si>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</si>
  <si>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</si>
  <si>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</si>
  <si>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</si>
  <si>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</si>
  <si>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</si>
  <si>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</si>
  <si>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</si>
  <si>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</si>
  <si>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</si>
  <si>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</si>
  <si>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</si>
  <si>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</si>
  <si>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</si>
  <si>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</si>
  <si>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</si>
  <si>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</si>
  <si>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</si>
  <si>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</si>
  <si>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</si>
  <si>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</si>
  <si>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</si>
  <si>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</si>
  <si>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</si>
  <si>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</si>
  <si>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</si>
  <si>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</si>
  <si>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</si>
  <si>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</si>
  <si>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</si>
  <si>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</si>
  <si>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</si>
  <si>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</si>
  <si>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</si>
  <si>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</si>
  <si>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</si>
  <si>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</si>
  <si>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</si>
  <si>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</si>
  <si>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</si>
  <si>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</si>
  <si>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</si>
  <si>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</si>
  <si>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</si>
  <si>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</si>
  <si>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</si>
  <si>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</si>
  <si>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</si>
  <si>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</si>
  <si>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</si>
  <si>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</si>
  <si>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</si>
  <si>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</si>
  <si>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</si>
  <si>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</si>
  <si>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</si>
  <si>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</si>
  <si>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</si>
  <si>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</si>
  <si>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</si>
  <si>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</si>
  <si>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</si>
  <si>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</si>
  <si>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</si>
  <si>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</si>
  <si>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</si>
  <si>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</si>
  <si>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</si>
  <si>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</si>
  <si>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</si>
  <si>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</si>
  <si>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</si>
  <si>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</si>
  <si>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</si>
  <si>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</si>
  <si>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</si>
  <si>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</si>
  <si>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</si>
  <si>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</si>
  <si>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</si>
  <si>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</si>
  <si>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</si>
  <si>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</si>
  <si>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</si>
  <si>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</si>
  <si>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</si>
  <si>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</si>
  <si>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</si>
  <si>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</si>
  <si>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</si>
  <si>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</si>
  <si>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</si>
  <si>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</si>
  <si>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</si>
  <si>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</si>
  <si>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</si>
  <si>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</si>
  <si>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</si>
  <si>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</si>
  <si>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</si>
  <si>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</si>
  <si>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</si>
  <si>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</si>
  <si>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</si>
  <si>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</si>
  <si>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</si>
  <si>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</si>
  <si>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</si>
  <si>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</si>
  <si>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</si>
  <si>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</si>
  <si>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</si>
  <si>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</si>
  <si>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</si>
  <si>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</si>
  <si>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</si>
  <si>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</si>
  <si>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</si>
  <si>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</si>
  <si>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</si>
  <si>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</si>
  <si>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</si>
  <si>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</si>
  <si>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</si>
  <si>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</si>
  <si>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</si>
  <si>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</si>
  <si>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</si>
  <si>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</si>
  <si>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</si>
  <si>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</si>
  <si>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</si>
  <si>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</si>
  <si>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</si>
  <si>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</si>
  <si>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</si>
  <si>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</si>
  <si>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</si>
  <si>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</si>
  <si>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</si>
  <si>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</si>
  <si>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</si>
  <si>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</si>
  <si>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</si>
  <si>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</si>
  <si>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</si>
  <si>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</si>
  <si>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</si>
  <si>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</si>
  <si>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</si>
  <si>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</si>
  <si>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</si>
  <si>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</si>
  <si>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</si>
  <si>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</si>
  <si>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</si>
  <si>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</si>
  <si>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</si>
  <si>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</si>
  <si>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</si>
  <si>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</si>
  <si>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</si>
  <si>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</si>
  <si>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</si>
  <si>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</si>
  <si>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</si>
  <si>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</si>
  <si>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</si>
  <si>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</si>
  <si>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</si>
  <si>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</si>
  <si>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</si>
  <si>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</si>
  <si>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</si>
  <si>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</si>
  <si>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</si>
  <si>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</si>
  <si>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</si>
  <si>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</si>
  <si>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</si>
  <si>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</si>
  <si>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</si>
  <si>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</si>
  <si>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</si>
  <si>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</si>
  <si>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</si>
  <si>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</si>
  <si>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</si>
  <si>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</si>
  <si>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</si>
  <si>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</si>
  <si>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</si>
  <si>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</si>
  <si>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</si>
  <si>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</si>
  <si>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</si>
  <si>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</si>
  <si>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</si>
  <si>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</si>
  <si>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</si>
  <si>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</si>
  <si>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</si>
  <si>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</si>
  <si>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</si>
  <si>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</si>
  <si>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</si>
  <si>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</si>
  <si>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</si>
  <si>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</si>
  <si>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</si>
  <si>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</si>
  <si>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</si>
  <si>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</si>
  <si>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</si>
  <si>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</si>
  <si>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</si>
  <si>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</si>
  <si>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</si>
  <si>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</si>
  <si>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</si>
  <si>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</si>
  <si>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</si>
  <si>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</si>
  <si>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</si>
  <si>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</si>
  <si>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</si>
  <si>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</si>
  <si>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</si>
  <si>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</si>
  <si>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</si>
  <si>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</si>
  <si>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</si>
  <si>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</si>
  <si>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</si>
  <si>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</si>
  <si>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</si>
  <si>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</si>
  <si>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</si>
  <si>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</si>
  <si>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</si>
  <si>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</si>
  <si>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</si>
  <si>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</si>
  <si>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</si>
  <si>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</si>
  <si>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</si>
  <si>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</si>
  <si>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</si>
  <si>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</si>
  <si>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</si>
  <si>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</si>
  <si>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</si>
  <si>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</si>
  <si>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</si>
  <si>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</si>
  <si>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</si>
  <si>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</si>
  <si>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</si>
  <si>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</si>
  <si>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</si>
  <si>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</si>
  <si>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</si>
  <si>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</si>
  <si>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</si>
  <si>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</si>
  <si>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</si>
  <si>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</si>
  <si>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</si>
  <si>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</si>
  <si>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</si>
  <si>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</si>
  <si>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</si>
  <si>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</si>
  <si>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</si>
  <si>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</si>
  <si>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</si>
  <si>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</si>
  <si>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</si>
  <si>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由中階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）與壽命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年）推得（連續平均）；</t>
    </r>
    <r>
      <rPr>
        <sz val="10"/>
        <color rgb="FF000000"/>
        <rFont val="Arial"/>
        <family val="0"/>
        <charset val="1"/>
      </rPr>
      <t xml:space="preserve">L_demote </t>
    </r>
    <r>
      <rPr>
        <sz val="10"/>
        <color rgb="FF000000"/>
        <rFont val="Noto Sans CJK SC"/>
        <family val="2"/>
      </rPr>
      <t xml:space="preserve">由「前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）服務中階、之後降級為低階（價值比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；低端＝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）」推得。三者皆為追蹤列與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名稱（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不改。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的回本「必須為真」列（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並列。基準 </t>
    </r>
    <r>
      <rPr>
        <sz val="10"/>
        <color rgb="FF000000"/>
        <rFont val="Arial"/>
        <family val="0"/>
        <charset val="1"/>
      </rPr>
      <t xml:space="preserve">L_price 0.7412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L_total 0.6426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</si>
  <si>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</si>
  <si>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</si>
  <si>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</si>
  <si>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v5.35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</t>
    </r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</si>
  <si>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</si>
  <si>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</si>
  <si>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</si>
  <si>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v5.35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</t>
    </r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</si>
  <si>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</si>
  <si>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</si>
  <si>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</si>
  <si>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</si>
  <si>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v5.35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</si>
  <si>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</si>
  <si>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</si>
  <si>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</si>
  <si>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</si>
  <si>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</si>
  <si>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</si>
  <si>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</si>
  <si>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</si>
  <si>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</si>
  <si>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</si>
  <si>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</si>
  <si>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</si>
  <si>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</si>
  <si>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</si>
  <si>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</si>
  <si>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</si>
  <si>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</si>
  <si>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</si>
  <si>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</si>
  <si>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</si>
  <si>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</si>
  <si>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</si>
  <si>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</si>
  <si>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</si>
  <si>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</si>
  <si>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</si>
  <si>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</si>
  <si>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</si>
  <si>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</si>
  <si>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</si>
  <si>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</si>
  <si>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</si>
  <si>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</si>
  <si>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</si>
  <si>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</si>
  <si>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</si>
  <si>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</si>
  <si>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</si>
  <si>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</si>
  <si>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</si>
  <si>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</si>
  <si>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</si>
  <si>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</si>
  <si>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</si>
  <si>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</si>
  <si>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</si>
  <si>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</si>
  <si>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</si>
  <si>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</si>
  <si>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</si>
  <si>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</si>
  <si>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</si>
  <si>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</si>
  <si>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</si>
  <si>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</si>
  <si>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</si>
  <si>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</si>
  <si>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</si>
  <si>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</si>
  <si>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</si>
  <si>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</si>
  <si>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</si>
  <si>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</si>
  <si>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</si>
  <si>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</si>
  <si>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</si>
  <si>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</si>
  <si>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</si>
  <si>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</si>
  <si>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</si>
  <si>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</si>
  <si>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</si>
  <si>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</si>
  <si>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</si>
  <si>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</si>
  <si>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</si>
  <si>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</si>
  <si>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</si>
  <si>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</si>
  <si>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</si>
  <si>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</si>
  <si>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</si>
  <si>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</si>
  <si>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</si>
  <si>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</si>
  <si>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</si>
  <si>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</si>
  <si>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</si>
  <si>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</si>
  <si>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</si>
  <si>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</si>
  <si>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</si>
  <si>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</si>
  <si>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</si>
  <si>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</si>
  <si>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</si>
  <si>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</si>
  <si>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</si>
  <si>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</si>
  <si>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</si>
  <si>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</si>
  <si>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</si>
  <si>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</si>
  <si>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</si>
  <si>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</si>
  <si>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</si>
  <si>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</si>
  <si>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</si>
  <si>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</si>
  <si>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</si>
  <si>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</si>
  <si>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</si>
  <si>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</si>
  <si>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</si>
  <si>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</si>
  <si>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</si>
  <si>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</si>
  <si>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</si>
  <si>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</si>
  <si>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</si>
  <si>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</si>
  <si>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</si>
  <si>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</si>
  <si>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</si>
  <si>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</si>
  <si>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</si>
  <si>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</si>
  <si>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</si>
  <si>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</si>
  <si>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</si>
  <si>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</si>
  <si>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</si>
  <si>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</si>
  <si>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</si>
  <si>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</si>
  <si>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</si>
  <si>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</si>
  <si>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</si>
  <si>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</si>
  <si>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</si>
  <si>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</si>
  <si>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</si>
  <si>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</si>
  <si>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</si>
  <si>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</si>
  <si>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</si>
  <si>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</si>
  <si>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</si>
  <si>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</si>
  <si>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</si>
  <si>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</si>
  <si>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</si>
  <si>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</si>
  <si>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</si>
  <si>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</si>
  <si>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</si>
  <si>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</si>
  <si>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</si>
  <si>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</si>
  <si>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</si>
  <si>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</si>
  <si>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</si>
  <si>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</si>
  <si>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</si>
  <si>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</si>
  <si>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</si>
  <si>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</si>
  <si>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</si>
  <si>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</si>
  <si>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</si>
  <si>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</si>
  <si>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</si>
  <si>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</si>
  <si>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</si>
  <si>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</si>
  <si>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</si>
  <si>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</si>
  <si>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</si>
  <si>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</si>
  <si>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</si>
  <si>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</si>
  <si>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</si>
  <si>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</si>
  <si>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</si>
  <si>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</si>
  <si>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</si>
  <si>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</si>
  <si>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</si>
  <si>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</si>
  <si>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</si>
  <si>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</si>
  <si>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</si>
  <si>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</si>
  <si>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</si>
  <si>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</si>
  <si>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</si>
  <si>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</si>
  <si>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</si>
  <si>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</si>
  <si>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</si>
  <si>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</si>
  <si>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</si>
  <si>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</si>
  <si>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</si>
  <si>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</si>
  <si>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</si>
  <si>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</si>
  <si>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</si>
  <si>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</si>
  <si>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</si>
  <si>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</si>
  <si>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</si>
  <si>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</si>
  <si>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</si>
  <si>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</si>
  <si>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</si>
  <si>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</si>
  <si>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</si>
  <si>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</si>
  <si>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</si>
  <si>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</si>
  <si>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</si>
  <si>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</si>
  <si>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</si>
  <si>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</si>
  <si>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</si>
  <si>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</si>
  <si>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</si>
  <si>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</si>
  <si>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</si>
  <si>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</si>
  <si>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</si>
  <si>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</si>
  <si>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</si>
  <si>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</si>
  <si>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</si>
  <si>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</si>
  <si>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</si>
  <si>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</si>
  <si>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</si>
  <si>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</si>
  <si>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</si>
  <si>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</si>
  <si>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</si>
  <si>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</si>
  <si>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</si>
  <si>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</si>
  <si>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</si>
  <si>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</si>
  <si>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</si>
  <si>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</si>
  <si>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</si>
  <si>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</si>
  <si>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</si>
  <si>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</si>
  <si>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</si>
  <si>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</si>
  <si>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</si>
  <si>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</si>
  <si>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</si>
  <si>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</si>
  <si>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</si>
  <si>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</si>
  <si>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</si>
  <si>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</si>
  <si>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</si>
  <si>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</si>
  <si>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</si>
  <si>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</si>
  <si>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</si>
  <si>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</si>
  <si>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</si>
  <si>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</si>
  <si>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</si>
  <si>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</si>
  <si>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</si>
  <si>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</si>
  <si>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</si>
  <si>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</si>
  <si>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</si>
  <si>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</si>
  <si>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</si>
  <si>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</si>
  <si>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</si>
  <si>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</si>
  <si>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</si>
  <si>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</si>
  <si>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</si>
  <si>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</si>
  <si>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</si>
  <si>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</si>
  <si>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</si>
  <si>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</si>
  <si>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</si>
  <si>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</si>
  <si>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</si>
  <si>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</si>
  <si>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</si>
  <si>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</si>
  <si>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</si>
  <si>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</si>
  <si>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</si>
  <si>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</si>
  <si>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</si>
  <si>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</si>
  <si>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</si>
  <si>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</si>
  <si>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</si>
  <si>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</si>
  <si>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</si>
  <si>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</si>
  <si>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</si>
  <si>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</si>
  <si>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</si>
  <si>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</si>
  <si>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</si>
  <si>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</si>
  <si>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</si>
  <si>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</si>
  <si>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</si>
  <si>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</si>
  <si>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</si>
  <si>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</si>
  <si>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</si>
  <si>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</si>
  <si>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</si>
  <si>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</si>
  <si>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</si>
  <si>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</si>
  <si>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</si>
  <si>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</si>
  <si>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</si>
  <si>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</si>
  <si>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</si>
  <si>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</si>
  <si>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</si>
  <si>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</si>
  <si>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</si>
  <si>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</si>
  <si>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</si>
  <si>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</si>
  <si>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</si>
  <si>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</si>
  <si>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</si>
  <si>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</si>
  <si>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</si>
  <si>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</si>
  <si>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</si>
  <si>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</si>
  <si>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</si>
  <si>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</si>
  <si>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</si>
  <si>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</si>
  <si>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</si>
  <si>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</si>
  <si>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</si>
  <si>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</si>
  <si>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</si>
  <si>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</si>
  <si>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</si>
  <si>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</si>
  <si>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</si>
  <si>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</si>
  <si>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</si>
  <si>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</si>
  <si>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</si>
  <si>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</si>
  <si>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</si>
  <si>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</si>
  <si>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</si>
  <si>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</si>
  <si>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</si>
  <si>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</si>
  <si>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</si>
  <si>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</si>
  <si>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</si>
  <si>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</si>
  <si>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</si>
  <si>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</si>
  <si>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</si>
  <si>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</si>
  <si>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</si>
  <si>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</si>
  <si>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</si>
  <si>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</si>
  <si>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</si>
  <si>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</si>
  <si>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</si>
  <si>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</si>
  <si>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</si>
  <si>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</si>
  <si>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</si>
  <si>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</si>
  <si>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</si>
  <si>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</si>
  <si>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</si>
  <si>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</si>
  <si>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</si>
  <si>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</si>
  <si>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</si>
  <si>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</si>
  <si>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</si>
  <si>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</si>
  <si>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</si>
  <si>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</si>
  <si>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</si>
  <si>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</si>
  <si>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</si>
  <si>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</si>
  <si>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</si>
  <si>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</si>
  <si>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</si>
  <si>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</si>
  <si>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</si>
  <si>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</si>
  <si>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</si>
  <si>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</si>
  <si>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</si>
  <si>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</si>
  <si>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</si>
  <si>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</si>
  <si>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</si>
  <si>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</si>
  <si>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</si>
  <si>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</si>
  <si>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</si>
  <si>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</si>
  <si>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</si>
  <si>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</si>
  <si>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</si>
  <si>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</si>
  <si>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</si>
  <si>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</si>
  <si>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</si>
  <si>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</si>
  <si>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</si>
  <si>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</si>
  <si>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</si>
  <si>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</si>
  <si>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</si>
  <si>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</si>
  <si>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</si>
  <si>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</si>
  <si>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</si>
  <si>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</si>
  <si>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</si>
  <si>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</si>
  <si>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</si>
  <si>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</si>
  <si>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</si>
  <si>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</si>
  <si>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</si>
  <si>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</si>
  <si>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</si>
  <si>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</si>
  <si>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</si>
  <si>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</si>
  <si>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</si>
  <si>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</si>
  <si>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</si>
  <si>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</si>
  <si>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</si>
  <si>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</si>
  <si>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</si>
  <si>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</si>
  <si>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</si>
  <si>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</si>
  <si>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</si>
  <si>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</si>
  <si>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</si>
  <si>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</si>
  <si>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</si>
  <si>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</si>
  <si>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</si>
  <si>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</si>
  <si>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</si>
  <si>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</si>
  <si>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</si>
  <si>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</si>
  <si>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</si>
  <si>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</si>
  <si>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</si>
  <si>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</si>
  <si>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</si>
  <si>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</si>
  <si>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</si>
  <si>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</si>
  <si>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</si>
  <si>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</si>
  <si>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</si>
  <si>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</si>
  <si>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</si>
  <si>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</si>
  <si>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</si>
  <si>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</si>
  <si>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</si>
  <si>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</si>
  <si>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</si>
  <si>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</si>
  <si>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</si>
  <si>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</si>
  <si>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</si>
  <si>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</si>
  <si>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</si>
  <si>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</si>
  <si>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</si>
  <si>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</si>
  <si>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</si>
  <si>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</si>
  <si>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</si>
  <si>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</si>
  <si>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</si>
  <si>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</si>
  <si>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</si>
  <si>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</si>
  <si>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</si>
  <si>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</si>
  <si>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</si>
  <si>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</si>
  <si>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</si>
  <si>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</si>
  <si>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</si>
  <si>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</si>
  <si>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</si>
  <si>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</si>
  <si>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</si>
  <si>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</si>
  <si>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</si>
  <si>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</si>
  <si>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</si>
  <si>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</si>
  <si>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</si>
  <si>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</si>
  <si>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</si>
  <si>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</si>
  <si>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</si>
  <si>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</si>
  <si>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</si>
  <si>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</si>
  <si>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</si>
  <si>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</si>
  <si>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</si>
  <si>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</si>
  <si>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</si>
  <si>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</si>
  <si>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</si>
  <si>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</si>
  <si>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</si>
  <si>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</si>
  <si>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</si>
  <si>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</si>
  <si>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</si>
  <si>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</si>
  <si>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</si>
  <si>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</si>
  <si>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</si>
  <si>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</si>
  <si>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</si>
  <si>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</si>
  <si>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</si>
  <si>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</si>
  <si>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</si>
  <si>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</si>
  <si>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</si>
  <si>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</si>
  <si>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</si>
  <si>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</si>
  <si>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</si>
  <si>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</si>
  <si>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</si>
  <si>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</si>
  <si>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</si>
  <si>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</si>
  <si>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</si>
  <si>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</si>
  <si>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</si>
  <si>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</si>
  <si>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</si>
  <si>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</si>
  <si>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</si>
  <si>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</si>
  <si>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</si>
  <si>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</si>
  <si>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</si>
  <si>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</si>
  <si>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</si>
  <si>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</si>
  <si>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</si>
  <si>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</si>
  <si>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</si>
  <si>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</si>
  <si>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</si>
  <si>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</si>
  <si>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</si>
  <si>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</si>
  <si>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</si>
  <si>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</si>
  <si>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</si>
  <si>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</si>
  <si>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</si>
  <si>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</si>
  <si>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</si>
  <si>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</si>
  <si>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</si>
  <si>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</si>
  <si>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</si>
  <si>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</si>
  <si>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</si>
  <si>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</si>
  <si>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</si>
  <si>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</si>
  <si>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</si>
  <si>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</si>
  <si>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</si>
  <si>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</si>
  <si>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</si>
  <si>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</si>
  <si>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</si>
  <si>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</si>
  <si>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</si>
  <si>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</si>
  <si>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</si>
  <si>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</si>
  <si>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</si>
  <si>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</si>
  <si>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</si>
  <si>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</si>
  <si>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</si>
  <si>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</si>
  <si>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</si>
  <si>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</si>
  <si>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</si>
  <si>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</si>
  <si>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</si>
  <si>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</si>
  <si>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</si>
  <si>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</si>
  <si>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</si>
  <si>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</si>
  <si>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</si>
  <si>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</si>
  <si>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</si>
  <si>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</si>
  <si>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</si>
  <si>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</si>
  <si>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</si>
  <si>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</si>
  <si>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</si>
  <si>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</si>
  <si>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</si>
  <si>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</si>
  <si>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</si>
  <si>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</si>
  <si>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</si>
  <si>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</si>
  <si>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</si>
  <si>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</si>
  <si>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</si>
  <si>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</si>
  <si>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</si>
  <si>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</si>
  <si>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</si>
  <si>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</si>
  <si>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</si>
  <si>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</si>
  <si>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</si>
  <si>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</si>
  <si>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</si>
  <si>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</si>
  <si>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</si>
  <si>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</si>
  <si>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</si>
  <si>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</si>
  <si>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</si>
  <si>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</si>
  <si>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</si>
  <si>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</si>
  <si>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</si>
  <si>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</si>
  <si>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</si>
  <si>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</si>
  <si>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</si>
  <si>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</si>
  <si>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</si>
  <si>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</si>
  <si>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</si>
  <si>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</si>
  <si>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</si>
  <si>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</si>
  <si>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</si>
  <si>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</si>
  <si>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</si>
  <si>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</si>
  <si>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</si>
  <si>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</si>
  <si>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</si>
  <si>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</si>
  <si>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</si>
  <si>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</si>
  <si>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</si>
  <si>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</si>
  <si>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</si>
  <si>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</si>
  <si>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</si>
  <si>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</si>
  <si>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</si>
  <si>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</si>
  <si>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</si>
  <si>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</si>
  <si>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</si>
  <si>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</si>
  <si>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</si>
  <si>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</si>
  <si>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</si>
  <si>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</si>
  <si>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</si>
  <si>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</si>
  <si>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</si>
  <si>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</si>
  <si>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</si>
  <si>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</si>
  <si>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</si>
  <si>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</si>
  <si>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</si>
  <si>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</si>
  <si>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</si>
  <si>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</si>
  <si>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</si>
  <si>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</si>
  <si>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</si>
  <si>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</si>
  <si>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</si>
  <si>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</si>
  <si>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</si>
  <si>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</si>
  <si>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</si>
  <si>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</si>
  <si>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</si>
  <si>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</si>
  <si>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</si>
  <si>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</si>
  <si>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</si>
  <si>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</si>
  <si>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</si>
  <si>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</si>
  <si>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</si>
  <si>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</si>
  <si>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</si>
  <si>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</si>
  <si>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</si>
  <si>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</si>
  <si>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</si>
  <si>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</si>
  <si>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</si>
  <si>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</si>
  <si>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</si>
  <si>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</si>
  <si>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</si>
  <si>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</si>
  <si>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</si>
  <si>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</si>
  <si>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</si>
  <si>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</si>
  <si>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</si>
  <si>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</si>
  <si>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</si>
  <si>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</si>
  <si>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</si>
  <si>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</si>
  <si>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</si>
  <si>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</si>
  <si>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</si>
  <si>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</si>
  <si>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</si>
  <si>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</si>
  <si>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</si>
  <si>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</si>
  <si>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</si>
  <si>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</si>
  <si>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</si>
  <si>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</si>
  <si>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</si>
  <si>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</si>
  <si>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</si>
  <si>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</si>
  <si>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</si>
  <si>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</si>
  <si>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</si>
  <si>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</si>
  <si>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</si>
  <si>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</si>
  <si>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</si>
  <si>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</si>
  <si>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</si>
  <si>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</si>
  <si>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</si>
  <si>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</si>
  <si>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</si>
  <si>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</si>
  <si>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</si>
  <si>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</si>
  <si>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</si>
  <si>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</si>
  <si>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</si>
  <si>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</si>
  <si>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</si>
  <si>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</si>
  <si>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</si>
  <si>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</si>
  <si>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</si>
  <si>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</si>
  <si>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</si>
  <si>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</si>
  <si>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</si>
  <si>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</si>
  <si>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</si>
  <si>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</si>
  <si>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</si>
  <si>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</si>
  <si>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</si>
  <si>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</si>
  <si>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</si>
  <si>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</si>
  <si>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</si>
  <si>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</si>
  <si>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</si>
  <si>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</si>
  <si>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</si>
  <si>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</si>
  <si>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</si>
  <si>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</si>
  <si>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</si>
  <si>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</si>
  <si>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</si>
  <si>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</si>
  <si>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</si>
  <si>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</si>
  <si>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</si>
  <si>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</si>
  <si>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</si>
  <si>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</si>
  <si>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</si>
  <si>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</si>
  <si>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</si>
  <si>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</si>
  <si>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</si>
  <si>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</si>
  <si>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</si>
  <si>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</si>
  <si>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</si>
  <si>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</si>
  <si>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</si>
  <si>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</si>
  <si>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</si>
  <si>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</si>
  <si>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</si>
  <si>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</si>
  <si>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</si>
  <si>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</si>
  <si>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</si>
  <si>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</si>
  <si>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</si>
  <si>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</si>
  <si>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</si>
  <si>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</si>
  <si>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</si>
  <si>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</si>
  <si>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</si>
  <si>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</si>
  <si>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</si>
  <si>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</si>
  <si>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</si>
  <si>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</si>
  <si>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</si>
  <si>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</si>
  <si>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</si>
  <si>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</si>
  <si>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</si>
  <si>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</si>
  <si>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</si>
  <si>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</si>
  <si>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</si>
  <si>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</si>
  <si>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</si>
  <si>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</si>
  <si>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</si>
  <si>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</si>
  <si>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</si>
  <si>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</si>
  <si>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</si>
  <si>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</si>
  <si>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</si>
  <si>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</si>
  <si>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</si>
  <si>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</si>
  <si>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</si>
  <si>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</si>
  <si>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</si>
  <si>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</si>
  <si>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</si>
  <si>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</si>
  <si>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</si>
  <si>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</si>
  <si>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</si>
  <si>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</si>
  <si>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</si>
  <si>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</si>
  <si>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</si>
  <si>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</si>
  <si>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</si>
  <si>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</si>
  <si>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</si>
  <si>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</si>
  <si>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</si>
  <si>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</si>
  <si>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</si>
  <si>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</si>
  <si>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</si>
  <si>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</si>
  <si>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</si>
  <si>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</si>
  <si>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</si>
  <si>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</si>
  <si>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</si>
  <si>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</si>
  <si>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</si>
  <si>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</si>
  <si>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</si>
  <si>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</si>
  <si>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</si>
  <si>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</si>
  <si>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</si>
  <si>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</si>
  <si>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</si>
  <si>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</si>
  <si>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</si>
  <si>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</si>
  <si>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</si>
  <si>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</si>
  <si>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</si>
  <si>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</si>
  <si>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</si>
  <si>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</si>
  <si>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</si>
  <si>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</si>
  <si>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</si>
  <si>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</si>
  <si>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</si>
  <si>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</si>
  <si>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</si>
  <si>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</si>
  <si>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</si>
  <si>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</si>
  <si>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</si>
  <si>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</si>
  <si>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</si>
  <si>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</si>
  <si>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</si>
  <si>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</si>
  <si>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</si>
  <si>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</si>
  <si>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</si>
  <si>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</si>
  <si>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</si>
  <si>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</si>
  <si>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</si>
  <si>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</si>
  <si>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</si>
  <si>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</si>
  <si>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</si>
  <si>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</si>
  <si>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</si>
  <si>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</si>
  <si>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</si>
  <si>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</si>
  <si>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</si>
  <si>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</si>
  <si>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</si>
  <si>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</si>
  <si>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</si>
  <si>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</si>
  <si>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</si>
  <si>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</si>
  <si>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</si>
  <si>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</si>
  <si>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</si>
  <si>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</si>
  <si>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</si>
  <si>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</si>
  <si>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</si>
  <si>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</si>
  <si>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</si>
  <si>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</si>
  <si>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</si>
  <si>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</si>
  <si>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</si>
  <si>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</si>
  <si>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</si>
  <si>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</si>
  <si>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</si>
  <si>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</si>
  <si>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</si>
  <si>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</si>
  <si>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</si>
  <si>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</si>
  <si>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</si>
  <si>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</si>
  <si>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</si>
  <si>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</si>
  <si>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</si>
  <si>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</si>
  <si>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</si>
  <si>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</si>
  <si>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</si>
  <si>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</si>
  <si>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</si>
  <si>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</si>
  <si>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</si>
  <si>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</si>
  <si>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</si>
  <si>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</si>
  <si>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</si>
  <si>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</si>
  <si>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</si>
  <si>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</si>
  <si>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</si>
  <si>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</si>
  <si>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</si>
  <si>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</si>
  <si>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</si>
  <si>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</si>
  <si>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</si>
  <si>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</si>
  <si>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</si>
  <si>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</si>
  <si>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</si>
  <si>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</si>
  <si>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</si>
  <si>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</si>
  <si>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</si>
  <si>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</si>
  <si>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</si>
  <si>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</si>
  <si>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</si>
  <si>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</si>
  <si>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</si>
  <si>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</si>
  <si>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</si>
  <si>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</si>
  <si>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</si>
  <si>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</si>
  <si>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</si>
  <si>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</si>
  <si>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</si>
  <si>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</si>
  <si>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</si>
  <si>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</si>
  <si>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</si>
  <si>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</si>
  <si>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</si>
  <si>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</si>
  <si>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</si>
  <si>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</si>
  <si>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</si>
  <si>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</si>
  <si>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</si>
  <si>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</si>
  <si>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</si>
  <si>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</si>
  <si>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</si>
  <si>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</si>
  <si>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</si>
  <si>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</si>
  <si>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</si>
  <si>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</si>
  <si>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</si>
  <si>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</si>
  <si>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</si>
  <si>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</si>
  <si>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</si>
  <si>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</si>
  <si>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</si>
  <si>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</si>
  <si>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</si>
  <si>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</si>
  <si>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</si>
  <si>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</si>
  <si>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</si>
  <si>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</si>
  <si>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</si>
  <si>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</si>
  <si>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</si>
  <si>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</si>
  <si>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</si>
  <si>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</si>
  <si>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</si>
  <si>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</si>
  <si>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</si>
  <si>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</si>
  <si>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</si>
  <si>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</si>
  <si>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</si>
  <si>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</si>
  <si>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</si>
  <si>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</si>
  <si>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</si>
  <si>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</si>
  <si>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</si>
  <si>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</si>
  <si>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</si>
  <si>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</si>
  <si>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</si>
  <si>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</si>
  <si>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</si>
  <si>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</si>
  <si>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</si>
  <si>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</si>
  <si>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</si>
  <si>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</si>
  <si>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</si>
  <si>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</si>
  <si>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</si>
  <si>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</si>
  <si>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</si>
  <si>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</si>
  <si>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</si>
  <si>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</si>
  <si>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</si>
  <si>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</si>
  <si>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</si>
  <si>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</si>
  <si>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</si>
  <si>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</si>
  <si>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</si>
  <si>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</si>
  <si>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</si>
  <si>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</si>
  <si>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</si>
  <si>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</si>
  <si>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</si>
  <si>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</si>
  <si>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</si>
  <si>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</si>
  <si>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</si>
  <si>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</si>
  <si>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</si>
  <si>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</si>
  <si>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</si>
  <si>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</si>
  <si>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</si>
  <si>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</si>
  <si>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</si>
  <si>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</si>
  <si>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</si>
  <si>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</si>
  <si>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</si>
  <si>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</si>
  <si>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</si>
  <si>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</si>
  <si>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</si>
  <si>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</si>
  <si>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</si>
  <si>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</si>
  <si>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</si>
  <si>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</si>
  <si>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</si>
  <si>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</si>
  <si>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</si>
  <si>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</si>
  <si>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</si>
  <si>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</si>
  <si>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</si>
  <si>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</si>
  <si>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</si>
  <si>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</si>
  <si>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</si>
  <si>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</si>
  <si>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</si>
  <si>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</si>
  <si>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</si>
  <si>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</si>
  <si>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</si>
  <si>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</si>
  <si>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</si>
  <si>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</si>
  <si>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</si>
  <si>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</si>
  <si>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</si>
  <si>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</si>
  <si>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</si>
  <si>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</si>
  <si>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</si>
  <si>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</si>
  <si>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</si>
  <si>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</si>
  <si>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</si>
  <si>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</si>
  <si>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</si>
  <si>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</si>
  <si>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</si>
  <si>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</si>
  <si>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</si>
  <si>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</si>
  <si>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</si>
  <si>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</si>
  <si>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</si>
  <si>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</si>
  <si>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</si>
  <si>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</si>
  <si>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</si>
  <si>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</si>
  <si>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</si>
  <si>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</si>
  <si>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</si>
  <si>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</si>
  <si>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</si>
  <si>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</si>
  <si>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</si>
  <si>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</si>
  <si>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</si>
  <si>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</si>
  <si>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</si>
  <si>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</si>
  <si>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</si>
  <si>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</si>
  <si>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</si>
  <si>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</si>
  <si>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</si>
  <si>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</si>
  <si>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</si>
  <si>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</si>
  <si>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</si>
  <si>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</si>
  <si>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</si>
  <si>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</si>
  <si>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</si>
  <si>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</si>
  <si>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</si>
  <si>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</si>
  <si>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</si>
  <si>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</si>
  <si>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</si>
  <si>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</si>
  <si>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</si>
  <si>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</si>
  <si>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</si>
  <si>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</si>
  <si>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</si>
  <si>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</si>
  <si>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</si>
  <si>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</si>
  <si>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</si>
  <si>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</si>
  <si>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</si>
  <si>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</si>
  <si>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</si>
  <si>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</si>
  <si>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</si>
  <si>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</si>
  <si>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</si>
  <si>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</si>
  <si>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</si>
  <si>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</si>
  <si>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</si>
  <si>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</si>
  <si>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</si>
  <si>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</si>
  <si>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</si>
  <si>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</si>
  <si>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</si>
  <si>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</si>
  <si>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</si>
  <si>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</si>
  <si>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</si>
  <si>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</si>
  <si>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</si>
  <si>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</si>
  <si>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</si>
  <si>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</si>
  <si>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</si>
  <si>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</si>
  <si>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</si>
  <si>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</si>
  <si>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</si>
  <si>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</si>
  <si>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</si>
  <si>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</si>
  <si>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</si>
  <si>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</si>
  <si>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</si>
  <si>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</si>
  <si>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</si>
  <si>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</si>
  <si>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</si>
  <si>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</si>
  <si>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</si>
  <si>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</si>
  <si>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</si>
  <si>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</si>
  <si>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</si>
  <si>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</si>
  <si>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</si>
  <si>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</si>
  <si>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</si>
  <si>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</si>
  <si>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</si>
  <si>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</si>
  <si>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</si>
  <si>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</si>
  <si>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</si>
  <si>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</si>
  <si>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</si>
  <si>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</si>
  <si>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</si>
  <si>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</si>
  <si>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</si>
  <si>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</si>
  <si>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</si>
  <si>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</si>
  <si>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</si>
  <si>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</si>
  <si>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</si>
  <si>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</si>
  <si>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</si>
  <si>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</si>
  <si>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</si>
  <si>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</si>
  <si>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</si>
  <si>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</si>
  <si>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</si>
  <si>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</si>
  <si>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</si>
  <si>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</si>
  <si>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</si>
  <si>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</si>
  <si>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</si>
  <si>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</si>
  <si>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</si>
  <si>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</si>
  <si>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</si>
  <si>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</si>
  <si>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</si>
  <si>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</si>
  <si>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</si>
  <si>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</si>
  <si>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</si>
  <si>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</si>
  <si>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</si>
  <si>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</si>
  <si>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</si>
  <si>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</si>
  <si>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</si>
  <si>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</si>
  <si>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</si>
  <si>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</si>
  <si>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</si>
  <si>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</si>
  <si>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</si>
  <si>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</si>
  <si>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</si>
  <si>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</si>
  <si>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</si>
  <si>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</si>
  <si>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</si>
  <si>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</si>
  <si>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</si>
  <si>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</si>
  <si>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</si>
  <si>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</si>
  <si>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</si>
  <si>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</si>
  <si>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</si>
  <si>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</si>
  <si>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</si>
  <si>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</si>
  <si>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</si>
  <si>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</si>
  <si>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</si>
  <si>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</si>
  <si>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</si>
  <si>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</si>
  <si>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</si>
  <si>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</si>
  <si>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</si>
  <si>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</si>
  <si>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</si>
  <si>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</si>
  <si>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</si>
  <si>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</si>
  <si>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</si>
  <si>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</si>
  <si>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</si>
  <si>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</si>
  <si>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</si>
  <si>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</si>
  <si>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</si>
  <si>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</si>
  <si>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</si>
  <si>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</si>
  <si>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</si>
  <si>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</si>
  <si>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</si>
  <si>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</si>
  <si>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</si>
  <si>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</si>
  <si>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</si>
  <si>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</si>
  <si>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</si>
  <si>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</si>
  <si>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</si>
  <si>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</si>
  <si>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</si>
  <si>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</si>
  <si>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</si>
  <si>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</si>
  <si>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</si>
  <si>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</si>
  <si>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</si>
  <si>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</si>
  <si>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</si>
  <si>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</si>
  <si>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</si>
  <si>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</si>
  <si>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</si>
  <si>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</si>
  <si>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</si>
  <si>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</si>
  <si>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</si>
  <si>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</si>
  <si>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</si>
  <si>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</si>
  <si>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</si>
  <si>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</si>
  <si>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</si>
  <si>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</si>
  <si>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</si>
  <si>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</si>
  <si>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</si>
  <si>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</si>
  <si>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</si>
  <si>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</si>
  <si>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</si>
  <si>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</si>
  <si>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</si>
  <si>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</si>
  <si>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</si>
  <si>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</si>
  <si>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</si>
  <si>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</si>
  <si>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</si>
  <si>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</si>
  <si>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</si>
  <si>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</si>
  <si>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</si>
  <si>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</si>
  <si>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</si>
  <si>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</si>
  <si>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</si>
  <si>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</si>
  <si>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</si>
  <si>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</si>
  <si>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</si>
  <si>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</si>
  <si>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</si>
  <si>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</si>
  <si>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</si>
  <si>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</si>
  <si>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</si>
  <si>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</si>
  <si>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</si>
  <si>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</si>
  <si>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</si>
  <si>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</si>
  <si>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</si>
  <si>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</si>
  <si>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</si>
  <si>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</si>
  <si>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</si>
  <si>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</si>
  <si>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</si>
  <si>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</si>
  <si>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</si>
  <si>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</si>
  <si>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</si>
  <si>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</si>
  <si>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</si>
  <si>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</si>
  <si>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</si>
  <si>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</si>
  <si>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</si>
  <si>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</si>
  <si>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</si>
  <si>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</si>
  <si>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</si>
  <si>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</si>
  <si>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</si>
  <si>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</si>
  <si>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</si>
  <si>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</si>
  <si>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</si>
  <si>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</si>
  <si>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</si>
  <si>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</si>
  <si>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</si>
  <si>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</si>
  <si>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</si>
  <si>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</si>
  <si>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</si>
  <si>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</si>
  <si>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</si>
  <si>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</si>
  <si>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</si>
  <si>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</si>
  <si>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</si>
  <si>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</si>
  <si>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</si>
  <si>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</si>
  <si>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</si>
  <si>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</si>
  <si>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</si>
  <si>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</si>
  <si>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</si>
  <si>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</si>
  <si>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</si>
  <si>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</si>
  <si>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</si>
  <si>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</si>
  <si>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</si>
  <si>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</si>
  <si>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</si>
  <si>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</si>
  <si>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</si>
  <si>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</si>
  <si>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</si>
  <si>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</si>
  <si>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</si>
  <si>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</si>
  <si>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</si>
  <si>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</si>
  <si>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</si>
  <si>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</si>
  <si>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</si>
  <si>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</si>
  <si>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</si>
  <si>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</si>
  <si>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</si>
  <si>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</si>
  <si>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</si>
  <si>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</si>
  <si>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</si>
  <si>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</si>
  <si>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</si>
  <si>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</si>
  <si>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</si>
  <si>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</si>
  <si>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</si>
  <si>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</si>
  <si>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</si>
  <si>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</si>
  <si>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</si>
  <si>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</si>
  <si>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</si>
  <si>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</si>
  <si>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</si>
  <si>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</si>
  <si>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</si>
  <si>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</si>
  <si>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</si>
  <si>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</si>
  <si>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</si>
  <si>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</si>
  <si>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</si>
  <si>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</si>
  <si>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</si>
  <si>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</si>
  <si>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</si>
  <si>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</si>
  <si>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</si>
  <si>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</si>
  <si>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</si>
  <si>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</si>
  <si>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</si>
  <si>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</si>
  <si>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</si>
  <si>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</si>
  <si>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</si>
  <si>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</si>
  <si>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</si>
  <si>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</si>
  <si>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</si>
  <si>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</si>
  <si>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</si>
  <si>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</si>
  <si>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</si>
  <si>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</si>
  <si>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</si>
  <si>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</si>
  <si>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</si>
  <si>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</si>
  <si>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</si>
  <si>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</si>
  <si>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</si>
  <si>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</si>
  <si>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</si>
  <si>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</si>
  <si>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</si>
  <si>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</si>
  <si>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</si>
  <si>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</si>
  <si>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</si>
  <si>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</si>
  <si>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</si>
  <si>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</si>
  <si>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</si>
  <si>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</si>
  <si>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</si>
  <si>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</si>
  <si>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</si>
  <si>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</si>
  <si>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</si>
  <si>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</si>
  <si>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</si>
  <si>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</si>
  <si>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</si>
  <si>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</si>
  <si>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</si>
  <si>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</si>
  <si>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</si>
  <si>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</si>
  <si>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</si>
  <si>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</si>
  <si>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</si>
  <si>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</si>
  <si>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</si>
  <si>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</si>
  <si>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</si>
  <si>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</si>
  <si>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</si>
  <si>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</si>
  <si>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</si>
  <si>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</si>
  <si>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</si>
  <si>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</si>
  <si>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</si>
  <si>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</si>
  <si>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</si>
  <si>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</si>
  <si>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</si>
  <si>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</si>
  <si>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</si>
  <si>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</si>
  <si>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</si>
  <si>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</si>
  <si>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</si>
  <si>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</si>
  <si>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</si>
  <si>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</si>
  <si>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</si>
  <si>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</si>
  <si>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</si>
  <si>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</si>
  <si>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</si>
  <si>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</si>
  <si>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</si>
  <si>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</si>
  <si>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</si>
  <si>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</si>
  <si>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</si>
  <si>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</si>
  <si>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</si>
  <si>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</si>
  <si>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</si>
  <si>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</si>
  <si>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</si>
  <si>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</si>
  <si>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</si>
  <si>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</si>
  <si>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</si>
  <si>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</si>
  <si>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</si>
  <si>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</si>
  <si>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</si>
  <si>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</si>
  <si>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</si>
  <si>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</si>
  <si>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</si>
  <si>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</si>
  <si>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</si>
  <si>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</si>
  <si>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</si>
  <si>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</si>
  <si>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</si>
  <si>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</si>
  <si>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</si>
  <si>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</si>
  <si>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</si>
  <si>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</si>
  <si>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</si>
  <si>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</si>
  <si>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</si>
  <si>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</si>
  <si>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</si>
  <si>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</si>
  <si>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</si>
  <si>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</si>
  <si>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</si>
  <si>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</si>
  <si>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</si>
  <si>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</si>
  <si>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</si>
  <si>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</si>
  <si>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</si>
  <si>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</si>
  <si>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</si>
  <si>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</si>
  <si>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</si>
  <si>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</si>
  <si>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</si>
  <si>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</si>
  <si>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</si>
  <si>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</si>
  <si>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</si>
  <si>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</si>
  <si>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</si>
  <si>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</si>
  <si>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</si>
  <si>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</si>
  <si>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</si>
  <si>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</si>
  <si>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</si>
  <si>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</si>
  <si>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</si>
  <si>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</si>
  <si>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</si>
  <si>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</si>
  <si>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</si>
  <si>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</si>
  <si>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</si>
  <si>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</si>
  <si>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</si>
  <si>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</si>
  <si>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</si>
  <si>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</si>
  <si>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</si>
  <si>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</si>
  <si>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</si>
  <si>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</si>
  <si>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</si>
  <si>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</si>
  <si>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</si>
  <si>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</si>
  <si>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</si>
  <si>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</si>
  <si>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</si>
  <si>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</si>
  <si>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</si>
  <si>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</si>
  <si>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</si>
  <si>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</si>
  <si>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</si>
  <si>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</si>
  <si>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</si>
  <si>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</si>
  <si>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</si>
  <si>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</si>
  <si>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</si>
  <si>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</si>
  <si>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</si>
  <si>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</si>
  <si>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</si>
  <si>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</si>
  <si>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</si>
  <si>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</si>
  <si>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</si>
  <si>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</si>
  <si>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</si>
  <si>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</si>
  <si>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</si>
  <si>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</si>
  <si>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</si>
  <si>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</si>
  <si>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</si>
  <si>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</si>
  <si>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</si>
  <si>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</si>
  <si>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</si>
  <si>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</si>
  <si>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</si>
  <si>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</si>
  <si>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</si>
  <si>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</si>
  <si>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</si>
  <si>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</si>
  <si>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</si>
  <si>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</si>
  <si>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</si>
  <si>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</si>
  <si>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</si>
  <si>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</si>
  <si>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</si>
  <si>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</si>
  <si>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</si>
  <si>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</si>
  <si>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</si>
  <si>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</si>
  <si>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</si>
  <si>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</si>
  <si>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</si>
  <si>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</si>
  <si>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</si>
  <si>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</si>
  <si>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</si>
  <si>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</si>
  <si>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</si>
  <si>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</si>
  <si>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</si>
  <si>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</si>
  <si>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</si>
  <si>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</si>
  <si>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</si>
  <si>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</si>
  <si>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</si>
  <si>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</si>
  <si>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</si>
  <si>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</si>
  <si>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</si>
  <si>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</si>
  <si>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</si>
  <si>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</si>
  <si>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</si>
  <si>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</si>
  <si>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</si>
  <si>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</si>
  <si>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</si>
  <si>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</si>
  <si>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</si>
  <si>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</si>
  <si>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</si>
  <si>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</si>
  <si>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</si>
  <si>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</si>
  <si>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</si>
  <si>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</si>
  <si>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</si>
  <si>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</si>
  <si>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</si>
  <si>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</si>
  <si>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</si>
  <si>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</si>
  <si>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</si>
  <si>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</si>
  <si>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</si>
  <si>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</si>
  <si>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</si>
  <si>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</si>
  <si>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</si>
  <si>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</si>
  <si>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</si>
  <si>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</si>
  <si>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</si>
  <si>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</si>
  <si>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</si>
  <si>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</si>
  <si>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</si>
  <si>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</si>
  <si>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</si>
  <si>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</si>
  <si>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）；廣告上線約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天後；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時點值</t>
    </r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</si>
  <si>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</si>
  <si>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</si>
  <si>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</si>
  <si>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</si>
  <si>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</si>
  <si>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</si>
  <si>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</si>
  <si>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</si>
  <si>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</si>
  <si>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</si>
  <si>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</si>
  <si>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</si>
  <si>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</si>
  <si>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</si>
  <si>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</si>
  <si>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</si>
  <si>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</si>
  <si>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</si>
  <si>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</si>
  <si>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</si>
  <si>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</si>
  <si>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</si>
  <si>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</si>
  <si>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</si>
  <si>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</si>
  <si>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</si>
  <si>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</si>
  <si>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</si>
  <si>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</si>
  <si>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</si>
  <si>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</si>
  <si>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</si>
  <si>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</si>
  <si>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</si>
  <si>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</si>
  <si>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</si>
  <si>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</si>
  <si>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</si>
  <si>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</si>
  <si>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</si>
  <si>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</si>
  <si>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</si>
  <si>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</si>
  <si>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</si>
  <si>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</si>
  <si>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</si>
  <si>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</si>
  <si>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</si>
  <si>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</si>
  <si>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</si>
  <si>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</si>
  <si>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</si>
  <si>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</si>
  <si>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</si>
  <si>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</si>
  <si>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</si>
  <si>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</si>
  <si>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</si>
  <si>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</si>
  <si>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</si>
  <si>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</si>
  <si>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</si>
  <si>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</si>
  <si>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</si>
  <si>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</si>
  <si>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</si>
  <si>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</si>
  <si>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</si>
  <si>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</si>
  <si>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</si>
  <si>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</si>
  <si>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</si>
  <si>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</si>
  <si>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</si>
  <si>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</si>
  <si>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</si>
  <si>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</si>
  <si>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</si>
  <si>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</si>
  <si>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</si>
  <si>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</si>
  <si>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</si>
  <si>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</si>
  <si>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</si>
  <si>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</si>
  <si>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</si>
  <si>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</si>
  <si>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</si>
  <si>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</si>
  <si>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</si>
  <si>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</si>
  <si>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</si>
  <si>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</si>
  <si>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</si>
  <si>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</si>
  <si>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</si>
  <si>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</si>
  <si>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</si>
  <si>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</si>
  <si>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</si>
  <si>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</si>
  <si>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</si>
  <si>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</si>
  <si>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</si>
  <si>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</si>
  <si>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</si>
  <si>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</si>
  <si>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</si>
  <si>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</si>
  <si>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</si>
  <si>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</si>
  <si>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</si>
  <si>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</si>
  <si>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</si>
  <si>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</si>
  <si>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</si>
  <si>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</si>
  <si>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</si>
  <si>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</si>
  <si>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</si>
  <si>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</si>
  <si>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</si>
  <si>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</si>
  <si>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</si>
  <si>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</si>
  <si>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</si>
  <si>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</si>
  <si>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</si>
  <si>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</si>
  <si>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</si>
  <si>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</si>
  <si>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</si>
  <si>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</si>
  <si>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</si>
  <si>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</si>
  <si>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</si>
  <si>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</si>
  <si>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</si>
  <si>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</si>
  <si>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</si>
  <si>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</si>
  <si>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</si>
  <si>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</si>
  <si>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</si>
  <si>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</si>
  <si>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</si>
  <si>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</si>
  <si>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</si>
  <si>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</si>
  <si>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</si>
  <si>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</si>
  <si>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</si>
  <si>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</si>
  <si>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</si>
  <si>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</si>
  <si>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</si>
  <si>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</si>
  <si>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</si>
  <si>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</si>
  <si>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</si>
  <si>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</si>
  <si>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</si>
  <si>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</si>
  <si>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</si>
  <si>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</si>
  <si>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</si>
  <si>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</si>
  <si>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</si>
  <si>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</si>
  <si>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</si>
  <si>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</si>
  <si>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</si>
  <si>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</si>
  <si>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</si>
  <si>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</si>
  <si>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</si>
  <si>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</si>
  <si>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</si>
  <si>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</si>
  <si>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</si>
  <si>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</si>
  <si>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</si>
  <si>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</si>
  <si>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</si>
  <si>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</si>
  <si>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</si>
  <si>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</si>
  <si>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</si>
  <si>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</si>
  <si>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</si>
  <si>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</si>
  <si>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</si>
  <si>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</si>
  <si>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</si>
  <si>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</si>
  <si>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</si>
  <si>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</si>
  <si>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</si>
  <si>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</si>
  <si>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</si>
  <si>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</si>
  <si>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</si>
  <si>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</si>
  <si>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</si>
  <si>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</si>
  <si>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</si>
  <si>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</si>
  <si>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</si>
  <si>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</si>
  <si>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</si>
  <si>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</si>
  <si>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</si>
  <si>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</si>
  <si>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</si>
  <si>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</si>
  <si>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</si>
  <si>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</si>
  <si>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</si>
  <si>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</si>
  <si>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</si>
  <si>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</si>
  <si>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</si>
  <si>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</si>
  <si>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</si>
  <si>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</si>
  <si>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</si>
  <si>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</si>
  <si>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</si>
  <si>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</si>
  <si>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</si>
  <si>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</si>
  <si>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</si>
  <si>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</si>
  <si>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</si>
  <si>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</si>
  <si>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</si>
  <si>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</si>
  <si>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</si>
  <si>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</si>
  <si>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</si>
  <si>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</si>
  <si>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</si>
  <si>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</si>
  <si>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</si>
  <si>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</si>
  <si>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</si>
  <si>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</si>
  <si>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</si>
  <si>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</si>
  <si>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</si>
  <si>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</si>
  <si>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</si>
  <si>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</si>
  <si>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</si>
  <si>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</si>
  <si>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</si>
  <si>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</si>
  <si>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</si>
  <si>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</si>
  <si>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</si>
  <si>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</si>
  <si>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</si>
  <si>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</si>
  <si>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</si>
  <si>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</si>
  <si>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</si>
  <si>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</si>
  <si>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</si>
  <si>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</si>
  <si>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</si>
  <si>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</si>
  <si>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</si>
  <si>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</si>
  <si>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</si>
  <si>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</si>
  <si>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</si>
  <si>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</si>
  <si>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</si>
  <si>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</si>
  <si>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</si>
  <si>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</si>
  <si>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</si>
  <si>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</si>
  <si>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</si>
  <si>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</si>
  <si>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</si>
  <si>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</si>
  <si>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</si>
  <si>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</si>
  <si>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</si>
  <si>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</si>
  <si>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</si>
  <si>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</si>
  <si>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</si>
  <si>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</si>
  <si>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</si>
  <si>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</si>
  <si>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</si>
  <si>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</si>
  <si>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</si>
  <si>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</si>
  <si>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</si>
  <si>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</si>
  <si>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</si>
  <si>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</si>
  <si>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</si>
  <si>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</si>
  <si>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</si>
  <si>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</si>
  <si>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</si>
  <si>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</si>
  <si>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</si>
  <si>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</si>
  <si>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</si>
  <si>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</si>
  <si>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</si>
  <si>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</si>
  <si>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</si>
  <si>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</si>
  <si>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</si>
  <si>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</si>
  <si>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</si>
  <si>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</si>
  <si>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</si>
  <si>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</si>
  <si>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</si>
  <si>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</si>
  <si>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</si>
  <si>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</si>
  <si>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</si>
  <si>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</si>
  <si>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</si>
  <si>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</si>
  <si>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</si>
  <si>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</si>
  <si>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</si>
  <si>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</si>
  <si>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</si>
  <si>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</si>
  <si>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</si>
  <si>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</si>
  <si>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</si>
  <si>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</si>
  <si>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</si>
  <si>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</si>
  <si>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</si>
  <si>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</si>
  <si>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</si>
  <si>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</si>
  <si>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</si>
  <si>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</si>
  <si>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</si>
  <si>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</si>
  <si>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</si>
  <si>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</si>
  <si>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</si>
  <si>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</si>
  <si>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</si>
  <si>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</si>
  <si>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</si>
  <si>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</si>
  <si>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</si>
  <si>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</si>
  <si>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</si>
  <si>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</si>
  <si>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</si>
  <si>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</si>
  <si>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</si>
  <si>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</si>
  <si>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</si>
  <si>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</si>
  <si>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</si>
  <si>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</si>
  <si>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</si>
  <si>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</si>
  <si>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</si>
  <si>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</si>
  <si>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</si>
  <si>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</si>
  <si>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</si>
  <si>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</si>
  <si>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</si>
  <si>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</si>
  <si>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</si>
  <si>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</si>
  <si>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</si>
  <si>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</si>
  <si>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</si>
  <si>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</si>
  <si>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</si>
  <si>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</si>
  <si>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</si>
  <si>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</si>
  <si>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</si>
  <si>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</si>
  <si>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</si>
  <si>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</si>
  <si>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</si>
  <si>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</si>
  <si>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</si>
  <si>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</si>
  <si>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</si>
  <si>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</si>
  <si>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</si>
  <si>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</si>
  <si>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</si>
  <si>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</si>
  <si>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</si>
  <si>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</si>
  <si>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</si>
  <si>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</si>
  <si>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</si>
  <si>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</si>
  <si>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</si>
  <si>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</si>
  <si>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</si>
  <si>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</si>
  <si>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</si>
  <si>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</si>
  <si>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</si>
  <si>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</si>
  <si>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</si>
  <si>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</si>
  <si>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</si>
  <si>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</si>
  <si>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</si>
  <si>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</si>
  <si>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</si>
  <si>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</si>
  <si>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</si>
  <si>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</si>
  <si>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</si>
  <si>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</si>
  <si>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</si>
  <si>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</si>
  <si>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</si>
  <si>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</si>
  <si>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</si>
  <si>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</si>
  <si>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</si>
  <si>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</si>
  <si>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</si>
  <si>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</si>
  <si>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</si>
  <si>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</si>
  <si>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</si>
  <si>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</si>
  <si>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</si>
  <si>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</si>
  <si>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</si>
  <si>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</si>
  <si>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</si>
  <si>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</si>
  <si>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</si>
  <si>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</si>
  <si>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</si>
  <si>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</si>
  <si>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</si>
  <si>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</si>
  <si>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</si>
  <si>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</si>
  <si>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</si>
  <si>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</si>
  <si>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</si>
  <si>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</si>
  <si>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</si>
  <si>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</si>
  <si>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</si>
  <si>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</si>
  <si>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</si>
  <si>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</si>
  <si>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</si>
  <si>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</si>
  <si>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</si>
  <si>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</si>
  <si>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</si>
  <si>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</si>
  <si>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</si>
  <si>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</si>
  <si>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</si>
  <si>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</si>
  <si>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</si>
  <si>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</si>
  <si>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</si>
  <si>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</si>
  <si>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</si>
  <si>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</si>
  <si>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</si>
  <si>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</si>
  <si>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</si>
  <si>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</si>
  <si>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</si>
  <si>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</si>
  <si>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</si>
  <si>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</si>
  <si>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</si>
  <si>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</si>
  <si>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</si>
  <si>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</si>
  <si>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</si>
  <si>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</si>
  <si>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</si>
  <si>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</si>
  <si>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</si>
  <si>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</si>
  <si>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</si>
  <si>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</si>
  <si>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</si>
  <si>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</si>
  <si>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</si>
  <si>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</si>
  <si>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</si>
  <si>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</si>
  <si>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</si>
  <si>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</si>
  <si>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</si>
  <si>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</si>
  <si>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</si>
  <si>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</si>
  <si>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</si>
  <si>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</si>
  <si>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</si>
  <si>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</si>
  <si>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</si>
  <si>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</si>
  <si>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</si>
  <si>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</si>
  <si>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</si>
  <si>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</si>
  <si>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</si>
  <si>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</si>
  <si>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</si>
  <si>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</si>
  <si>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</si>
  <si>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</si>
  <si>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</si>
  <si>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</si>
  <si>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</si>
  <si>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</si>
  <si>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</si>
  <si>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</si>
  <si>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</si>
  <si>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</si>
  <si>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</si>
  <si>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</si>
  <si>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</si>
  <si>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</si>
  <si>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</si>
  <si>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</si>
  <si>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</si>
  <si>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</si>
  <si>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</si>
  <si>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</si>
  <si>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</si>
  <si>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</si>
  <si>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</si>
  <si>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</si>
  <si>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</si>
  <si>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</si>
  <si>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</si>
  <si>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</si>
  <si>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</si>
  <si>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</si>
  <si>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</si>
  <si>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</si>
  <si>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</si>
  <si>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</si>
  <si>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</si>
  <si>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</si>
  <si>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</si>
  <si>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</si>
  <si>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</si>
  <si>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</si>
  <si>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</si>
  <si>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</si>
  <si>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</si>
  <si>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</si>
  <si>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</si>
  <si>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</si>
  <si>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</si>
  <si>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</si>
  <si>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</si>
  <si>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</si>
  <si>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</si>
  <si>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</si>
  <si>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</si>
  <si>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</si>
  <si>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</si>
  <si>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</si>
  <si>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</si>
  <si>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</si>
  <si>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</si>
  <si>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</si>
  <si>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</si>
  <si>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</si>
  <si>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</si>
  <si>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</si>
  <si>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</si>
  <si>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</si>
  <si>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</si>
  <si>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</si>
  <si>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</si>
  <si>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</si>
  <si>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</si>
  <si>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</si>
  <si>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</si>
  <si>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</si>
  <si>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</si>
  <si>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</si>
  <si>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</si>
  <si>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</si>
  <si>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</si>
  <si>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</si>
  <si>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</si>
  <si>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</si>
  <si>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</si>
  <si>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</si>
  <si>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</si>
  <si>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</si>
  <si>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</si>
  <si>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</si>
  <si>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</si>
  <si>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</si>
  <si>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</si>
  <si>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</si>
  <si>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</si>
  <si>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</si>
  <si>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</si>
  <si>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</si>
  <si>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</si>
  <si>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</si>
  <si>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</si>
  <si>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</si>
  <si>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</si>
  <si>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</si>
  <si>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</si>
  <si>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</si>
  <si>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</si>
  <si>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</si>
  <si>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</si>
  <si>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</si>
  <si>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</si>
  <si>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</si>
  <si>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</si>
  <si>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</si>
  <si>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</si>
  <si>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</si>
  <si>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</si>
  <si>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</si>
  <si>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</si>
  <si>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</si>
  <si>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</si>
  <si>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</si>
  <si>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</si>
  <si>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</si>
  <si>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</si>
  <si>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</si>
  <si>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</si>
  <si>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</si>
  <si>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</si>
  <si>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</si>
  <si>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</si>
  <si>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</si>
  <si>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</si>
  <si>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</si>
  <si>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</si>
  <si>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</si>
  <si>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</si>
  <si>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</si>
  <si>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</si>
  <si>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</si>
  <si>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</si>
  <si>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</si>
  <si>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</si>
  <si>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</si>
  <si>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</si>
  <si>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</si>
  <si>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</si>
  <si>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</si>
  <si>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</si>
  <si>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</si>
  <si>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</si>
  <si>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</si>
  <si>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</si>
  <si>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</si>
  <si>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</si>
  <si>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</si>
  <si>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</si>
  <si>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</si>
  <si>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</si>
  <si>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</si>
  <si>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</si>
  <si>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</si>
  <si>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</si>
  <si>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</si>
  <si>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</si>
  <si>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</si>
  <si>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</si>
  <si>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</si>
  <si>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</si>
  <si>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</si>
  <si>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</si>
  <si>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</si>
  <si>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</si>
  <si>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</si>
  <si>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</si>
  <si>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</si>
  <si>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</si>
  <si>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</si>
  <si>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</si>
  <si>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</si>
  <si>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</si>
  <si>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</si>
  <si>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</si>
  <si>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</si>
  <si>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</si>
  <si>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</si>
  <si>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</si>
  <si>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</si>
  <si>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</si>
  <si>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</si>
  <si>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</si>
  <si>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</si>
  <si>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</si>
  <si>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</si>
  <si>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</si>
  <si>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</si>
  <si>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</si>
  <si>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</si>
  <si>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</si>
  <si>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</si>
  <si>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</si>
  <si>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</si>
  <si>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</si>
  <si>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</si>
  <si>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</si>
  <si>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</si>
  <si>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</si>
  <si>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</si>
  <si>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</si>
  <si>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</si>
  <si>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</si>
  <si>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</si>
  <si>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</si>
  <si>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</si>
  <si>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</si>
  <si>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</si>
  <si>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</si>
  <si>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</si>
  <si>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</si>
  <si>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</si>
  <si>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</si>
  <si>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</si>
  <si>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</si>
  <si>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</si>
  <si>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</si>
  <si>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</si>
  <si>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</si>
  <si>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</si>
  <si>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</si>
  <si>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</si>
  <si>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</si>
  <si>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</si>
  <si>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</si>
  <si>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</si>
  <si>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</si>
  <si>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</si>
  <si>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</si>
  <si>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</si>
  <si>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</si>
  <si>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</si>
  <si>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</si>
  <si>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</si>
  <si>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</si>
  <si>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</si>
  <si>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</si>
  <si>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</si>
  <si>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</si>
  <si>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</si>
  <si>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</si>
  <si>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</si>
  <si>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</si>
  <si>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</si>
  <si>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</si>
  <si>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</si>
  <si>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</si>
  <si>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</si>
  <si>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</si>
  <si>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</si>
  <si>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</si>
  <si>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</si>
  <si>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</si>
  <si>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</si>
  <si>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</si>
  <si>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</si>
  <si>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</si>
  <si>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</si>
  <si>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</si>
  <si>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</si>
  <si>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</si>
  <si>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</si>
  <si>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</si>
  <si>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</si>
  <si>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</si>
  <si>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</si>
  <si>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</si>
  <si>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</si>
  <si>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</si>
  <si>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</si>
  <si>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</si>
  <si>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</si>
  <si>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</si>
  <si>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</si>
  <si>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</si>
  <si>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</si>
  <si>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</si>
  <si>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</si>
  <si>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</si>
  <si>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</si>
  <si>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</si>
  <si>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</si>
  <si>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</si>
  <si>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</si>
  <si>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</si>
  <si>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</si>
  <si>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</si>
  <si>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</si>
  <si>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</si>
  <si>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</si>
  <si>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</si>
  <si>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</si>
  <si>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</si>
  <si>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</si>
  <si>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</si>
  <si>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</si>
  <si>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</si>
  <si>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</si>
  <si>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</si>
  <si>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</si>
  <si>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</si>
  <si>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</si>
  <si>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</si>
  <si>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</si>
  <si>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</si>
  <si>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</si>
  <si>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</si>
  <si>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</si>
  <si>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</si>
  <si>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</si>
  <si>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</si>
  <si>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</si>
  <si>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</si>
  <si>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</si>
  <si>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</si>
  <si>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</si>
  <si>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</si>
  <si>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</si>
  <si>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</si>
  <si>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</si>
  <si>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</si>
  <si>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</si>
  <si>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</si>
  <si>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</si>
  <si>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</si>
  <si>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</si>
  <si>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</si>
  <si>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</si>
  <si>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</si>
  <si>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</si>
  <si>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</si>
  <si>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</si>
  <si>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</si>
  <si>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</si>
  <si>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</si>
  <si>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</si>
  <si>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</si>
  <si>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</si>
  <si>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</si>
  <si>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</si>
  <si>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</si>
  <si>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</si>
  <si>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</si>
  <si>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</si>
  <si>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</si>
  <si>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</si>
  <si>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</si>
  <si>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</si>
  <si>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</si>
  <si>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</si>
  <si>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</si>
  <si>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</si>
  <si>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</si>
  <si>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</si>
  <si>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</si>
  <si>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</si>
  <si>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</si>
  <si>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</si>
  <si>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</si>
  <si>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</si>
  <si>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</si>
  <si>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</si>
  <si>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</si>
  <si>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</si>
  <si>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</si>
  <si>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</si>
  <si>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</si>
  <si>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</si>
  <si>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</si>
  <si>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</si>
  <si>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</si>
  <si>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</si>
  <si>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</si>
  <si>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</si>
  <si>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</si>
  <si>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</si>
  <si>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</si>
  <si>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</si>
  <si>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</si>
  <si>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</si>
  <si>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</si>
  <si>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</si>
  <si>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</si>
  <si>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</si>
  <si>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</si>
  <si>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</si>
  <si>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</si>
  <si>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</si>
  <si>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</si>
  <si>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</si>
  <si>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</si>
  <si>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</si>
  <si>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</si>
  <si>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</si>
  <si>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</si>
  <si>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</si>
  <si>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</si>
  <si>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</si>
  <si>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</si>
  <si>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</si>
  <si>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</si>
  <si>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</si>
  <si>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</si>
  <si>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</si>
  <si>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</si>
  <si>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</si>
  <si>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</si>
  <si>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</si>
  <si>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</si>
  <si>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</si>
  <si>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</si>
  <si>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</si>
  <si>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</si>
  <si>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</si>
  <si>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</si>
  <si>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</si>
  <si>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</si>
  <si>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</si>
  <si>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</si>
  <si>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</si>
  <si>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</si>
  <si>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</si>
  <si>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</si>
  <si>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</si>
  <si>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</si>
  <si>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</si>
  <si>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</si>
  <si>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</si>
  <si>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</si>
  <si>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</si>
  <si>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</si>
  <si>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</si>
  <si>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</si>
  <si>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</si>
  <si>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</si>
  <si>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</si>
  <si>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</si>
  <si>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</si>
  <si>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</si>
  <si>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</si>
  <si>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</si>
  <si>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</si>
  <si>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</si>
  <si>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</si>
  <si>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</si>
  <si>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</si>
  <si>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</si>
  <si>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</si>
  <si>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</si>
  <si>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</si>
  <si>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</si>
  <si>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</si>
  <si>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</si>
  <si>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</si>
  <si>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</si>
  <si>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</si>
  <si>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</si>
  <si>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</si>
  <si>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</si>
  <si>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</si>
  <si>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</si>
  <si>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</si>
  <si>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</si>
  <si>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</si>
  <si>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</si>
  <si>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</si>
  <si>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</si>
  <si>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</si>
  <si>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</si>
  <si>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</si>
  <si>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</si>
  <si>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</si>
  <si>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</si>
  <si>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</si>
  <si>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</si>
  <si>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</si>
  <si>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</si>
  <si>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</si>
  <si>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</si>
  <si>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</si>
  <si>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</si>
  <si>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</si>
  <si>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</si>
  <si>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</si>
  <si>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</si>
  <si>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</si>
  <si>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</si>
  <si>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</si>
  <si>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</si>
  <si>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</si>
  <si>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</si>
  <si>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</si>
  <si>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</si>
  <si>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</si>
  <si>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</si>
  <si>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</si>
  <si>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</si>
  <si>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</si>
  <si>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</si>
  <si>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</si>
  <si>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</si>
  <si>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</si>
  <si>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</si>
  <si>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</si>
  <si>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</si>
  <si>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</si>
  <si>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</si>
  <si>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</si>
  <si>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</si>
  <si>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</si>
  <si>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</si>
  <si>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</si>
  <si>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</si>
  <si>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</si>
  <si>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</si>
  <si>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</si>
  <si>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</si>
  <si>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</si>
  <si>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</si>
  <si>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</si>
  <si>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</si>
  <si>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</si>
  <si>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</si>
  <si>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</si>
  <si>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</si>
  <si>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</si>
  <si>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</si>
  <si>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</si>
  <si>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</si>
  <si>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</si>
  <si>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</si>
  <si>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</si>
  <si>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</si>
  <si>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</si>
  <si>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</si>
  <si>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</si>
  <si>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</si>
  <si>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</si>
  <si>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</si>
  <si>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</si>
  <si>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</si>
  <si>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</si>
  <si>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</si>
  <si>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</si>
  <si>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</si>
  <si>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</si>
  <si>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</si>
  <si>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</si>
  <si>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</si>
  <si>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</si>
  <si>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</si>
  <si>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</si>
  <si>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</si>
  <si>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</si>
  <si>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</si>
  <si>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</si>
  <si>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</si>
  <si>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</si>
  <si>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</si>
  <si>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</si>
  <si>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</si>
  <si>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</si>
  <si>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</si>
  <si>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</si>
  <si>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</si>
  <si>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</si>
  <si>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</si>
  <si>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</si>
  <si>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</si>
  <si>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</si>
  <si>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</si>
  <si>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</si>
  <si>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</si>
  <si>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</si>
  <si>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</si>
  <si>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</si>
  <si>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</si>
  <si>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</si>
  <si>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</si>
  <si>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</si>
  <si>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</si>
  <si>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</si>
  <si>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</si>
  <si>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</si>
  <si>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</si>
  <si>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</si>
  <si>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</si>
  <si>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</si>
  <si>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</si>
  <si>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</si>
  <si>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</si>
  <si>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</si>
  <si>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</si>
  <si>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</si>
  <si>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</si>
  <si>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</si>
  <si>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</si>
  <si>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</si>
  <si>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</si>
  <si>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</si>
  <si>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</si>
  <si>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</si>
  <si>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</si>
  <si>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</si>
  <si>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</si>
  <si>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</si>
  <si>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</si>
  <si>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</si>
  <si>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</si>
  <si>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</si>
  <si>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</si>
  <si>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</si>
  <si>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</si>
  <si>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</si>
  <si>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</si>
  <si>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</si>
  <si>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</si>
  <si>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</si>
  <si>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</si>
  <si>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</si>
  <si>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</si>
  <si>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</si>
  <si>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</si>
  <si>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</si>
  <si>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</si>
  <si>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</si>
  <si>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</si>
  <si>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</si>
  <si>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</si>
  <si>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</si>
  <si>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</si>
  <si>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</si>
  <si>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</si>
  <si>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</si>
  <si>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</si>
  <si>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</si>
  <si>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</si>
  <si>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</si>
  <si>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</si>
  <si>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</si>
  <si>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</si>
  <si>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</si>
  <si>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</si>
  <si>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</si>
  <si>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</si>
  <si>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</si>
  <si>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</si>
  <si>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</si>
  <si>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</si>
  <si>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</si>
  <si>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</si>
  <si>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</si>
  <si>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</si>
  <si>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</si>
  <si>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</si>
  <si>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</si>
  <si>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</si>
  <si>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</si>
  <si>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</si>
  <si>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</si>
  <si>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</si>
  <si>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</si>
  <si>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</si>
  <si>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</si>
  <si>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</si>
  <si>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</si>
  <si>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</si>
  <si>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</si>
  <si>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</si>
  <si>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</si>
  <si>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</si>
  <si>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</si>
  <si>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</si>
  <si>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</si>
  <si>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</si>
  <si>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</si>
  <si>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</si>
  <si>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</si>
  <si>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</si>
  <si>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</si>
  <si>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</si>
  <si>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</si>
  <si>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</si>
  <si>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</si>
  <si>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</si>
  <si>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</si>
  <si>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</si>
  <si>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</si>
  <si>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</si>
  <si>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</si>
  <si>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</si>
  <si>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</si>
  <si>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</si>
  <si>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</si>
  <si>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</si>
  <si>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</si>
  <si>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</si>
  <si>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</si>
  <si>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</si>
  <si>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</si>
  <si>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</si>
  <si>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</si>
  <si>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</si>
  <si>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</si>
  <si>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</si>
  <si>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</si>
  <si>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</si>
  <si>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</si>
  <si>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</si>
  <si>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</si>
  <si>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</si>
  <si>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</si>
  <si>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</si>
  <si>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</si>
  <si>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</si>
  <si>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</si>
  <si>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</si>
  <si>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</si>
  <si>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</si>
  <si>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</si>
  <si>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</si>
  <si>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</si>
  <si>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</si>
  <si>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</si>
  <si>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</si>
  <si>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</si>
  <si>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</si>
  <si>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</si>
  <si>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</si>
  <si>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</si>
  <si>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</si>
  <si>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</si>
  <si>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</si>
  <si>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</si>
  <si>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</si>
  <si>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</si>
  <si>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</si>
  <si>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</si>
  <si>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</si>
  <si>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</si>
  <si>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</si>
  <si>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</si>
  <si>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</si>
  <si>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</si>
  <si>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</si>
  <si>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</si>
  <si>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</si>
  <si>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</si>
  <si>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</si>
  <si>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</si>
  <si>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</si>
  <si>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</si>
  <si>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</si>
  <si>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</si>
  <si>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</si>
  <si>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</si>
  <si>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</si>
  <si>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</si>
  <si>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</si>
  <si>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</si>
  <si>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</si>
  <si>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</si>
  <si>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</si>
  <si>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</si>
  <si>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</si>
  <si>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</si>
  <si>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</si>
  <si>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</si>
  <si>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</si>
  <si>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</si>
  <si>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</si>
  <si>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</si>
  <si>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</si>
  <si>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</si>
  <si>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</si>
  <si>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</si>
  <si>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</si>
  <si>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</si>
  <si>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</si>
  <si>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</si>
  <si>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</si>
  <si>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</si>
  <si>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</si>
  <si>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</si>
  <si>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</si>
  <si>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</si>
  <si>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</si>
  <si>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</si>
  <si>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</si>
  <si>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</si>
  <si>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</si>
  <si>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</si>
  <si>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</si>
  <si>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</si>
  <si>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</si>
  <si>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</si>
  <si>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</si>
  <si>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</si>
  <si>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</si>
  <si>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</si>
  <si>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</si>
  <si>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</si>
  <si>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</si>
  <si>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</si>
  <si>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</si>
  <si>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</si>
  <si>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</si>
  <si>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</si>
  <si>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</si>
  <si>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</si>
  <si>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</si>
  <si>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</si>
  <si>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</si>
  <si>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</si>
  <si>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</si>
  <si>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</si>
  <si>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</si>
  <si>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</si>
  <si>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</si>
  <si>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</si>
  <si>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</si>
  <si>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</si>
  <si>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</si>
  <si>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</si>
  <si>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</si>
  <si>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</si>
  <si>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</si>
  <si>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</si>
  <si>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</si>
  <si>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</si>
  <si>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</si>
  <si>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</si>
  <si>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</si>
  <si>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</si>
  <si>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</si>
  <si>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</si>
  <si>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</si>
  <si>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</si>
  <si>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</si>
  <si>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</si>
  <si>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</si>
  <si>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</si>
  <si>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</si>
  <si>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</si>
  <si>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</si>
  <si>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</si>
  <si>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</si>
  <si>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</si>
  <si>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</si>
  <si>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</si>
  <si>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</si>
  <si>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</si>
  <si>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</si>
  <si>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</si>
  <si>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</si>
  <si>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</si>
  <si>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</si>
  <si>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</si>
  <si>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</si>
  <si>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</si>
  <si>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</si>
  <si>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</si>
  <si>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</si>
  <si>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</si>
  <si>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</si>
  <si>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</si>
  <si>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</si>
  <si>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</si>
  <si>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</si>
  <si>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</si>
  <si>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</si>
  <si>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</si>
  <si>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</si>
  <si>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</si>
  <si>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</si>
  <si>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</si>
  <si>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</si>
  <si>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</si>
  <si>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</si>
  <si>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</si>
  <si>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</si>
  <si>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</si>
  <si>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</si>
  <si>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</si>
  <si>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</si>
  <si>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</si>
  <si>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</si>
  <si>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</si>
  <si>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</si>
  <si>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</si>
  <si>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</si>
  <si>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</si>
  <si>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</si>
  <si>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</si>
  <si>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</si>
  <si>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</si>
  <si>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</si>
  <si>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</si>
  <si>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</si>
  <si>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</si>
  <si>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</si>
  <si>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</si>
  <si>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</si>
  <si>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</si>
  <si>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</si>
  <si>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</si>
  <si>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</si>
  <si>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</si>
  <si>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</si>
  <si>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</si>
  <si>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</si>
  <si>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</si>
  <si>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</si>
  <si>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</si>
  <si>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</si>
  <si>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</si>
  <si>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</si>
  <si>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</si>
  <si>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</si>
  <si>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</si>
  <si>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</si>
  <si>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</si>
  <si>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</si>
  <si>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</si>
  <si>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</si>
  <si>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</si>
  <si>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</si>
  <si>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</si>
  <si>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</si>
  <si>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</si>
  <si>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</si>
  <si>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</si>
  <si>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</si>
  <si>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</si>
  <si>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</si>
  <si>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</si>
  <si>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</si>
  <si>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</si>
  <si>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</si>
  <si>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</si>
  <si>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</si>
  <si>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</si>
  <si>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</si>
  <si>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</si>
  <si>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</si>
  <si>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</si>
  <si>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</si>
  <si>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</si>
  <si>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</si>
  <si>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</si>
  <si>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</si>
  <si>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</si>
  <si>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</si>
  <si>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</si>
  <si>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</si>
  <si>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</si>
  <si>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</si>
  <si>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</si>
  <si>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</si>
  <si>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</si>
  <si>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</si>
  <si>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</si>
  <si>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</si>
  <si>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</si>
  <si>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</si>
  <si>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</si>
  <si>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</si>
  <si>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</si>
  <si>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</si>
  <si>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</si>
  <si>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</si>
  <si>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</si>
  <si>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</si>
  <si>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</si>
  <si>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</si>
  <si>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</si>
  <si>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</si>
  <si>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</si>
  <si>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</si>
  <si>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</si>
  <si>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</si>
  <si>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</si>
  <si>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</si>
  <si>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</si>
  <si>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</si>
  <si>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</si>
  <si>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</si>
  <si>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</si>
  <si>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</si>
  <si>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</si>
  <si>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</si>
  <si>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</si>
  <si>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</si>
  <si>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</si>
  <si>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</si>
  <si>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</si>
  <si>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</si>
  <si>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</si>
  <si>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</si>
  <si>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</si>
  <si>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</si>
  <si>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</si>
  <si>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</si>
  <si>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</si>
  <si>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</si>
  <si>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</si>
  <si>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</si>
  <si>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</si>
  <si>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</si>
  <si>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</si>
  <si>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</si>
  <si>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</si>
  <si>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</si>
  <si>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</si>
  <si>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</si>
  <si>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</si>
  <si>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</si>
  <si>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</si>
  <si>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</si>
  <si>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</si>
  <si>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</si>
  <si>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</si>
  <si>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</si>
  <si>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</si>
  <si>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</si>
  <si>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</si>
  <si>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</si>
  <si>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</si>
  <si>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</si>
  <si>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</si>
  <si>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</si>
  <si>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</si>
  <si>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</si>
  <si>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</si>
  <si>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</si>
  <si>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</si>
  <si>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</si>
  <si>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</si>
  <si>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</si>
  <si>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</si>
  <si>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</si>
  <si>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</si>
  <si>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</si>
  <si>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</si>
  <si>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</si>
  <si>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</si>
  <si>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</si>
  <si>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</si>
  <si>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</si>
  <si>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</si>
  <si>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</si>
  <si>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</si>
  <si>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</si>
  <si>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</si>
  <si>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</si>
  <si>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</si>
  <si>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</si>
  <si>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</si>
  <si>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</si>
  <si>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</si>
  <si>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</si>
  <si>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</si>
  <si>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</si>
  <si>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</si>
  <si>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</si>
  <si>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</si>
  <si>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</si>
  <si>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</si>
  <si>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</si>
  <si>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</si>
  <si>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</si>
  <si>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</si>
  <si>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</si>
  <si>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</si>
  <si>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</si>
  <si>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</si>
  <si>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</si>
  <si>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</si>
  <si>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</si>
  <si>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</si>
  <si>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</si>
  <si>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</si>
  <si>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</si>
  <si>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</si>
  <si>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</si>
  <si>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</si>
  <si>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</si>
  <si>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</si>
  <si>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</si>
  <si>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</si>
  <si>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</si>
  <si>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</si>
  <si>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</si>
  <si>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</si>
  <si>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</si>
  <si>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</si>
  <si>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</si>
  <si>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</si>
  <si>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</si>
  <si>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</si>
  <si>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</si>
  <si>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</si>
  <si>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</si>
  <si>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</si>
  <si>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</si>
  <si>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</si>
  <si>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</si>
  <si>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</si>
  <si>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</si>
  <si>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</si>
  <si>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</si>
  <si>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</si>
  <si>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</si>
  <si>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</si>
  <si>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</si>
  <si>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</si>
  <si>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</si>
  <si>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</si>
  <si>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</si>
  <si>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</si>
  <si>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</si>
  <si>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</si>
  <si>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</si>
  <si>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</si>
  <si>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</si>
  <si>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</si>
  <si>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</si>
  <si>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</si>
  <si>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</si>
  <si>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</si>
  <si>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</si>
  <si>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</si>
  <si>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</si>
  <si>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</si>
  <si>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</si>
  <si>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</si>
  <si>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</si>
  <si>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</si>
  <si>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</si>
  <si>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</si>
  <si>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</si>
  <si>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</si>
  <si>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</si>
  <si>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</si>
  <si>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</si>
  <si>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</si>
  <si>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</si>
  <si>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</si>
  <si>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</si>
  <si>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</si>
  <si>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</si>
  <si>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</si>
  <si>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</si>
  <si>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</si>
  <si>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</si>
  <si>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</si>
  <si>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</si>
  <si>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</si>
  <si>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</si>
  <si>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</si>
  <si>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</si>
  <si>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</si>
  <si>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</si>
  <si>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</si>
  <si>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</si>
  <si>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</si>
  <si>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</si>
  <si>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</si>
  <si>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</si>
  <si>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</si>
  <si>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</si>
  <si>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</si>
  <si>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</si>
  <si>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</si>
  <si>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</si>
  <si>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</si>
  <si>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</si>
  <si>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</si>
  <si>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</si>
  <si>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</si>
  <si>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</si>
  <si>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</si>
  <si>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</si>
  <si>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</si>
  <si>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</si>
  <si>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</si>
  <si>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</si>
  <si>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</si>
  <si>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</si>
  <si>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</si>
  <si>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</si>
  <si>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</si>
  <si>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</si>
  <si>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</si>
  <si>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</si>
  <si>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</si>
  <si>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</si>
  <si>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</si>
  <si>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</si>
  <si>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</si>
  <si>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</si>
  <si>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</si>
  <si>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</si>
  <si>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</si>
  <si>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</si>
  <si>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</si>
  <si>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</si>
  <si>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</si>
  <si>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</si>
  <si>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</si>
  <si>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</si>
  <si>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</si>
  <si>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</si>
  <si>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</si>
  <si>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</si>
  <si>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</si>
  <si>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</si>
  <si>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</si>
  <si>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</si>
  <si>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</si>
  <si>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</si>
  <si>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</si>
  <si>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</si>
  <si>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</si>
  <si>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</si>
  <si>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</si>
  <si>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</si>
  <si>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</si>
  <si>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</si>
  <si>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</si>
  <si>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</si>
  <si>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</si>
  <si>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</si>
  <si>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</si>
  <si>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</si>
  <si>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</si>
  <si>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</si>
  <si>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</si>
  <si>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</si>
  <si>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</si>
  <si>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</si>
  <si>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</si>
  <si>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</si>
  <si>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</si>
  <si>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</si>
  <si>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</si>
  <si>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</si>
  <si>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</si>
  <si>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</si>
  <si>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</si>
  <si>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</si>
  <si>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</si>
  <si>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</si>
  <si>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</si>
  <si>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</si>
  <si>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</si>
  <si>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</si>
  <si>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</si>
  <si>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</si>
  <si>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</si>
  <si>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</si>
  <si>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</si>
  <si>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</si>
  <si>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</si>
  <si>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</si>
  <si>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</si>
  <si>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</si>
  <si>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</si>
  <si>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</si>
  <si>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</si>
  <si>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</si>
  <si>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</si>
  <si>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</si>
  <si>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</si>
  <si>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</si>
  <si>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</si>
  <si>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</si>
  <si>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</si>
  <si>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</si>
  <si>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</si>
  <si>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</si>
  <si>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</si>
  <si>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</si>
  <si>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</si>
  <si>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r>
      <rPr>
        <sz val="10"/>
        <color rgb="FF0000FF"/>
        <rFont val="Noto Sans CJK SC"/>
        <family val="2"/>
      </rPr>
      <t xml:space="preserve">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G0-7</t>
    </r>
    <r>
      <rPr>
        <sz val="10"/>
        <color rgb="FF0000FF"/>
        <rFont val="Noto Sans CJK SC"/>
        <family val="2"/>
      </rPr>
      <t xml:space="preserve">）；待一手確認</t>
    </r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</si>
  <si>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</si>
  <si>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</si>
  <si>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不新增（等級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各點可對 </t>
    </r>
    <r>
      <rPr>
        <sz val="10"/>
        <color rgb="FF0000FF"/>
        <rFont val="Arial"/>
        <family val="0"/>
        <charset val="1"/>
      </rPr>
      <t xml:space="preserve">SRC_PRC_006–008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BenchLM 2026-10-13 </t>
    </r>
    <r>
      <rPr>
        <sz val="10"/>
        <color rgb="FF0000FF"/>
        <rFont val="Noto Sans CJK SC"/>
        <family val="2"/>
      </rPr>
      <t xml:space="preserve">頁面互證</t>
    </r>
  </si>
  <si>
    <r>
      <rPr>
        <sz val="10"/>
        <color rgb="FF0000FF"/>
        <rFont val="Noto Sans CJK SC"/>
        <family val="2"/>
      </rPr>
      <t xml:space="preserve">歷史牌價未逐筆重讀原文｜暫編 </t>
    </r>
    <r>
      <rPr>
        <sz val="10"/>
        <color rgb="FF0000FF"/>
        <rFont val="Arial"/>
        <family val="0"/>
        <charset val="1"/>
      </rPr>
      <t xml:space="preserve">N14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</si>
  <si>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</si>
  <si>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</si>
  <si>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</si>
  <si>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</si>
  <si>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</si>
  <si>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Noto Sans CJK SC"/>
        <family val="2"/>
      </rPr>
      <t xml:space="preserve">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；二手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</si>
  <si>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</si>
  <si>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</si>
  <si>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不新增；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高端（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）取近一年持平略升的依據之一</t>
    </r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</si>
  <si>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</si>
  <si>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</si>
  <si>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</si>
  <si>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</si>
  <si>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r>
      <rPr>
        <sz val="10"/>
        <color rgb="FF0000FF"/>
        <rFont val="Noto Sans CJK SC"/>
        <family val="2"/>
      </rPr>
      <t xml:space="preserve">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；二手彙整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</si>
  <si>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</si>
  <si>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不新增</t>
    </r>
  </si>
  <si>
    <r>
      <rPr>
        <sz val="10"/>
        <color rgb="FF0000FF"/>
        <rFont val="Noto Sans CJK SC"/>
        <family val="2"/>
      </rPr>
      <t xml:space="preserve">二手彙整｜暫編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</si>
  <si>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</si>
  <si>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</si>
  <si>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r>
      <rPr>
        <sz val="10"/>
        <color rgb="FF0000FF"/>
        <rFont val="Noto Sans CJK SC"/>
        <family val="2"/>
      </rPr>
      <t xml:space="preserve">工作單 </t>
    </r>
    <r>
      <rPr>
        <sz val="10"/>
        <color rgb="FF0000FF"/>
        <rFont val="Arial"/>
        <family val="0"/>
        <charset val="1"/>
      </rPr>
      <t xml:space="preserve">v5.35 r0 B2 I-1 </t>
    </r>
    <r>
      <rPr>
        <sz val="10"/>
        <color rgb="FF0000FF"/>
        <rFont val="Noto Sans CJK SC"/>
        <family val="2"/>
      </rPr>
      <t xml:space="preserve">依據欄（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計算）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</si>
  <si>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</si>
  <si>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</si>
  <si>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基準取近兩年中值附近、高端取近一年持平略升、低端取 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後供給釋放與中國廠商競價情境</t>
    </r>
  </si>
  <si>
    <r>
      <rPr>
        <sz val="10"/>
        <color rgb="FF0000FF"/>
        <rFont val="Noto Sans CJK SC"/>
        <family val="2"/>
      </rPr>
      <t xml:space="preserve">兩種混合權重並列｜暫編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</si>
  <si>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</si>
  <si>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</si>
  <si>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r>
      <rPr>
        <sz val="10"/>
        <color rgb="FF0000FF"/>
        <rFont val="Noto Sans CJK SC"/>
        <family val="2"/>
      </rPr>
      <t xml:space="preserve">工作單 </t>
    </r>
    <r>
      <rPr>
        <sz val="10"/>
        <color rgb="FF0000FF"/>
        <rFont val="Arial"/>
        <family val="0"/>
        <charset val="1"/>
      </rPr>
      <t xml:space="preserve">v5.35 r0 B2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計算）</t>
    </r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</si>
  <si>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</si>
  <si>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</si>
  <si>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節驗收錨點來源</t>
    </r>
  </si>
  <si>
    <r>
      <rPr>
        <sz val="10"/>
        <color rgb="FF0000FF"/>
        <rFont val="Noto Sans CJK SC"/>
        <family val="2"/>
      </rPr>
      <t xml:space="preserve">—｜暫編 </t>
    </r>
    <r>
      <rPr>
        <sz val="10"/>
        <color rgb="FF0000FF"/>
        <rFont val="Arial"/>
        <family val="0"/>
        <charset val="1"/>
      </rPr>
      <t xml:space="preserve">N18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</si>
  <si>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</si>
  <si>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</si>
  <si>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</si>
  <si>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</si>
  <si>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</si>
  <si>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X43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J23 (2) </t>
    </r>
    <r>
      <rPr>
        <sz val="10"/>
        <color rgb="FF0000FF"/>
        <rFont val="Noto Sans CJK SC"/>
        <family val="2"/>
      </rPr>
      <t xml:space="preserve">廣告每欄各自輸入的依據</t>
    </r>
  </si>
  <si>
    <r>
      <rPr>
        <sz val="10"/>
        <color rgb="FF0000FF"/>
        <rFont val="Noto Sans CJK SC"/>
        <family val="2"/>
      </rPr>
      <t xml:space="preserve">二手轉述，未取得一手｜暫編 </t>
    </r>
    <r>
      <rPr>
        <sz val="10"/>
        <color rgb="FF0000FF"/>
        <rFont val="Arial"/>
        <family val="0"/>
        <charset val="1"/>
      </rPr>
      <t xml:space="preserve">N19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</si>
</sst>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7" hidden="false" customHeight="false" outlineLevel="0" collapsed="false">
      <c r="A37" s="10" t="s">
        <v>68</v>
      </c>
      <c r="B37" s="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70</v>
      </c>
    </row>
    <row r="2" customFormat="false" ht="15" hidden="false" customHeight="true" outlineLevel="0" collapsed="false">
      <c r="A2" s="11" t="s">
        <v>71</v>
      </c>
    </row>
    <row r="3" customFormat="false" ht="15" hidden="false" customHeight="true" outlineLevel="0" collapsed="false">
      <c r="A3" s="12" t="s">
        <v>72</v>
      </c>
      <c r="B3" s="12" t="s">
        <v>73</v>
      </c>
      <c r="C3" s="12"/>
      <c r="D3" s="12" t="s">
        <v>74</v>
      </c>
      <c r="E3" s="12" t="s">
        <v>75</v>
      </c>
      <c r="F3" s="12" t="s">
        <v>76</v>
      </c>
      <c r="G3" s="12" t="s">
        <v>77</v>
      </c>
      <c r="H3" s="12" t="s">
        <v>78</v>
      </c>
    </row>
    <row r="4" customFormat="false" ht="15" hidden="false" customHeight="true" outlineLevel="0" collapsed="false">
      <c r="A4" s="13" t="s">
        <v>79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80</v>
      </c>
      <c r="B5" s="16" t="s">
        <v>81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82</v>
      </c>
      <c r="H5" s="19" t="s">
        <v>83</v>
      </c>
    </row>
    <row r="6" customFormat="false" ht="15" hidden="false" customHeight="true" outlineLevel="0" collapsed="false">
      <c r="A6" s="20" t="s">
        <v>84</v>
      </c>
      <c r="B6" s="21" t="s">
        <v>85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82</v>
      </c>
      <c r="H6" s="19" t="s">
        <v>86</v>
      </c>
    </row>
    <row r="7" customFormat="false" ht="15" hidden="false" customHeight="true" outlineLevel="0" collapsed="false">
      <c r="A7" s="13" t="s">
        <v>87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88</v>
      </c>
      <c r="B8" s="16" t="s">
        <v>89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90</v>
      </c>
      <c r="H8" s="19" t="s">
        <v>91</v>
      </c>
    </row>
    <row r="9" customFormat="false" ht="15" hidden="false" customHeight="true" outlineLevel="0" collapsed="false">
      <c r="A9" s="15" t="s">
        <v>92</v>
      </c>
      <c r="B9" s="16" t="s">
        <v>93</v>
      </c>
      <c r="D9" s="24" t="n">
        <v>1.1</v>
      </c>
      <c r="E9" s="24" t="n">
        <v>1.2</v>
      </c>
      <c r="F9" s="24" t="n">
        <v>1.3</v>
      </c>
      <c r="G9" s="16" t="s">
        <v>94</v>
      </c>
      <c r="H9" s="19" t="s">
        <v>95</v>
      </c>
    </row>
    <row r="10" customFormat="false" ht="15" hidden="false" customHeight="true" outlineLevel="0" collapsed="false">
      <c r="A10" s="20" t="s">
        <v>96</v>
      </c>
      <c r="B10" s="16" t="s">
        <v>89</v>
      </c>
      <c r="D10" s="23" t="n">
        <v>0.7</v>
      </c>
      <c r="E10" s="23" t="n">
        <v>0.8</v>
      </c>
      <c r="F10" s="23" t="n">
        <v>0.9</v>
      </c>
      <c r="G10" s="16" t="s">
        <v>90</v>
      </c>
      <c r="H10" s="6" t="s">
        <v>97</v>
      </c>
    </row>
    <row r="11" customFormat="false" ht="15" hidden="false" customHeight="true" outlineLevel="0" collapsed="false">
      <c r="A11" s="20" t="s">
        <v>98</v>
      </c>
      <c r="B11" s="16" t="s">
        <v>99</v>
      </c>
      <c r="D11" s="24" t="n">
        <v>0.06</v>
      </c>
      <c r="E11" s="24" t="n">
        <v>0.08</v>
      </c>
      <c r="F11" s="24" t="n">
        <v>0.1</v>
      </c>
      <c r="G11" s="16" t="s">
        <v>100</v>
      </c>
      <c r="H11" s="6" t="s">
        <v>101</v>
      </c>
    </row>
    <row r="12" customFormat="false" ht="15" hidden="false" customHeight="true" outlineLevel="0" collapsed="false">
      <c r="A12" s="25" t="s">
        <v>102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103</v>
      </c>
      <c r="B13" s="16" t="s">
        <v>89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94</v>
      </c>
      <c r="H13" s="6" t="s">
        <v>104</v>
      </c>
    </row>
    <row r="14" customFormat="false" ht="15" hidden="false" customHeight="true" outlineLevel="0" collapsed="false">
      <c r="A14" s="20" t="s">
        <v>105</v>
      </c>
      <c r="B14" s="16" t="s">
        <v>106</v>
      </c>
      <c r="D14" s="18" t="n">
        <v>300</v>
      </c>
      <c r="E14" s="18" t="n">
        <v>500</v>
      </c>
      <c r="F14" s="18" t="n">
        <v>800</v>
      </c>
      <c r="G14" s="16" t="s">
        <v>90</v>
      </c>
      <c r="H14" s="6" t="s">
        <v>107</v>
      </c>
    </row>
    <row r="15" customFormat="false" ht="15" hidden="false" customHeight="true" outlineLevel="0" collapsed="false">
      <c r="A15" s="13" t="s">
        <v>108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109</v>
      </c>
      <c r="B16" s="16" t="s">
        <v>110</v>
      </c>
      <c r="D16" s="24" t="n">
        <v>0.02</v>
      </c>
      <c r="E16" s="24" t="n">
        <v>0.02</v>
      </c>
      <c r="F16" s="24" t="n">
        <v>0.02</v>
      </c>
      <c r="G16" s="16" t="s">
        <v>90</v>
      </c>
      <c r="H16" s="6" t="s">
        <v>111</v>
      </c>
    </row>
    <row r="17" customFormat="false" ht="15" hidden="false" customHeight="true" outlineLevel="0" collapsed="false">
      <c r="A17" s="20" t="s">
        <v>112</v>
      </c>
      <c r="B17" s="16" t="s">
        <v>110</v>
      </c>
      <c r="D17" s="24" t="n">
        <v>3</v>
      </c>
      <c r="E17" s="24" t="n">
        <v>3.6</v>
      </c>
      <c r="F17" s="24" t="n">
        <v>4.5</v>
      </c>
      <c r="G17" s="16" t="s">
        <v>90</v>
      </c>
      <c r="H17" s="19" t="s">
        <v>113</v>
      </c>
    </row>
    <row r="18" customFormat="false" ht="15" hidden="false" customHeight="true" outlineLevel="0" collapsed="false">
      <c r="A18" s="20" t="s">
        <v>114</v>
      </c>
      <c r="B18" s="16" t="s">
        <v>110</v>
      </c>
      <c r="D18" s="24" t="n">
        <v>3.8</v>
      </c>
      <c r="E18" s="24" t="n">
        <v>4.5</v>
      </c>
      <c r="F18" s="24" t="n">
        <v>5.5</v>
      </c>
      <c r="G18" s="16" t="s">
        <v>90</v>
      </c>
      <c r="H18" s="19" t="s">
        <v>115</v>
      </c>
    </row>
    <row r="19" customFormat="false" ht="15" hidden="false" customHeight="true" outlineLevel="0" collapsed="false">
      <c r="A19" s="20" t="s">
        <v>116</v>
      </c>
      <c r="B19" s="16" t="s">
        <v>110</v>
      </c>
      <c r="D19" s="24" t="n">
        <v>2</v>
      </c>
      <c r="E19" s="24" t="n">
        <v>2.5</v>
      </c>
      <c r="F19" s="24" t="n">
        <v>3.2</v>
      </c>
      <c r="G19" s="16" t="s">
        <v>90</v>
      </c>
      <c r="H19" s="19" t="s">
        <v>117</v>
      </c>
    </row>
    <row r="20" customFormat="false" ht="15" hidden="false" customHeight="true" outlineLevel="0" collapsed="false">
      <c r="A20" s="20" t="s">
        <v>118</v>
      </c>
      <c r="B20" s="16" t="s">
        <v>110</v>
      </c>
      <c r="D20" s="24" t="n">
        <v>0.3</v>
      </c>
      <c r="E20" s="24" t="n">
        <v>0.4</v>
      </c>
      <c r="F20" s="24" t="n">
        <v>0.5</v>
      </c>
      <c r="G20" s="16" t="s">
        <v>90</v>
      </c>
      <c r="H20" s="19" t="s">
        <v>115</v>
      </c>
    </row>
    <row r="21" customFormat="false" ht="15" hidden="false" customHeight="true" outlineLevel="0" collapsed="false">
      <c r="A21" s="20" t="s">
        <v>119</v>
      </c>
      <c r="B21" s="16" t="s">
        <v>120</v>
      </c>
      <c r="D21" s="23" t="n">
        <v>0.12</v>
      </c>
      <c r="E21" s="23" t="n">
        <v>0.15</v>
      </c>
      <c r="F21" s="23" t="n">
        <v>0.18</v>
      </c>
      <c r="G21" s="16" t="s">
        <v>90</v>
      </c>
      <c r="H21" s="6" t="s">
        <v>121</v>
      </c>
    </row>
    <row r="22" customFormat="false" ht="15" hidden="false" customHeight="true" outlineLevel="0" collapsed="false">
      <c r="A22" s="13" t="s">
        <v>122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123</v>
      </c>
      <c r="B23" s="21" t="s">
        <v>124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125</v>
      </c>
      <c r="H23" s="6" t="s">
        <v>126</v>
      </c>
    </row>
    <row r="24" customFormat="false" ht="15" hidden="false" customHeight="true" outlineLevel="0" collapsed="false">
      <c r="A24" s="20" t="s">
        <v>127</v>
      </c>
      <c r="B24" s="21" t="s">
        <v>124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94</v>
      </c>
      <c r="H24" s="6" t="s">
        <v>128</v>
      </c>
    </row>
    <row r="25" customFormat="false" ht="15" hidden="false" customHeight="true" outlineLevel="0" collapsed="false">
      <c r="A25" s="20" t="s">
        <v>129</v>
      </c>
      <c r="B25" s="21" t="s">
        <v>124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94</v>
      </c>
      <c r="H25" s="6" t="s">
        <v>128</v>
      </c>
    </row>
    <row r="26" customFormat="false" ht="15" hidden="false" customHeight="true" outlineLevel="0" collapsed="false">
      <c r="A26" s="20" t="s">
        <v>130</v>
      </c>
      <c r="B26" s="21" t="s">
        <v>124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94</v>
      </c>
      <c r="H26" s="6" t="s">
        <v>128</v>
      </c>
    </row>
    <row r="27" customFormat="false" ht="15" hidden="false" customHeight="true" outlineLevel="0" collapsed="false">
      <c r="A27" s="20" t="s">
        <v>131</v>
      </c>
      <c r="B27" s="21" t="s">
        <v>124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94</v>
      </c>
      <c r="H27" s="6" t="s">
        <v>128</v>
      </c>
    </row>
    <row r="28" customFormat="false" ht="15" hidden="false" customHeight="true" outlineLevel="0" collapsed="false">
      <c r="A28" s="15" t="s">
        <v>132</v>
      </c>
      <c r="B28" s="16" t="s">
        <v>89</v>
      </c>
      <c r="D28" s="23" t="n">
        <v>0.08</v>
      </c>
      <c r="E28" s="23" t="n">
        <v>0.1</v>
      </c>
      <c r="F28" s="23" t="n">
        <v>0.13</v>
      </c>
      <c r="G28" s="16" t="s">
        <v>90</v>
      </c>
      <c r="H28" s="19" t="s">
        <v>133</v>
      </c>
    </row>
    <row r="29" customFormat="false" ht="15" hidden="false" customHeight="true" outlineLevel="0" collapsed="false">
      <c r="A29" s="13" t="s">
        <v>134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135</v>
      </c>
      <c r="B30" s="16" t="s">
        <v>136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137</v>
      </c>
      <c r="H30" s="6" t="s">
        <v>138</v>
      </c>
    </row>
    <row r="31" customFormat="false" ht="15" hidden="false" customHeight="true" outlineLevel="0" collapsed="false">
      <c r="A31" s="20" t="s">
        <v>139</v>
      </c>
      <c r="B31" s="16" t="s">
        <v>140</v>
      </c>
      <c r="D31" s="23" t="n">
        <v>0.015</v>
      </c>
      <c r="E31" s="23" t="n">
        <v>0.02</v>
      </c>
      <c r="F31" s="23" t="n">
        <v>0.025</v>
      </c>
      <c r="G31" s="16" t="s">
        <v>94</v>
      </c>
      <c r="H31" s="6" t="s">
        <v>141</v>
      </c>
    </row>
    <row r="32" customFormat="false" ht="15" hidden="false" customHeight="true" outlineLevel="0" collapsed="false">
      <c r="A32" s="20" t="s">
        <v>142</v>
      </c>
      <c r="B32" s="16" t="s">
        <v>143</v>
      </c>
      <c r="D32" s="18" t="n">
        <v>50</v>
      </c>
      <c r="E32" s="18" t="n">
        <v>75</v>
      </c>
      <c r="F32" s="18" t="n">
        <v>100</v>
      </c>
      <c r="G32" s="16" t="s">
        <v>90</v>
      </c>
      <c r="H32" s="6" t="s">
        <v>144</v>
      </c>
    </row>
    <row r="33" customFormat="false" ht="15" hidden="false" customHeight="true" outlineLevel="0" collapsed="false">
      <c r="A33" s="20" t="s">
        <v>145</v>
      </c>
      <c r="B33" s="16" t="s">
        <v>143</v>
      </c>
      <c r="D33" s="18" t="n">
        <v>150</v>
      </c>
      <c r="E33" s="18" t="n">
        <v>200</v>
      </c>
      <c r="F33" s="18" t="n">
        <v>250</v>
      </c>
      <c r="G33" s="16" t="s">
        <v>90</v>
      </c>
      <c r="H33" s="6" t="s">
        <v>146</v>
      </c>
    </row>
    <row r="34" customFormat="false" ht="15" hidden="false" customHeight="true" outlineLevel="0" collapsed="false">
      <c r="A34" s="20" t="s">
        <v>147</v>
      </c>
      <c r="B34" s="16" t="s">
        <v>148</v>
      </c>
      <c r="D34" s="24" t="n">
        <v>0.04</v>
      </c>
      <c r="E34" s="24" t="n">
        <v>0.05</v>
      </c>
      <c r="F34" s="24" t="n">
        <v>0.06</v>
      </c>
      <c r="G34" s="16" t="s">
        <v>90</v>
      </c>
      <c r="H34" s="6" t="s">
        <v>149</v>
      </c>
    </row>
    <row r="35" customFormat="false" ht="15" hidden="false" customHeight="true" outlineLevel="0" collapsed="false">
      <c r="A35" s="20" t="s">
        <v>150</v>
      </c>
      <c r="B35" s="16" t="s">
        <v>151</v>
      </c>
      <c r="D35" s="23" t="n">
        <v>0.003</v>
      </c>
      <c r="E35" s="23" t="n">
        <v>0.005</v>
      </c>
      <c r="F35" s="23" t="n">
        <v>0.008</v>
      </c>
      <c r="G35" s="16" t="s">
        <v>94</v>
      </c>
      <c r="H35" s="6" t="s">
        <v>152</v>
      </c>
    </row>
    <row r="36" customFormat="false" ht="15" hidden="false" customHeight="true" outlineLevel="0" collapsed="false">
      <c r="A36" s="28" t="s">
        <v>153</v>
      </c>
      <c r="B36" s="29" t="s">
        <v>124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125</v>
      </c>
      <c r="H36" s="28" t="s">
        <v>154</v>
      </c>
    </row>
    <row r="37" customFormat="false" ht="15" hidden="false" customHeight="true" outlineLevel="0" collapsed="false">
      <c r="A37" s="28" t="s">
        <v>155</v>
      </c>
      <c r="B37" s="32" t="s">
        <v>136</v>
      </c>
      <c r="D37" s="33" t="n">
        <v>0.0025</v>
      </c>
      <c r="E37" s="33" t="n">
        <v>0.005</v>
      </c>
      <c r="F37" s="33" t="n">
        <v>0.01</v>
      </c>
      <c r="G37" s="32" t="s">
        <v>94</v>
      </c>
      <c r="H37" s="28" t="s">
        <v>156</v>
      </c>
    </row>
    <row r="38" customFormat="false" ht="15" hidden="false" customHeight="true" outlineLevel="0" collapsed="false">
      <c r="A38" s="28" t="s">
        <v>157</v>
      </c>
      <c r="B38" s="32" t="s">
        <v>136</v>
      </c>
      <c r="D38" s="33" t="n">
        <v>0.02</v>
      </c>
      <c r="E38" s="33" t="n">
        <v>0.03</v>
      </c>
      <c r="F38" s="33" t="n">
        <v>0.05</v>
      </c>
      <c r="G38" s="32" t="s">
        <v>94</v>
      </c>
      <c r="H38" s="28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159</v>
      </c>
    </row>
    <row r="2" customFormat="false" ht="15" hidden="false" customHeight="true" outlineLevel="0" collapsed="false">
      <c r="A2" s="11" t="s">
        <v>160</v>
      </c>
    </row>
    <row r="4" customFormat="false" ht="15" hidden="false" customHeight="true" outlineLevel="0" collapsed="false">
      <c r="A4" s="34" t="s">
        <v>161</v>
      </c>
      <c r="C4" s="25" t="s">
        <v>162</v>
      </c>
      <c r="D4" s="25" t="s">
        <v>163</v>
      </c>
      <c r="E4" s="25" t="s">
        <v>164</v>
      </c>
      <c r="F4" s="25" t="s">
        <v>165</v>
      </c>
      <c r="G4" s="25" t="s">
        <v>166</v>
      </c>
      <c r="H4" s="9" t="s">
        <v>167</v>
      </c>
    </row>
    <row r="5" customFormat="false" ht="15" hidden="false" customHeight="true" outlineLevel="0" collapsed="false">
      <c r="A5" s="20" t="s">
        <v>168</v>
      </c>
      <c r="C5" s="6" t="s">
        <v>169</v>
      </c>
      <c r="D5" s="6" t="s">
        <v>170</v>
      </c>
      <c r="E5" s="6" t="s">
        <v>171</v>
      </c>
      <c r="F5" s="6" t="s">
        <v>172</v>
      </c>
      <c r="G5" s="6" t="s">
        <v>173</v>
      </c>
    </row>
    <row r="6" customFormat="false" ht="15" hidden="false" customHeight="true" outlineLevel="0" collapsed="false">
      <c r="A6" s="15" t="s">
        <v>174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175</v>
      </c>
      <c r="C7" s="19" t="s">
        <v>176</v>
      </c>
      <c r="D7" s="19" t="s">
        <v>177</v>
      </c>
      <c r="E7" s="19" t="s">
        <v>177</v>
      </c>
      <c r="F7" s="19" t="s">
        <v>178</v>
      </c>
      <c r="G7" s="19" t="s">
        <v>177</v>
      </c>
    </row>
    <row r="8" customFormat="false" ht="15" hidden="false" customHeight="true" outlineLevel="0" collapsed="false">
      <c r="A8" s="20" t="s">
        <v>179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180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181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182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183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184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185</v>
      </c>
      <c r="C14" s="38" t="s">
        <v>186</v>
      </c>
      <c r="D14" s="39" t="s">
        <v>187</v>
      </c>
      <c r="E14" s="39" t="s">
        <v>115</v>
      </c>
      <c r="F14" s="39" t="s">
        <v>188</v>
      </c>
      <c r="G14" s="38" t="s">
        <v>189</v>
      </c>
    </row>
    <row r="15" customFormat="false" ht="54" hidden="false" customHeight="true" outlineLevel="0" collapsed="false">
      <c r="A15" s="20" t="s">
        <v>190</v>
      </c>
      <c r="C15" s="38" t="s">
        <v>191</v>
      </c>
      <c r="D15" s="39" t="s">
        <v>192</v>
      </c>
      <c r="E15" s="38" t="s">
        <v>193</v>
      </c>
      <c r="F15" s="38" t="s">
        <v>194</v>
      </c>
      <c r="G15" s="39" t="s">
        <v>195</v>
      </c>
    </row>
    <row r="16" customFormat="false" ht="54" hidden="false" customHeight="true" outlineLevel="0" collapsed="false">
      <c r="A16" s="20" t="s">
        <v>196</v>
      </c>
      <c r="C16" s="38" t="s">
        <v>197</v>
      </c>
      <c r="D16" s="38" t="s">
        <v>198</v>
      </c>
      <c r="E16" s="38" t="s">
        <v>199</v>
      </c>
      <c r="F16" s="38" t="s">
        <v>200</v>
      </c>
      <c r="G16" s="39" t="s">
        <v>201</v>
      </c>
    </row>
    <row r="17" customFormat="false" ht="54" hidden="false" customHeight="true" outlineLevel="0" collapsed="false">
      <c r="A17" s="20" t="s">
        <v>77</v>
      </c>
      <c r="C17" s="38" t="s">
        <v>94</v>
      </c>
      <c r="D17" s="38" t="s">
        <v>202</v>
      </c>
      <c r="E17" s="38" t="s">
        <v>203</v>
      </c>
      <c r="F17" s="38" t="s">
        <v>202</v>
      </c>
      <c r="G17" s="38" t="s">
        <v>204</v>
      </c>
    </row>
    <row r="19" customFormat="false" ht="15" hidden="false" customHeight="true" outlineLevel="0" collapsed="false">
      <c r="A19" s="11" t="s">
        <v>205</v>
      </c>
    </row>
    <row r="21" customFormat="false" ht="15" hidden="false" customHeight="true" outlineLevel="0" collapsed="false">
      <c r="A21" s="40" t="s">
        <v>206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207</v>
      </c>
      <c r="C22" s="28" t="s">
        <v>208</v>
      </c>
      <c r="D22" s="28" t="s">
        <v>209</v>
      </c>
      <c r="E22" s="28" t="s">
        <v>209</v>
      </c>
      <c r="F22" s="28" t="s">
        <v>209</v>
      </c>
      <c r="G22" s="28" t="s">
        <v>209</v>
      </c>
      <c r="H22" s="42" t="s">
        <v>210</v>
      </c>
    </row>
    <row r="23" customFormat="false" ht="15" hidden="false" customHeight="true" outlineLevel="0" collapsed="false">
      <c r="A23" s="41" t="s">
        <v>211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212</v>
      </c>
    </row>
    <row r="24" customFormat="false" ht="15" hidden="false" customHeight="true" outlineLevel="0" collapsed="false">
      <c r="A24" s="41" t="s">
        <v>213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214</v>
      </c>
    </row>
    <row r="25" customFormat="false" ht="15" hidden="false" customHeight="true" outlineLevel="0" collapsed="false">
      <c r="A25" s="28" t="s">
        <v>215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216</v>
      </c>
    </row>
    <row r="26" customFormat="false" ht="15" hidden="false" customHeight="true" outlineLevel="0" collapsed="false">
      <c r="A26" s="28" t="s">
        <v>217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218</v>
      </c>
    </row>
    <row r="27" customFormat="false" ht="15" hidden="false" customHeight="true" outlineLevel="0" collapsed="false">
      <c r="A27" s="28" t="s">
        <v>219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220</v>
      </c>
    </row>
    <row r="28" customFormat="false" ht="15" hidden="false" customHeight="true" outlineLevel="0" collapsed="false">
      <c r="A28" s="28" t="s">
        <v>221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222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223</v>
      </c>
    </row>
    <row r="30" customFormat="false" ht="15" hidden="false" customHeight="true" outlineLevel="0" collapsed="false">
      <c r="A30" s="41" t="s">
        <v>224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225</v>
      </c>
    </row>
    <row r="31" customFormat="false" ht="15" hidden="false" customHeight="true" outlineLevel="0" collapsed="false">
      <c r="A31" s="41" t="s">
        <v>226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227</v>
      </c>
    </row>
    <row r="32" customFormat="false" ht="15" hidden="false" customHeight="true" outlineLevel="0" collapsed="false">
      <c r="A32" s="41" t="s">
        <v>228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229</v>
      </c>
    </row>
    <row r="33" customFormat="false" ht="15" hidden="false" customHeight="true" outlineLevel="0" collapsed="false">
      <c r="A33" s="28" t="s">
        <v>230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231</v>
      </c>
    </row>
    <row r="34" customFormat="false" ht="15" hidden="false" customHeight="true" outlineLevel="0" collapsed="false">
      <c r="A34" s="28" t="s">
        <v>232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233</v>
      </c>
    </row>
    <row r="35" customFormat="false" ht="15" hidden="false" customHeight="true" outlineLevel="0" collapsed="false">
      <c r="A35" s="9" t="s">
        <v>234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235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236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237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238</v>
      </c>
    </row>
    <row r="40" customFormat="false" ht="15" hidden="false" customHeight="true" outlineLevel="0" collapsed="false">
      <c r="A40" s="28" t="s">
        <v>239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240</v>
      </c>
    </row>
    <row r="41" customFormat="false" ht="15" hidden="false" customHeight="true" outlineLevel="0" collapsed="false">
      <c r="A41" s="28" t="s">
        <v>241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243</v>
      </c>
    </row>
    <row r="2" customFormat="false" ht="15" hidden="false" customHeight="false" outlineLevel="0" collapsed="false">
      <c r="A2" s="56" t="s">
        <v>244</v>
      </c>
    </row>
    <row r="4" customFormat="false" ht="15" hidden="false" customHeight="false" outlineLevel="0" collapsed="false">
      <c r="A4" s="57" t="s">
        <v>72</v>
      </c>
      <c r="B4" s="57" t="s">
        <v>73</v>
      </c>
      <c r="C4" s="10" t="s">
        <v>245</v>
      </c>
      <c r="D4" s="10" t="s">
        <v>246</v>
      </c>
      <c r="E4" s="10" t="s">
        <v>247</v>
      </c>
      <c r="F4" s="57" t="s">
        <v>77</v>
      </c>
      <c r="G4" s="57" t="s">
        <v>78</v>
      </c>
    </row>
    <row r="5" customFormat="false" ht="15" hidden="false" customHeight="false" outlineLevel="0" collapsed="false">
      <c r="A5" s="58" t="s">
        <v>248</v>
      </c>
      <c r="B5" s="58"/>
      <c r="C5" s="59" t="s">
        <v>249</v>
      </c>
      <c r="D5" s="59" t="s">
        <v>250</v>
      </c>
      <c r="E5" s="58" t="s">
        <v>251</v>
      </c>
      <c r="F5" s="56" t="s">
        <v>82</v>
      </c>
      <c r="G5" s="56" t="s">
        <v>252</v>
      </c>
    </row>
    <row r="6" customFormat="false" ht="15" hidden="false" customHeight="false" outlineLevel="0" collapsed="false">
      <c r="A6" s="58" t="s">
        <v>253</v>
      </c>
      <c r="B6" s="59" t="s">
        <v>254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255</v>
      </c>
      <c r="G6" s="56" t="s">
        <v>256</v>
      </c>
    </row>
    <row r="7" customFormat="false" ht="15" hidden="false" customHeight="false" outlineLevel="0" collapsed="false">
      <c r="A7" s="58" t="s">
        <v>257</v>
      </c>
      <c r="B7" s="59" t="s">
        <v>254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255</v>
      </c>
      <c r="G7" s="56" t="s">
        <v>258</v>
      </c>
    </row>
    <row r="8" customFormat="false" ht="15" hidden="false" customHeight="false" outlineLevel="0" collapsed="false">
      <c r="A8" s="58" t="s">
        <v>259</v>
      </c>
      <c r="B8" s="58" t="s">
        <v>260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255</v>
      </c>
      <c r="G8" s="56" t="s">
        <v>261</v>
      </c>
    </row>
    <row r="9" customFormat="false" ht="15" hidden="false" customHeight="false" outlineLevel="0" collapsed="false">
      <c r="A9" s="59" t="s">
        <v>262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255</v>
      </c>
      <c r="G9" s="56" t="s">
        <v>263</v>
      </c>
    </row>
    <row r="10" customFormat="false" ht="15" hidden="false" customHeight="false" outlineLevel="0" collapsed="false">
      <c r="A10" s="59" t="s">
        <v>264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255</v>
      </c>
      <c r="G10" s="56" t="s">
        <v>265</v>
      </c>
    </row>
    <row r="11" customFormat="false" ht="15" hidden="false" customHeight="false" outlineLevel="0" collapsed="false">
      <c r="A11" s="59" t="s">
        <v>266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255</v>
      </c>
      <c r="G11" s="56" t="s">
        <v>267</v>
      </c>
    </row>
    <row r="12" customFormat="false" ht="15" hidden="false" customHeight="false" outlineLevel="0" collapsed="false">
      <c r="A12" s="59" t="s">
        <v>268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255</v>
      </c>
      <c r="G12" s="56"/>
    </row>
    <row r="13" customFormat="false" ht="15" hidden="false" customHeight="false" outlineLevel="0" collapsed="false">
      <c r="A13" s="58" t="s">
        <v>269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255</v>
      </c>
      <c r="G13" s="56"/>
    </row>
    <row r="14" customFormat="false" ht="15" hidden="false" customHeight="false" outlineLevel="0" collapsed="false">
      <c r="A14" s="59" t="s">
        <v>270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125</v>
      </c>
      <c r="G14" s="56"/>
    </row>
    <row r="15" customFormat="false" ht="15" hidden="false" customHeight="false" outlineLevel="0" collapsed="false">
      <c r="A15" s="59" t="s">
        <v>271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255</v>
      </c>
      <c r="G15" s="56"/>
    </row>
    <row r="16" customFormat="false" ht="15" hidden="false" customHeight="false" outlineLevel="0" collapsed="false">
      <c r="A16" s="58" t="s">
        <v>272</v>
      </c>
      <c r="B16" s="59" t="s">
        <v>89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255</v>
      </c>
      <c r="G16" s="56" t="s">
        <v>273</v>
      </c>
    </row>
    <row r="17" customFormat="false" ht="15" hidden="false" customHeight="false" outlineLevel="0" collapsed="false">
      <c r="A17" s="58" t="s">
        <v>274</v>
      </c>
      <c r="B17" s="59" t="s">
        <v>275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137</v>
      </c>
      <c r="G17" s="56" t="s">
        <v>276</v>
      </c>
    </row>
    <row r="18" customFormat="false" ht="15" hidden="false" customHeight="false" outlineLevel="0" collapsed="false">
      <c r="A18" s="58" t="s">
        <v>277</v>
      </c>
      <c r="B18" s="59" t="s">
        <v>93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125</v>
      </c>
      <c r="G18" s="56" t="s">
        <v>278</v>
      </c>
    </row>
    <row r="19" customFormat="false" ht="15" hidden="false" customHeight="false" outlineLevel="0" collapsed="false">
      <c r="A19" s="58" t="s">
        <v>279</v>
      </c>
      <c r="B19" s="59" t="s">
        <v>275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125</v>
      </c>
      <c r="G19" s="56"/>
    </row>
    <row r="20" customFormat="false" ht="15" hidden="false" customHeight="false" outlineLevel="0" collapsed="false">
      <c r="A20" s="59" t="s">
        <v>280</v>
      </c>
      <c r="B20" s="58" t="s">
        <v>85</v>
      </c>
      <c r="E20" s="64" t="n">
        <v>2</v>
      </c>
      <c r="F20" s="56" t="s">
        <v>82</v>
      </c>
      <c r="G20" s="56" t="s">
        <v>281</v>
      </c>
    </row>
    <row r="21" customFormat="false" ht="15" hidden="false" customHeight="false" outlineLevel="0" collapsed="false">
      <c r="A21" s="59" t="s">
        <v>282</v>
      </c>
      <c r="B21" s="59" t="s">
        <v>254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283</v>
      </c>
      <c r="G21" s="56" t="s">
        <v>284</v>
      </c>
    </row>
    <row r="22" customFormat="false" ht="15" hidden="false" customHeight="false" outlineLevel="0" collapsed="false">
      <c r="A22" s="59" t="s">
        <v>285</v>
      </c>
      <c r="B22" s="59" t="s">
        <v>254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283</v>
      </c>
      <c r="G22" s="56" t="s">
        <v>286</v>
      </c>
    </row>
    <row r="23" customFormat="false" ht="15" hidden="false" customHeight="false" outlineLevel="0" collapsed="false">
      <c r="A23" s="59" t="s">
        <v>287</v>
      </c>
      <c r="B23" s="59" t="s">
        <v>254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283</v>
      </c>
      <c r="G23" s="56" t="s">
        <v>288</v>
      </c>
    </row>
    <row r="24" customFormat="false" ht="15" hidden="false" customHeight="false" outlineLevel="0" collapsed="false">
      <c r="A24" s="66" t="s">
        <v>289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290</v>
      </c>
      <c r="B25" s="59" t="s">
        <v>254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291</v>
      </c>
      <c r="B26" s="59" t="s">
        <v>254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292</v>
      </c>
      <c r="B27" s="59" t="s">
        <v>254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293</v>
      </c>
    </row>
    <row r="28" customFormat="false" ht="15" hidden="false" customHeight="false" outlineLevel="0" collapsed="false">
      <c r="A28" s="58" t="s">
        <v>294</v>
      </c>
      <c r="B28" s="59" t="s">
        <v>254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295</v>
      </c>
      <c r="B29" s="59" t="s">
        <v>254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296</v>
      </c>
      <c r="B30" s="59" t="s">
        <v>297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298</v>
      </c>
      <c r="B31" s="59" t="s">
        <v>299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300</v>
      </c>
      <c r="B32" s="59" t="s">
        <v>275</v>
      </c>
      <c r="C32" s="61" t="n">
        <v>128000</v>
      </c>
      <c r="F32" s="71" t="s">
        <v>301</v>
      </c>
      <c r="G32" s="71" t="s">
        <v>302</v>
      </c>
    </row>
    <row r="33" customFormat="false" ht="15" hidden="false" customHeight="false" outlineLevel="0" collapsed="false">
      <c r="A33" s="73" t="s">
        <v>303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304</v>
      </c>
      <c r="B34" s="59" t="s">
        <v>254</v>
      </c>
      <c r="C34" s="61" t="n">
        <v>65</v>
      </c>
      <c r="D34" s="61" t="n">
        <v>65</v>
      </c>
      <c r="F34" s="56" t="s">
        <v>90</v>
      </c>
      <c r="G34" s="56" t="s">
        <v>305</v>
      </c>
    </row>
    <row r="35" customFormat="false" ht="15" hidden="false" customHeight="false" outlineLevel="0" collapsed="false">
      <c r="A35" s="59" t="s">
        <v>306</v>
      </c>
      <c r="B35" s="58" t="s">
        <v>307</v>
      </c>
      <c r="E35" s="61" t="n">
        <v>576</v>
      </c>
      <c r="F35" s="56" t="s">
        <v>94</v>
      </c>
      <c r="G35" s="71" t="s">
        <v>308</v>
      </c>
    </row>
    <row r="36" customFormat="false" ht="15" hidden="false" customHeight="false" outlineLevel="0" collapsed="false">
      <c r="A36" s="59" t="s">
        <v>309</v>
      </c>
      <c r="B36" s="59" t="s">
        <v>89</v>
      </c>
      <c r="E36" s="63" t="n">
        <v>0.26</v>
      </c>
      <c r="F36" s="56" t="s">
        <v>90</v>
      </c>
      <c r="G36" s="71" t="s">
        <v>310</v>
      </c>
    </row>
    <row r="37" customFormat="false" ht="15" hidden="false" customHeight="false" outlineLevel="0" collapsed="false">
      <c r="A37" s="59" t="s">
        <v>311</v>
      </c>
      <c r="B37" s="58" t="s">
        <v>312</v>
      </c>
      <c r="E37" s="61" t="n">
        <v>8</v>
      </c>
      <c r="F37" s="56" t="s">
        <v>90</v>
      </c>
      <c r="G37" s="56" t="s">
        <v>313</v>
      </c>
    </row>
    <row r="38" customFormat="false" ht="15" hidden="false" customHeight="false" outlineLevel="0" collapsed="false">
      <c r="A38" s="59" t="s">
        <v>314</v>
      </c>
      <c r="B38" s="59" t="s">
        <v>254</v>
      </c>
      <c r="C38" s="60" t="n">
        <f aca="false">SRC_HW_055</f>
        <v>1</v>
      </c>
      <c r="F38" s="71" t="s">
        <v>315</v>
      </c>
      <c r="G38" s="56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317</v>
      </c>
    </row>
    <row r="2" customFormat="false" ht="15" hidden="false" customHeight="false" outlineLevel="0" collapsed="false">
      <c r="A2" s="71" t="s">
        <v>318</v>
      </c>
    </row>
    <row r="4" customFormat="false" ht="15" hidden="false" customHeight="false" outlineLevel="0" collapsed="false">
      <c r="A4" s="57" t="s">
        <v>319</v>
      </c>
      <c r="B4" s="57" t="s">
        <v>73</v>
      </c>
      <c r="C4" s="57" t="s">
        <v>320</v>
      </c>
      <c r="D4" s="57" t="s">
        <v>77</v>
      </c>
      <c r="E4" s="57"/>
      <c r="F4" s="57" t="s">
        <v>321</v>
      </c>
    </row>
    <row r="5" customFormat="false" ht="15" hidden="false" customHeight="false" outlineLevel="0" collapsed="false">
      <c r="A5" s="58" t="s">
        <v>322</v>
      </c>
      <c r="B5" s="58"/>
      <c r="C5" s="58" t="s">
        <v>323</v>
      </c>
      <c r="D5" s="56" t="s">
        <v>82</v>
      </c>
      <c r="F5" s="56" t="s">
        <v>324</v>
      </c>
    </row>
    <row r="6" customFormat="false" ht="15" hidden="false" customHeight="false" outlineLevel="0" collapsed="false">
      <c r="A6" s="59" t="s">
        <v>325</v>
      </c>
      <c r="B6" s="59" t="s">
        <v>275</v>
      </c>
      <c r="C6" s="64" t="n">
        <v>3</v>
      </c>
      <c r="D6" s="56" t="s">
        <v>94</v>
      </c>
      <c r="F6" s="56" t="s">
        <v>326</v>
      </c>
    </row>
    <row r="7" customFormat="false" ht="15" hidden="false" customHeight="false" outlineLevel="0" collapsed="false">
      <c r="A7" s="58" t="s">
        <v>327</v>
      </c>
      <c r="B7" s="59" t="s">
        <v>89</v>
      </c>
      <c r="C7" s="62" t="n">
        <f aca="false">SRC_PERF_005</f>
        <v>0.7</v>
      </c>
      <c r="D7" s="56" t="s">
        <v>328</v>
      </c>
      <c r="F7" s="56" t="s">
        <v>329</v>
      </c>
    </row>
    <row r="8" customFormat="false" ht="15" hidden="false" customHeight="false" outlineLevel="0" collapsed="false">
      <c r="A8" s="58" t="s">
        <v>330</v>
      </c>
      <c r="B8" s="59" t="s">
        <v>275</v>
      </c>
      <c r="C8" s="74" t="n">
        <f aca="false">(1-C7^(C6+1))/(1-C7)</f>
        <v>2.533</v>
      </c>
      <c r="D8" s="56" t="s">
        <v>137</v>
      </c>
      <c r="F8" s="56" t="s">
        <v>331</v>
      </c>
    </row>
    <row r="9" customFormat="false" ht="15" hidden="false" customHeight="false" outlineLevel="0" collapsed="false">
      <c r="A9" s="59" t="s">
        <v>332</v>
      </c>
      <c r="B9" s="59" t="s">
        <v>89</v>
      </c>
      <c r="C9" s="63" t="n">
        <v>0.1</v>
      </c>
      <c r="D9" s="56" t="s">
        <v>90</v>
      </c>
      <c r="F9" s="71" t="s">
        <v>333</v>
      </c>
    </row>
    <row r="10" customFormat="false" ht="15" hidden="false" customHeight="false" outlineLevel="0" collapsed="false">
      <c r="A10" s="58" t="s">
        <v>334</v>
      </c>
      <c r="B10" s="59" t="s">
        <v>89</v>
      </c>
      <c r="C10" s="63" t="n">
        <v>0.2</v>
      </c>
      <c r="D10" s="56" t="s">
        <v>90</v>
      </c>
      <c r="F10" s="71" t="s">
        <v>335</v>
      </c>
    </row>
    <row r="11" customFormat="false" ht="15" hidden="false" customHeight="false" outlineLevel="0" collapsed="false">
      <c r="A11" s="58" t="s">
        <v>336</v>
      </c>
      <c r="B11" s="59" t="s">
        <v>89</v>
      </c>
      <c r="C11" s="63" t="n">
        <v>0.4</v>
      </c>
      <c r="D11" s="56" t="s">
        <v>90</v>
      </c>
      <c r="F11" s="71" t="s">
        <v>337</v>
      </c>
    </row>
    <row r="12" customFormat="false" ht="15" hidden="false" customHeight="false" outlineLevel="0" collapsed="false">
      <c r="A12" s="59" t="s">
        <v>338</v>
      </c>
      <c r="B12" s="59" t="s">
        <v>254</v>
      </c>
      <c r="C12" s="75" t="n">
        <v>3</v>
      </c>
      <c r="D12" s="56" t="s">
        <v>94</v>
      </c>
      <c r="F12" s="56" t="s">
        <v>339</v>
      </c>
    </row>
    <row r="13" customFormat="false" ht="15" hidden="false" customHeight="false" outlineLevel="0" collapsed="false">
      <c r="A13" s="59" t="s">
        <v>340</v>
      </c>
      <c r="B13" s="59" t="s">
        <v>89</v>
      </c>
      <c r="C13" s="63" t="n">
        <v>0.7</v>
      </c>
      <c r="D13" s="56" t="s">
        <v>94</v>
      </c>
      <c r="F13" s="71" t="s">
        <v>341</v>
      </c>
    </row>
    <row r="14" customFormat="false" ht="15" hidden="false" customHeight="false" outlineLevel="0" collapsed="false">
      <c r="A14" s="59" t="s">
        <v>342</v>
      </c>
      <c r="B14" s="59" t="s">
        <v>89</v>
      </c>
      <c r="C14" s="63" t="n">
        <v>0.7</v>
      </c>
      <c r="D14" s="56" t="s">
        <v>94</v>
      </c>
      <c r="F14" s="71" t="s">
        <v>341</v>
      </c>
    </row>
    <row r="15" customFormat="false" ht="15" hidden="false" customHeight="false" outlineLevel="0" collapsed="false">
      <c r="A15" s="58" t="s">
        <v>343</v>
      </c>
      <c r="B15" s="59" t="s">
        <v>344</v>
      </c>
      <c r="C15" s="76" t="n">
        <v>0.1</v>
      </c>
      <c r="D15" s="56" t="s">
        <v>90</v>
      </c>
      <c r="F15" s="71" t="s">
        <v>345</v>
      </c>
    </row>
    <row r="16" customFormat="false" ht="15" hidden="false" customHeight="false" outlineLevel="0" collapsed="false">
      <c r="A16" s="58" t="s">
        <v>346</v>
      </c>
      <c r="B16" s="58" t="s">
        <v>85</v>
      </c>
      <c r="C16" s="64" t="n">
        <v>1</v>
      </c>
      <c r="D16" s="56" t="s">
        <v>82</v>
      </c>
      <c r="F16" s="56" t="s">
        <v>347</v>
      </c>
    </row>
    <row r="17" customFormat="false" ht="15" hidden="false" customHeight="false" outlineLevel="0" collapsed="false">
      <c r="A17" s="58" t="s">
        <v>348</v>
      </c>
      <c r="B17" s="59" t="s">
        <v>89</v>
      </c>
      <c r="C17" s="77" t="n">
        <v>0.6</v>
      </c>
      <c r="D17" s="56" t="s">
        <v>90</v>
      </c>
      <c r="F17" s="56" t="s">
        <v>349</v>
      </c>
    </row>
    <row r="18" customFormat="false" ht="15" hidden="false" customHeight="false" outlineLevel="0" collapsed="false">
      <c r="A18" s="58" t="s">
        <v>350</v>
      </c>
      <c r="B18" s="59" t="s">
        <v>93</v>
      </c>
      <c r="C18" s="78" t="n">
        <v>1</v>
      </c>
      <c r="D18" s="56" t="s">
        <v>90</v>
      </c>
      <c r="F18" s="71" t="s">
        <v>351</v>
      </c>
    </row>
    <row r="19" customFormat="false" ht="15" hidden="false" customHeight="false" outlineLevel="0" collapsed="false">
      <c r="A19" s="66" t="s">
        <v>352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57" t="s">
        <v>353</v>
      </c>
      <c r="B20" s="57" t="s">
        <v>73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57" t="s">
        <v>321</v>
      </c>
    </row>
    <row r="21" customFormat="false" ht="15" hidden="false" customHeight="false" outlineLevel="0" collapsed="false">
      <c r="A21" s="59" t="s">
        <v>354</v>
      </c>
      <c r="B21" s="59" t="s">
        <v>355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356</v>
      </c>
    </row>
    <row r="22" customFormat="false" ht="15" hidden="false" customHeight="false" outlineLevel="0" collapsed="false">
      <c r="A22" s="59" t="s">
        <v>357</v>
      </c>
      <c r="B22" s="59" t="s">
        <v>358</v>
      </c>
      <c r="C22" s="75" t="n">
        <v>2</v>
      </c>
      <c r="D22" s="75" t="n">
        <v>3</v>
      </c>
      <c r="E22" s="75" t="n">
        <v>5</v>
      </c>
      <c r="F22" s="56" t="s">
        <v>90</v>
      </c>
    </row>
    <row r="23" customFormat="false" ht="15" hidden="false" customHeight="false" outlineLevel="0" collapsed="false">
      <c r="A23" s="58" t="s">
        <v>359</v>
      </c>
      <c r="B23" s="59" t="s">
        <v>275</v>
      </c>
      <c r="C23" s="61" t="n">
        <v>8192</v>
      </c>
      <c r="D23" s="61" t="n">
        <v>16384</v>
      </c>
      <c r="E23" s="61" t="n">
        <v>32768</v>
      </c>
      <c r="F23" s="56" t="s">
        <v>360</v>
      </c>
    </row>
    <row r="24" customFormat="false" ht="15" hidden="false" customHeight="false" outlineLevel="0" collapsed="false">
      <c r="A24" s="58" t="s">
        <v>361</v>
      </c>
      <c r="B24" s="59" t="s">
        <v>275</v>
      </c>
      <c r="C24" s="61" t="n">
        <v>1024</v>
      </c>
      <c r="D24" s="61" t="n">
        <v>2048</v>
      </c>
      <c r="E24" s="61" t="n">
        <v>4096</v>
      </c>
      <c r="F24" s="56" t="s">
        <v>90</v>
      </c>
    </row>
    <row r="25" customFormat="false" ht="15" hidden="false" customHeight="false" outlineLevel="0" collapsed="false">
      <c r="A25" s="59" t="s">
        <v>362</v>
      </c>
      <c r="B25" s="59" t="s">
        <v>275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137</v>
      </c>
    </row>
    <row r="26" customFormat="false" ht="15" hidden="false" customHeight="false" outlineLevel="0" collapsed="false">
      <c r="A26" s="59" t="s">
        <v>363</v>
      </c>
      <c r="B26" s="59" t="s">
        <v>275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137</v>
      </c>
    </row>
    <row r="28" customFormat="false" ht="15" hidden="false" customHeight="false" outlineLevel="0" collapsed="false">
      <c r="A28" s="58" t="s">
        <v>364</v>
      </c>
      <c r="B28" s="59" t="s">
        <v>93</v>
      </c>
      <c r="C28" s="78" t="n">
        <v>0.85</v>
      </c>
      <c r="D28" s="71" t="s">
        <v>365</v>
      </c>
      <c r="F28" s="56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367</v>
      </c>
    </row>
    <row r="2" customFormat="false" ht="15" hidden="false" customHeight="false" outlineLevel="0" collapsed="false">
      <c r="A2" s="71" t="s">
        <v>368</v>
      </c>
    </row>
    <row r="4" customFormat="false" ht="30" hidden="false" customHeight="true" outlineLevel="0" collapsed="false">
      <c r="A4" s="57" t="s">
        <v>72</v>
      </c>
      <c r="B4" s="57" t="s">
        <v>73</v>
      </c>
      <c r="C4" s="81" t="s">
        <v>369</v>
      </c>
      <c r="D4" s="81" t="s">
        <v>370</v>
      </c>
      <c r="E4" s="81" t="s">
        <v>371</v>
      </c>
      <c r="F4" s="81" t="s">
        <v>372</v>
      </c>
      <c r="G4" s="82" t="s">
        <v>373</v>
      </c>
      <c r="H4" s="57" t="s">
        <v>321</v>
      </c>
    </row>
    <row r="5" customFormat="false" ht="15" hidden="false" customHeight="false" outlineLevel="0" collapsed="false">
      <c r="A5" s="58" t="s">
        <v>374</v>
      </c>
      <c r="B5" s="58" t="s">
        <v>375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376</v>
      </c>
    </row>
    <row r="6" customFormat="false" ht="15" hidden="false" customHeight="false" outlineLevel="0" collapsed="false">
      <c r="A6" s="58" t="s">
        <v>377</v>
      </c>
      <c r="B6" s="59" t="s">
        <v>275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90</v>
      </c>
    </row>
    <row r="7" customFormat="false" ht="15" hidden="false" customHeight="false" outlineLevel="0" collapsed="false">
      <c r="A7" s="58" t="s">
        <v>378</v>
      </c>
      <c r="B7" s="59" t="s">
        <v>275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90</v>
      </c>
    </row>
    <row r="8" customFormat="false" ht="15" hidden="false" customHeight="false" outlineLevel="0" collapsed="false">
      <c r="A8" s="58" t="s">
        <v>379</v>
      </c>
      <c r="B8" s="59" t="s">
        <v>275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380</v>
      </c>
    </row>
    <row r="9" customFormat="false" ht="15" hidden="false" customHeight="false" outlineLevel="0" collapsed="false">
      <c r="A9" s="58" t="s">
        <v>381</v>
      </c>
      <c r="B9" s="59" t="s">
        <v>275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90</v>
      </c>
    </row>
    <row r="10" customFormat="false" ht="15" hidden="false" customHeight="false" outlineLevel="0" collapsed="false">
      <c r="A10" s="58" t="s">
        <v>382</v>
      </c>
      <c r="B10" s="59" t="s">
        <v>89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383</v>
      </c>
    </row>
    <row r="11" customFormat="false" ht="15" hidden="false" customHeight="false" outlineLevel="0" collapsed="false">
      <c r="A11" s="58" t="s">
        <v>384</v>
      </c>
      <c r="B11" s="59" t="s">
        <v>89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385</v>
      </c>
    </row>
    <row r="12" customFormat="false" ht="15" hidden="false" customHeight="false" outlineLevel="0" collapsed="false">
      <c r="A12" s="58" t="s">
        <v>386</v>
      </c>
      <c r="B12" s="58" t="s">
        <v>312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387</v>
      </c>
    </row>
    <row r="13" customFormat="false" ht="15" hidden="false" customHeight="false" outlineLevel="0" collapsed="false">
      <c r="A13" s="59" t="s">
        <v>388</v>
      </c>
      <c r="B13" s="59" t="s">
        <v>93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389</v>
      </c>
    </row>
    <row r="14" customFormat="false" ht="15" hidden="false" customHeight="false" outlineLevel="0" collapsed="false">
      <c r="A14" s="58" t="s">
        <v>390</v>
      </c>
      <c r="B14" s="59" t="s">
        <v>93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391</v>
      </c>
    </row>
    <row r="16" customFormat="false" ht="15" hidden="false" customHeight="false" outlineLevel="0" collapsed="false">
      <c r="A16" s="66" t="s">
        <v>392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393</v>
      </c>
      <c r="B17" s="59" t="s">
        <v>93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394</v>
      </c>
      <c r="B18" s="58" t="s">
        <v>375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395</v>
      </c>
      <c r="B19" s="59" t="s">
        <v>275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396</v>
      </c>
      <c r="B20" s="59" t="s">
        <v>89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397</v>
      </c>
      <c r="B21" s="59" t="s">
        <v>89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398</v>
      </c>
      <c r="B22" s="58" t="s">
        <v>312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399</v>
      </c>
      <c r="B23" s="59" t="s">
        <v>93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400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401</v>
      </c>
      <c r="B26" s="59" t="s">
        <v>275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402</v>
      </c>
      <c r="B27" s="59" t="s">
        <v>275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403</v>
      </c>
      <c r="B28" s="59" t="s">
        <v>275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404</v>
      </c>
      <c r="B29" s="59" t="s">
        <v>275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405</v>
      </c>
      <c r="B30" s="59" t="s">
        <v>275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406</v>
      </c>
      <c r="B31" s="59" t="s">
        <v>93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407</v>
      </c>
      <c r="B32" s="59" t="s">
        <v>275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408</v>
      </c>
      <c r="B33" s="59" t="s">
        <v>275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409</v>
      </c>
      <c r="B34" s="59" t="s">
        <v>275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410</v>
      </c>
      <c r="B35" s="59" t="s">
        <v>275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362</v>
      </c>
      <c r="B36" s="59" t="s">
        <v>275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411</v>
      </c>
    </row>
    <row r="37" customFormat="false" ht="15" hidden="false" customHeight="false" outlineLevel="0" collapsed="false">
      <c r="A37" s="58" t="s">
        <v>412</v>
      </c>
      <c r="B37" s="59" t="s">
        <v>89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413</v>
      </c>
      <c r="B38" s="59" t="s">
        <v>93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414</v>
      </c>
      <c r="B39" s="59" t="s">
        <v>93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415</v>
      </c>
      <c r="B40" s="59" t="s">
        <v>93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416</v>
      </c>
    </row>
    <row r="42" customFormat="false" ht="15" hidden="false" customHeight="false" outlineLevel="0" collapsed="false">
      <c r="A42" s="66" t="s">
        <v>417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418</v>
      </c>
      <c r="B43" s="59" t="s">
        <v>419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420</v>
      </c>
      <c r="B44" s="59" t="s">
        <v>419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421</v>
      </c>
      <c r="B45" s="59" t="s">
        <v>419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422</v>
      </c>
      <c r="B46" s="59" t="s">
        <v>419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423</v>
      </c>
      <c r="B47" s="59" t="s">
        <v>419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424</v>
      </c>
      <c r="B48" s="59" t="s">
        <v>419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425</v>
      </c>
    </row>
    <row r="2" customFormat="false" ht="15" hidden="false" customHeight="false" outlineLevel="0" collapsed="false">
      <c r="A2" s="71" t="s">
        <v>426</v>
      </c>
    </row>
    <row r="4" customFormat="false" ht="15" hidden="false" customHeight="false" outlineLevel="0" collapsed="false">
      <c r="A4" s="73" t="s">
        <v>427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428</v>
      </c>
      <c r="B5" s="59" t="s">
        <v>89</v>
      </c>
      <c r="C5" s="63" t="n">
        <v>0.3</v>
      </c>
      <c r="J5" s="56" t="s">
        <v>429</v>
      </c>
    </row>
    <row r="7" customFormat="false" ht="15" hidden="false" customHeight="false" outlineLevel="0" collapsed="false">
      <c r="A7" s="73" t="s">
        <v>430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57" t="s">
        <v>353</v>
      </c>
      <c r="B8" s="57" t="s">
        <v>73</v>
      </c>
    </row>
    <row r="9" customFormat="false" ht="15" hidden="false" customHeight="false" outlineLevel="0" collapsed="false">
      <c r="A9" s="58" t="s">
        <v>2</v>
      </c>
      <c r="B9" s="58"/>
      <c r="C9" s="57" t="s">
        <v>431</v>
      </c>
      <c r="D9" s="57" t="s">
        <v>432</v>
      </c>
      <c r="E9" s="57" t="s">
        <v>433</v>
      </c>
      <c r="F9" s="57" t="s">
        <v>434</v>
      </c>
      <c r="G9" s="57" t="s">
        <v>434</v>
      </c>
      <c r="H9" s="57" t="s">
        <v>435</v>
      </c>
      <c r="I9" s="57" t="s">
        <v>435</v>
      </c>
    </row>
    <row r="10" customFormat="false" ht="15" hidden="false" customHeight="false" outlineLevel="0" collapsed="false">
      <c r="A10" s="58" t="s">
        <v>436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161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437</v>
      </c>
      <c r="B12" s="58"/>
      <c r="C12" s="85" t="s">
        <v>438</v>
      </c>
      <c r="D12" s="85" t="s">
        <v>438</v>
      </c>
      <c r="E12" s="85" t="s">
        <v>439</v>
      </c>
      <c r="F12" s="85" t="s">
        <v>440</v>
      </c>
      <c r="G12" s="85" t="s">
        <v>440</v>
      </c>
      <c r="H12" s="85" t="s">
        <v>441</v>
      </c>
      <c r="I12" s="85" t="s">
        <v>441</v>
      </c>
    </row>
    <row r="13" customFormat="false" ht="15" hidden="false" customHeight="false" outlineLevel="0" collapsed="false">
      <c r="A13" s="59" t="s">
        <v>442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443</v>
      </c>
      <c r="B14" s="59" t="s">
        <v>355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444</v>
      </c>
      <c r="B15" s="59" t="s">
        <v>275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445</v>
      </c>
      <c r="B16" s="59" t="s">
        <v>275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446</v>
      </c>
      <c r="B17" s="59" t="s">
        <v>355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447</v>
      </c>
      <c r="B18" s="58"/>
      <c r="C18" s="56" t="s">
        <v>448</v>
      </c>
      <c r="D18" s="56" t="s">
        <v>448</v>
      </c>
      <c r="E18" s="56" t="s">
        <v>449</v>
      </c>
      <c r="F18" s="56" t="s">
        <v>450</v>
      </c>
      <c r="G18" s="56" t="s">
        <v>450</v>
      </c>
      <c r="H18" s="56" t="s">
        <v>451</v>
      </c>
      <c r="I18" s="56" t="s">
        <v>451</v>
      </c>
    </row>
    <row r="19" customFormat="false" ht="26.85" hidden="false" customHeight="false" outlineLevel="0" collapsed="false">
      <c r="A19" s="58" t="s">
        <v>452</v>
      </c>
      <c r="B19" s="58"/>
      <c r="C19" s="85" t="s">
        <v>453</v>
      </c>
      <c r="D19" s="85" t="s">
        <v>453</v>
      </c>
      <c r="E19" s="85" t="s">
        <v>453</v>
      </c>
      <c r="F19" s="85" t="s">
        <v>453</v>
      </c>
      <c r="G19" s="85" t="s">
        <v>453</v>
      </c>
      <c r="H19" s="85" t="s">
        <v>453</v>
      </c>
      <c r="I19" s="85" t="s">
        <v>453</v>
      </c>
      <c r="J19" s="91" t="s">
        <v>454</v>
      </c>
    </row>
    <row r="20" customFormat="false" ht="30" hidden="false" customHeight="true" outlineLevel="0" collapsed="false">
      <c r="A20" s="58" t="s">
        <v>455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456</v>
      </c>
      <c r="B21" s="58"/>
      <c r="C21" s="91" t="s">
        <v>457</v>
      </c>
      <c r="D21" s="91" t="s">
        <v>457</v>
      </c>
      <c r="E21" s="91" t="s">
        <v>457</v>
      </c>
      <c r="F21" s="91" t="s">
        <v>457</v>
      </c>
      <c r="G21" s="91" t="s">
        <v>457</v>
      </c>
      <c r="H21" s="91" t="s">
        <v>457</v>
      </c>
      <c r="I21" s="91" t="s">
        <v>457</v>
      </c>
    </row>
    <row r="22" customFormat="false" ht="15" hidden="false" customHeight="false" outlineLevel="0" collapsed="false">
      <c r="A22" s="73" t="s">
        <v>458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459</v>
      </c>
      <c r="B23" s="59" t="s">
        <v>460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461</v>
      </c>
      <c r="B24" s="59" t="s">
        <v>299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462</v>
      </c>
      <c r="B25" s="59" t="s">
        <v>463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464</v>
      </c>
      <c r="B26" s="59" t="s">
        <v>463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465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466</v>
      </c>
      <c r="B28" s="59" t="s">
        <v>254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467</v>
      </c>
      <c r="B29" s="59" t="s">
        <v>254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257</v>
      </c>
      <c r="B30" s="59" t="s">
        <v>254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259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262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468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469</v>
      </c>
      <c r="B34" s="59" t="s">
        <v>254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295</v>
      </c>
      <c r="B35" s="59" t="s">
        <v>254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470</v>
      </c>
      <c r="B36" s="59" t="s">
        <v>254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471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272</v>
      </c>
      <c r="B38" s="59" t="s">
        <v>89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472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473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474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362</v>
      </c>
      <c r="B42" s="59" t="s">
        <v>275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475</v>
      </c>
      <c r="B43" s="59" t="s">
        <v>275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476</v>
      </c>
      <c r="B44" s="59" t="s">
        <v>477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363</v>
      </c>
      <c r="B45" s="59" t="s">
        <v>275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478</v>
      </c>
      <c r="B46" s="59" t="s">
        <v>275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479</v>
      </c>
      <c r="B47" s="59" t="s">
        <v>477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480</v>
      </c>
      <c r="B48" s="59" t="s">
        <v>299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481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482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483</v>
      </c>
      <c r="B51" s="59" t="s">
        <v>299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484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485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486</v>
      </c>
      <c r="B54" s="59" t="s">
        <v>355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487</v>
      </c>
      <c r="B55" s="59" t="s">
        <v>488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489</v>
      </c>
      <c r="B56" s="59" t="s">
        <v>355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490</v>
      </c>
    </row>
    <row r="57" customFormat="false" ht="15" hidden="false" customHeight="false" outlineLevel="0" collapsed="false">
      <c r="A57" s="58" t="s">
        <v>491</v>
      </c>
      <c r="B57" s="58" t="s">
        <v>492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493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494</v>
      </c>
      <c r="B60" s="59" t="s">
        <v>89</v>
      </c>
      <c r="C60" s="98" t="n">
        <f aca="false">(C57-D57)*C55/(1000*(C53/C14-D53/D14))</f>
        <v>0.0357550334998836</v>
      </c>
      <c r="J60" s="56" t="s">
        <v>495</v>
      </c>
    </row>
    <row r="61" customFormat="false" ht="15" hidden="false" customHeight="false" outlineLevel="0" collapsed="false">
      <c r="A61" s="58" t="s">
        <v>496</v>
      </c>
      <c r="B61" s="59" t="s">
        <v>488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497</v>
      </c>
      <c r="B62" s="59" t="s">
        <v>498</v>
      </c>
      <c r="C62" s="68" t="n">
        <f aca="false">(C61-C51/C25)*1000/(C31+C52)</f>
        <v>161.185338133698</v>
      </c>
      <c r="J62" s="71" t="s">
        <v>499</v>
      </c>
    </row>
    <row r="63" customFormat="false" ht="15" hidden="false" customHeight="false" outlineLevel="0" collapsed="false">
      <c r="A63" s="58" t="s">
        <v>500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501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57" t="s">
        <v>161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502</v>
      </c>
      <c r="B67" s="59" t="s">
        <v>93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503</v>
      </c>
    </row>
    <row r="68" customFormat="false" ht="15" hidden="false" customHeight="false" outlineLevel="0" collapsed="false">
      <c r="A68" s="58" t="s">
        <v>504</v>
      </c>
      <c r="B68" s="59" t="s">
        <v>93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505</v>
      </c>
    </row>
    <row r="69" customFormat="false" ht="26.85" hidden="false" customHeight="false" outlineLevel="0" collapsed="false">
      <c r="A69" s="59" t="s">
        <v>506</v>
      </c>
      <c r="B69" s="59" t="s">
        <v>93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507</v>
      </c>
    </row>
    <row r="70" customFormat="false" ht="15" hidden="false" customHeight="false" outlineLevel="0" collapsed="false">
      <c r="A70" s="59" t="s">
        <v>508</v>
      </c>
      <c r="B70" s="59" t="s">
        <v>89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509</v>
      </c>
      <c r="B71" s="59" t="s">
        <v>498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510</v>
      </c>
      <c r="B72" s="59" t="s">
        <v>89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511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512</v>
      </c>
      <c r="B75" s="59" t="s">
        <v>89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513</v>
      </c>
      <c r="B76" s="59" t="s">
        <v>498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514</v>
      </c>
      <c r="B77" s="59" t="s">
        <v>89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515</v>
      </c>
      <c r="B78" s="59" t="s">
        <v>355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516</v>
      </c>
      <c r="B79" s="59" t="s">
        <v>488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517</v>
      </c>
      <c r="B80" s="59" t="s">
        <v>488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518</v>
      </c>
      <c r="B81" s="58" t="s">
        <v>519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520</v>
      </c>
      <c r="B82" s="58" t="s">
        <v>519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521</v>
      </c>
      <c r="B83" s="58" t="s">
        <v>519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522</v>
      </c>
      <c r="B84" s="59" t="s">
        <v>355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523</v>
      </c>
      <c r="B85" s="59" t="s">
        <v>355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524</v>
      </c>
      <c r="B86" s="59" t="s">
        <v>93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525</v>
      </c>
      <c r="C87" s="91" t="s">
        <v>526</v>
      </c>
      <c r="D87" s="91" t="s">
        <v>526</v>
      </c>
      <c r="E87" s="91" t="s">
        <v>527</v>
      </c>
      <c r="F87" s="91" t="s">
        <v>528</v>
      </c>
      <c r="G87" s="91" t="s">
        <v>529</v>
      </c>
      <c r="H87" s="91" t="s">
        <v>530</v>
      </c>
      <c r="I87" s="91" t="s">
        <v>115</v>
      </c>
    </row>
    <row r="89" customFormat="false" ht="15" hidden="false" customHeight="false" outlineLevel="0" collapsed="false">
      <c r="A89" s="73" t="s">
        <v>531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10" t="s">
        <v>532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533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534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535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536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537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538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539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10" t="s">
        <v>540</v>
      </c>
    </row>
    <row r="100" customFormat="false" ht="26.85" hidden="false" customHeight="false" outlineLevel="0" collapsed="false">
      <c r="A100" s="58" t="s">
        <v>253</v>
      </c>
      <c r="B100" s="59" t="s">
        <v>254</v>
      </c>
      <c r="C100" s="60" t="n">
        <f aca="false">SRC_MOD_020</f>
        <v>671</v>
      </c>
      <c r="J100" s="85" t="s">
        <v>541</v>
      </c>
    </row>
    <row r="101" customFormat="false" ht="15" hidden="false" customHeight="false" outlineLevel="0" collapsed="false">
      <c r="A101" s="58" t="s">
        <v>257</v>
      </c>
      <c r="B101" s="59" t="s">
        <v>254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259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262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268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542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270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271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543</v>
      </c>
      <c r="B108" s="59" t="s">
        <v>254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544</v>
      </c>
      <c r="B109" s="59" t="s">
        <v>297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545</v>
      </c>
      <c r="B110" s="59" t="s">
        <v>275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546</v>
      </c>
      <c r="B111" s="59" t="s">
        <v>275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292</v>
      </c>
      <c r="B112" s="59" t="s">
        <v>254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469</v>
      </c>
      <c r="B113" s="59" t="s">
        <v>254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295</v>
      </c>
      <c r="B114" s="59" t="s">
        <v>254</v>
      </c>
      <c r="C114" s="65" t="n">
        <f aca="false">C100-C113</f>
        <v>657.008064516129</v>
      </c>
    </row>
    <row r="116" customFormat="false" ht="30" hidden="false" customHeight="true" outlineLevel="0" collapsed="false">
      <c r="A116" s="57" t="s">
        <v>547</v>
      </c>
      <c r="C116" s="82" t="s">
        <v>548</v>
      </c>
      <c r="D116" s="82" t="s">
        <v>549</v>
      </c>
      <c r="E116" s="82" t="s">
        <v>550</v>
      </c>
      <c r="F116" s="82" t="s">
        <v>551</v>
      </c>
    </row>
    <row r="117" customFormat="false" ht="15" hidden="false" customHeight="false" outlineLevel="0" collapsed="false">
      <c r="A117" s="58" t="s">
        <v>436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552</v>
      </c>
      <c r="B118" s="59" t="s">
        <v>355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553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554</v>
      </c>
    </row>
    <row r="120" customFormat="false" ht="26.85" hidden="false" customHeight="false" outlineLevel="0" collapsed="false">
      <c r="A120" s="59" t="s">
        <v>555</v>
      </c>
      <c r="B120" s="59" t="s">
        <v>556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557</v>
      </c>
    </row>
    <row r="121" customFormat="false" ht="30" hidden="false" customHeight="true" outlineLevel="0" collapsed="false">
      <c r="A121" s="58" t="s">
        <v>452</v>
      </c>
      <c r="C121" s="85" t="s">
        <v>558</v>
      </c>
      <c r="D121" s="85" t="s">
        <v>558</v>
      </c>
      <c r="E121" s="85" t="s">
        <v>559</v>
      </c>
      <c r="F121" s="85" t="s">
        <v>558</v>
      </c>
    </row>
    <row r="122" customFormat="false" ht="15" hidden="false" customHeight="false" outlineLevel="0" collapsed="false">
      <c r="A122" s="58" t="s">
        <v>161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456</v>
      </c>
      <c r="C123" s="71" t="s">
        <v>560</v>
      </c>
      <c r="D123" s="71" t="s">
        <v>560</v>
      </c>
      <c r="E123" s="71" t="s">
        <v>560</v>
      </c>
      <c r="F123" s="71" t="s">
        <v>560</v>
      </c>
    </row>
    <row r="124" customFormat="false" ht="15" hidden="false" customHeight="false" outlineLevel="0" collapsed="false">
      <c r="A124" s="58" t="s">
        <v>459</v>
      </c>
      <c r="B124" s="59" t="s">
        <v>561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562</v>
      </c>
      <c r="B125" s="59" t="s">
        <v>299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462</v>
      </c>
      <c r="B126" s="59" t="s">
        <v>463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563</v>
      </c>
      <c r="B127" s="59" t="s">
        <v>463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564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565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566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480</v>
      </c>
      <c r="B131" s="59" t="s">
        <v>299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567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482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483</v>
      </c>
      <c r="B134" s="59" t="s">
        <v>299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362</v>
      </c>
      <c r="B135" s="59" t="s">
        <v>275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476</v>
      </c>
      <c r="B136" s="59" t="s">
        <v>477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479</v>
      </c>
      <c r="B137" s="59" t="s">
        <v>477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568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569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512</v>
      </c>
      <c r="B140" s="59" t="s">
        <v>89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513</v>
      </c>
      <c r="B141" s="59" t="s">
        <v>498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514</v>
      </c>
      <c r="B142" s="59" t="s">
        <v>89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515</v>
      </c>
      <c r="B143" s="59" t="s">
        <v>355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516</v>
      </c>
      <c r="B144" s="59" t="s">
        <v>488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517</v>
      </c>
      <c r="B145" s="59" t="s">
        <v>488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521</v>
      </c>
      <c r="B146" s="58" t="s">
        <v>519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522</v>
      </c>
      <c r="B147" s="59" t="s">
        <v>355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570</v>
      </c>
      <c r="B148" s="59" t="s">
        <v>355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571</v>
      </c>
      <c r="B149" s="59" t="s">
        <v>93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572</v>
      </c>
      <c r="C150" s="102" t="n">
        <f aca="false">E148/C148</f>
        <v>2.5251262330147</v>
      </c>
      <c r="J150" s="85" t="s">
        <v>573</v>
      </c>
    </row>
    <row r="151" customFormat="false" ht="15" hidden="false" customHeight="false" outlineLevel="0" collapsed="false">
      <c r="A151" s="59" t="s">
        <v>574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575</v>
      </c>
      <c r="C152" s="74" t="n">
        <f aca="false">C148/D148</f>
        <v>1.5</v>
      </c>
      <c r="D152" s="74" t="n">
        <f aca="false">C120/D120</f>
        <v>1.05487728759394</v>
      </c>
      <c r="J152" s="91" t="s">
        <v>576</v>
      </c>
    </row>
    <row r="154" customFormat="false" ht="15" hidden="false" customHeight="false" outlineLevel="0" collapsed="false">
      <c r="A154" s="73" t="s">
        <v>577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57" t="s">
        <v>161</v>
      </c>
      <c r="B155" s="57" t="s">
        <v>73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578</v>
      </c>
      <c r="B156" s="59" t="s">
        <v>93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579</v>
      </c>
      <c r="J156" s="85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581</v>
      </c>
    </row>
    <row r="2" customFormat="false" ht="15" hidden="false" customHeight="false" outlineLevel="0" collapsed="false">
      <c r="A2" s="71" t="s">
        <v>582</v>
      </c>
    </row>
    <row r="4" customFormat="false" ht="30" hidden="false" customHeight="true" outlineLevel="0" collapsed="false">
      <c r="A4" s="82" t="s">
        <v>583</v>
      </c>
      <c r="B4" s="81" t="s">
        <v>584</v>
      </c>
      <c r="C4" s="81" t="s">
        <v>585</v>
      </c>
      <c r="D4" s="81" t="s">
        <v>586</v>
      </c>
      <c r="E4" s="81" t="s">
        <v>587</v>
      </c>
      <c r="F4" s="81" t="s">
        <v>588</v>
      </c>
      <c r="G4" s="81" t="s">
        <v>589</v>
      </c>
      <c r="H4" s="81" t="s">
        <v>590</v>
      </c>
      <c r="I4" s="81" t="s">
        <v>591</v>
      </c>
      <c r="J4" s="81" t="s">
        <v>592</v>
      </c>
      <c r="K4" s="81" t="s">
        <v>593</v>
      </c>
      <c r="L4" s="82" t="s">
        <v>594</v>
      </c>
      <c r="M4" s="81" t="s">
        <v>595</v>
      </c>
      <c r="N4" s="81" t="s">
        <v>596</v>
      </c>
      <c r="O4" s="81" t="s">
        <v>597</v>
      </c>
      <c r="P4" s="81" t="s">
        <v>598</v>
      </c>
      <c r="Q4" s="81" t="s">
        <v>599</v>
      </c>
      <c r="R4" s="81" t="s">
        <v>78</v>
      </c>
      <c r="S4" s="81" t="s">
        <v>600</v>
      </c>
      <c r="T4" s="81" t="s">
        <v>601</v>
      </c>
    </row>
    <row r="5" customFormat="false" ht="42" hidden="false" customHeight="true" outlineLevel="0" collapsed="false">
      <c r="A5" s="59" t="s">
        <v>602</v>
      </c>
      <c r="B5" s="6" t="s">
        <v>603</v>
      </c>
      <c r="C5" s="59" t="s">
        <v>604</v>
      </c>
      <c r="D5" s="59" t="s">
        <v>605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606</v>
      </c>
      <c r="J5" s="64" t="n">
        <v>3</v>
      </c>
      <c r="K5" s="58" t="str">
        <f aca="false">IF(J5&gt;=CST_MainMin,"主流","非主流")</f>
        <v>主流</v>
      </c>
      <c r="L5" s="103"/>
      <c r="M5" s="103" t="s">
        <v>607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125</v>
      </c>
      <c r="R5" s="85" t="s">
        <v>608</v>
      </c>
      <c r="S5" s="85" t="s">
        <v>604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609</v>
      </c>
      <c r="B6" s="5" t="s">
        <v>610</v>
      </c>
      <c r="C6" s="59" t="s">
        <v>604</v>
      </c>
      <c r="D6" s="59" t="s">
        <v>611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606</v>
      </c>
      <c r="J6" s="64" t="n">
        <v>3</v>
      </c>
      <c r="K6" s="58" t="str">
        <f aca="false">IF(J6&gt;=CST_MainMin,"主流","非主流")</f>
        <v>主流</v>
      </c>
      <c r="L6" s="103"/>
      <c r="M6" s="103" t="s">
        <v>607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125</v>
      </c>
      <c r="R6" s="85" t="s">
        <v>612</v>
      </c>
      <c r="S6" s="85" t="s">
        <v>604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613</v>
      </c>
      <c r="B7" s="6" t="s">
        <v>614</v>
      </c>
      <c r="C7" s="59" t="s">
        <v>604</v>
      </c>
      <c r="D7" s="59" t="s">
        <v>615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606</v>
      </c>
      <c r="J7" s="64" t="n">
        <v>2</v>
      </c>
      <c r="K7" s="58" t="str">
        <f aca="false">IF(J7&gt;=CST_MainMin,"主流","非主流")</f>
        <v>主流</v>
      </c>
      <c r="L7" s="103"/>
      <c r="M7" s="103" t="s">
        <v>607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125</v>
      </c>
      <c r="R7" s="85" t="s">
        <v>616</v>
      </c>
      <c r="S7" s="85" t="s">
        <v>604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617</v>
      </c>
      <c r="B8" s="6" t="s">
        <v>618</v>
      </c>
      <c r="C8" s="59" t="s">
        <v>604</v>
      </c>
      <c r="D8" s="59" t="s">
        <v>615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606</v>
      </c>
      <c r="J8" s="64" t="n">
        <v>2</v>
      </c>
      <c r="K8" s="58" t="str">
        <f aca="false">IF(J8&gt;=CST_MainMin,"主流","非主流")</f>
        <v>主流</v>
      </c>
      <c r="L8" s="103"/>
      <c r="M8" s="103" t="s">
        <v>607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202</v>
      </c>
      <c r="R8" s="85" t="s">
        <v>619</v>
      </c>
      <c r="S8" s="85" t="s">
        <v>604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620</v>
      </c>
      <c r="B9" s="6" t="s">
        <v>621</v>
      </c>
      <c r="C9" s="59" t="s">
        <v>604</v>
      </c>
      <c r="D9" s="59" t="s">
        <v>622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606</v>
      </c>
      <c r="J9" s="64" t="n">
        <v>2</v>
      </c>
      <c r="K9" s="58" t="str">
        <f aca="false">IF(J9&gt;=CST_MainMin,"主流","非主流")</f>
        <v>主流</v>
      </c>
      <c r="L9" s="103"/>
      <c r="M9" s="103" t="s">
        <v>607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202</v>
      </c>
      <c r="R9" s="85" t="s">
        <v>623</v>
      </c>
      <c r="S9" s="85" t="s">
        <v>604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624</v>
      </c>
      <c r="B10" s="6" t="s">
        <v>625</v>
      </c>
      <c r="C10" s="59" t="s">
        <v>626</v>
      </c>
      <c r="D10" s="58" t="s">
        <v>627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628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607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202</v>
      </c>
      <c r="R10" s="85" t="s">
        <v>629</v>
      </c>
      <c r="S10" s="91" t="s">
        <v>630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631</v>
      </c>
      <c r="B11" s="6" t="s">
        <v>632</v>
      </c>
      <c r="C11" s="59" t="s">
        <v>633</v>
      </c>
      <c r="D11" s="58" t="s">
        <v>634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628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635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202</v>
      </c>
      <c r="R11" s="91" t="s">
        <v>636</v>
      </c>
      <c r="S11" s="91" t="s">
        <v>637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638</v>
      </c>
      <c r="B12" s="6" t="s">
        <v>639</v>
      </c>
      <c r="C12" s="59" t="s">
        <v>640</v>
      </c>
      <c r="D12" s="58" t="s">
        <v>641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642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635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90</v>
      </c>
      <c r="R12" s="91" t="s">
        <v>643</v>
      </c>
      <c r="S12" s="91" t="s">
        <v>644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645</v>
      </c>
      <c r="B13" s="6" t="s">
        <v>646</v>
      </c>
      <c r="C13" s="59" t="s">
        <v>647</v>
      </c>
      <c r="D13" s="58" t="s">
        <v>648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642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635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90</v>
      </c>
      <c r="R13" s="91" t="s">
        <v>649</v>
      </c>
      <c r="S13" s="91" t="s">
        <v>650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651</v>
      </c>
      <c r="B14" s="5" t="s">
        <v>652</v>
      </c>
      <c r="C14" s="59" t="s">
        <v>653</v>
      </c>
      <c r="D14" s="59" t="s">
        <v>654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606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607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202</v>
      </c>
      <c r="R14" s="91" t="s">
        <v>655</v>
      </c>
      <c r="S14" s="91" t="s">
        <v>656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657</v>
      </c>
      <c r="B15" s="6" t="s">
        <v>658</v>
      </c>
      <c r="C15" s="59" t="s">
        <v>659</v>
      </c>
      <c r="D15" s="59" t="s">
        <v>470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628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635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90</v>
      </c>
      <c r="R15" s="85" t="s">
        <v>660</v>
      </c>
      <c r="S15" s="91" t="s">
        <v>661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662</v>
      </c>
      <c r="B16" s="6" t="s">
        <v>663</v>
      </c>
      <c r="C16" s="59" t="s">
        <v>664</v>
      </c>
      <c r="D16" s="59" t="s">
        <v>665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666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635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90</v>
      </c>
      <c r="R16" s="85" t="s">
        <v>667</v>
      </c>
      <c r="S16" s="91" t="s">
        <v>668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669</v>
      </c>
      <c r="B17" s="5" t="s">
        <v>670</v>
      </c>
      <c r="J17" s="64" t="n">
        <v>2</v>
      </c>
      <c r="Q17" s="56" t="s">
        <v>82</v>
      </c>
      <c r="R17" s="85" t="s">
        <v>671</v>
      </c>
    </row>
    <row r="18" customFormat="false" ht="15" hidden="false" customHeight="false" outlineLevel="0" collapsed="false">
      <c r="A18" s="66" t="s">
        <v>672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57" t="s">
        <v>673</v>
      </c>
      <c r="B19" s="57" t="s">
        <v>674</v>
      </c>
      <c r="C19" s="57"/>
      <c r="D19" s="57" t="s">
        <v>675</v>
      </c>
      <c r="E19" s="57" t="s">
        <v>676</v>
      </c>
    </row>
    <row r="20" customFormat="false" ht="15" hidden="false" customHeight="false" outlineLevel="0" collapsed="false">
      <c r="A20" s="10" t="s">
        <v>677</v>
      </c>
      <c r="B20" s="59" t="s">
        <v>678</v>
      </c>
      <c r="D20" s="85" t="s">
        <v>679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647</v>
      </c>
      <c r="B21" s="58" t="s">
        <v>504</v>
      </c>
      <c r="D21" s="85" t="s">
        <v>680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640</v>
      </c>
      <c r="B22" s="58" t="s">
        <v>681</v>
      </c>
      <c r="D22" s="85" t="s">
        <v>682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659</v>
      </c>
      <c r="B23" s="59" t="s">
        <v>683</v>
      </c>
      <c r="D23" s="85" t="s">
        <v>684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685</v>
      </c>
      <c r="B24" s="58" t="s">
        <v>686</v>
      </c>
      <c r="D24" s="85" t="s">
        <v>687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633</v>
      </c>
      <c r="B25" s="58" t="s">
        <v>688</v>
      </c>
      <c r="D25" s="85" t="s">
        <v>689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690</v>
      </c>
      <c r="B26" s="58" t="s">
        <v>691</v>
      </c>
      <c r="D26" s="85" t="s">
        <v>692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626</v>
      </c>
      <c r="B27" s="58" t="s">
        <v>693</v>
      </c>
      <c r="D27" s="85" t="s">
        <v>694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653</v>
      </c>
      <c r="B28" s="59" t="s">
        <v>695</v>
      </c>
      <c r="D28" s="85" t="s">
        <v>696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697</v>
      </c>
      <c r="B29" s="58" t="s">
        <v>698</v>
      </c>
      <c r="D29" s="85" t="s">
        <v>699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664</v>
      </c>
      <c r="B30" s="59" t="s">
        <v>700</v>
      </c>
      <c r="D30" s="85" t="s">
        <v>701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57" t="s">
        <v>702</v>
      </c>
      <c r="B32" s="105" t="s">
        <v>703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704</v>
      </c>
    </row>
    <row r="2" customFormat="false" ht="15" hidden="false" customHeight="false" outlineLevel="0" collapsed="false">
      <c r="A2" s="56" t="s">
        <v>705</v>
      </c>
    </row>
    <row r="4" customFormat="false" ht="15" hidden="false" customHeight="false" outlineLevel="0" collapsed="false">
      <c r="A4" s="57" t="s">
        <v>161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7" t="s">
        <v>706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7" t="s">
        <v>436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7" t="s">
        <v>707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708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709</v>
      </c>
      <c r="B10" s="59" t="s">
        <v>93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710</v>
      </c>
      <c r="B11" s="59" t="s">
        <v>93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711</v>
      </c>
      <c r="B12" s="59" t="s">
        <v>93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712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459</v>
      </c>
      <c r="B14" s="59" t="s">
        <v>460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461</v>
      </c>
      <c r="B15" s="59" t="s">
        <v>713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462</v>
      </c>
      <c r="B16" s="59" t="s">
        <v>344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714</v>
      </c>
      <c r="B17" s="59" t="s">
        <v>344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222</v>
      </c>
      <c r="B18" s="59" t="s">
        <v>715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716</v>
      </c>
      <c r="B19" s="59" t="s">
        <v>254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717</v>
      </c>
      <c r="B20" s="59" t="s">
        <v>254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718</v>
      </c>
      <c r="B21" s="59" t="s">
        <v>715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174</v>
      </c>
      <c r="B22" s="58" t="s">
        <v>719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720</v>
      </c>
      <c r="B23" s="59" t="s">
        <v>721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722</v>
      </c>
      <c r="B24" s="59" t="s">
        <v>723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724</v>
      </c>
      <c r="B25" s="58" t="s">
        <v>725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726</v>
      </c>
      <c r="B26" s="59" t="s">
        <v>727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728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257</v>
      </c>
      <c r="B28" s="59" t="s">
        <v>254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259</v>
      </c>
      <c r="B29" s="58" t="s">
        <v>260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262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729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469</v>
      </c>
      <c r="B32" s="59" t="s">
        <v>254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295</v>
      </c>
      <c r="B33" s="59" t="s">
        <v>254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730</v>
      </c>
      <c r="B34" s="59" t="s">
        <v>254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471</v>
      </c>
      <c r="B35" s="59" t="s">
        <v>297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272</v>
      </c>
      <c r="B36" s="59" t="s">
        <v>89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731</v>
      </c>
      <c r="B37" s="59" t="s">
        <v>275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277</v>
      </c>
      <c r="B38" s="59" t="s">
        <v>93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279</v>
      </c>
      <c r="B39" s="59" t="s">
        <v>275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732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354</v>
      </c>
      <c r="B41" s="59" t="s">
        <v>355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733</v>
      </c>
      <c r="B42" s="59" t="s">
        <v>358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734</v>
      </c>
      <c r="B43" s="59" t="s">
        <v>275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361</v>
      </c>
      <c r="B44" s="59" t="s">
        <v>275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362</v>
      </c>
      <c r="B45" s="59" t="s">
        <v>275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363</v>
      </c>
      <c r="B46" s="59" t="s">
        <v>275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735</v>
      </c>
      <c r="B47" s="59" t="s">
        <v>275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736</v>
      </c>
      <c r="B48" s="59" t="s">
        <v>89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737</v>
      </c>
      <c r="B49" s="59" t="s">
        <v>275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350</v>
      </c>
      <c r="B50" s="59" t="s">
        <v>93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738</v>
      </c>
      <c r="B51" s="59" t="s">
        <v>89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739</v>
      </c>
      <c r="B52" s="59" t="s">
        <v>93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740</v>
      </c>
      <c r="B53" s="59" t="s">
        <v>89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741</v>
      </c>
      <c r="B54" s="59" t="s">
        <v>93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742</v>
      </c>
      <c r="B55" s="59" t="s">
        <v>498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743</v>
      </c>
      <c r="B56" s="59" t="s">
        <v>89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744</v>
      </c>
      <c r="B57" s="59" t="s">
        <v>89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745</v>
      </c>
      <c r="B58" s="59" t="s">
        <v>89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746</v>
      </c>
      <c r="B59" s="59" t="s">
        <v>254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747</v>
      </c>
      <c r="B60" s="59" t="s">
        <v>89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748</v>
      </c>
      <c r="B61" s="59" t="s">
        <v>89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749</v>
      </c>
      <c r="B62" s="59" t="s">
        <v>463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750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751</v>
      </c>
      <c r="B64" s="59" t="s">
        <v>275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476</v>
      </c>
      <c r="B65" s="59" t="s">
        <v>477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752</v>
      </c>
      <c r="B66" s="59" t="s">
        <v>275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479</v>
      </c>
      <c r="B67" s="59" t="s">
        <v>477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753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480</v>
      </c>
      <c r="B69" s="59" t="s">
        <v>299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754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755</v>
      </c>
      <c r="B71" s="59" t="s">
        <v>715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483</v>
      </c>
      <c r="B72" s="59" t="s">
        <v>299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756</v>
      </c>
      <c r="B73" s="59" t="s">
        <v>89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757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758</v>
      </c>
      <c r="B75" s="59" t="s">
        <v>355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759</v>
      </c>
      <c r="B76" s="59" t="s">
        <v>358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760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761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762</v>
      </c>
      <c r="B79" s="59" t="s">
        <v>488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763</v>
      </c>
      <c r="B80" s="59" t="s">
        <v>488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764</v>
      </c>
      <c r="B81" s="59" t="s">
        <v>488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765</v>
      </c>
      <c r="B82" s="59" t="s">
        <v>488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766</v>
      </c>
      <c r="B83" s="59" t="s">
        <v>488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767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768</v>
      </c>
      <c r="B85" s="58" t="s">
        <v>492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769</v>
      </c>
      <c r="B86" s="58" t="s">
        <v>492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770</v>
      </c>
      <c r="B87" s="58" t="s">
        <v>492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771</v>
      </c>
      <c r="B88" s="59" t="s">
        <v>355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772</v>
      </c>
      <c r="B89" s="59" t="s">
        <v>355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773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774</v>
      </c>
      <c r="B91" s="59" t="s">
        <v>89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775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776</v>
      </c>
      <c r="B93" s="59" t="s">
        <v>777</v>
      </c>
      <c r="C93" s="112" t="n">
        <f aca="false">IF(C88&gt;0,C43/C75+C44/C88,0)</f>
        <v>2.81758042871208</v>
      </c>
      <c r="D93" s="112" t="n">
        <f aca="false">IF(D88&gt;0,D43/D75+D44/D88,0)</f>
        <v>19.4217091738095</v>
      </c>
      <c r="E93" s="112" t="n">
        <f aca="false">IF(E88&gt;0,E43/E75+E44/E88,0)</f>
        <v>215.338013912042</v>
      </c>
      <c r="F93" s="112" t="n">
        <f aca="false">IF(F88&gt;0,F43/F75+F44/F88,0)</f>
        <v>0.402508852115598</v>
      </c>
      <c r="G93" s="112" t="n">
        <f aca="false">IF(G88&gt;0,G43/G75+G44/G88,0)</f>
        <v>2.80107890175599</v>
      </c>
      <c r="H93" s="112" t="n">
        <f aca="false">IF(H88&gt;0,H43/H75+H44/H88,0)</f>
        <v>29.1054597325189</v>
      </c>
      <c r="I93" s="112" t="n">
        <f aca="false">IF(I88&gt;0,I43/I75+I44/I88,0)</f>
        <v>0.268339234743732</v>
      </c>
      <c r="J93" s="112" t="n">
        <f aca="false">IF(J88&gt;0,J43/J75+J44/J88,0)</f>
        <v>1.86738593450399</v>
      </c>
      <c r="K93" s="112" t="n">
        <f aca="false">IF(K88&gt;0,K43/K75+K44/K88,0)</f>
        <v>23.3623109173702</v>
      </c>
      <c r="L93" s="112" t="n">
        <f aca="false">IF(L88&gt;0,L43/L75+L44/L88,0)</f>
        <v>0.109722585057166</v>
      </c>
      <c r="M93" s="112" t="n">
        <f aca="false">IF(M88&gt;0,M43/M75+M44/M88,0)</f>
        <v>0.714671455168045</v>
      </c>
      <c r="N93" s="112" t="n">
        <f aca="false">IF(N88&gt;0,N43/N75+N44/N88,0)</f>
        <v>6.62847288948946</v>
      </c>
      <c r="O93" s="112" t="n">
        <f aca="false">IF(O88&gt;0,O43/O75+O44/O88,0)</f>
        <v>0.0541992038157031</v>
      </c>
      <c r="P93" s="112" t="n">
        <f aca="false">IF(P88&gt;0,P43/P75+P44/P88,0)</f>
        <v>0.347067506939312</v>
      </c>
      <c r="Q93" s="112" t="n">
        <f aca="false">IF(Q88&gt;0,Q43/Q75+Q44/Q88,0)</f>
        <v>3.04319873201742</v>
      </c>
    </row>
    <row r="94" customFormat="false" ht="15" hidden="false" customHeight="false" outlineLevel="0" collapsed="false">
      <c r="A94" s="59" t="s">
        <v>778</v>
      </c>
      <c r="B94" s="59" t="s">
        <v>89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8" t="s">
        <v>779</v>
      </c>
      <c r="B95" s="59" t="s">
        <v>355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8" t="s">
        <v>780</v>
      </c>
      <c r="B96" s="59" t="s">
        <v>355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8" t="s">
        <v>781</v>
      </c>
      <c r="B97" s="59" t="s">
        <v>355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8" t="s">
        <v>782</v>
      </c>
      <c r="B98" s="59" t="s">
        <v>783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8" t="s">
        <v>784</v>
      </c>
      <c r="B99" s="59" t="s">
        <v>783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785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786</v>
      </c>
      <c r="B101" s="59" t="s">
        <v>787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788</v>
      </c>
      <c r="B102" s="59" t="s">
        <v>787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789</v>
      </c>
      <c r="B103" s="59" t="s">
        <v>787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8" t="s">
        <v>790</v>
      </c>
      <c r="B104" s="59" t="s">
        <v>791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792</v>
      </c>
      <c r="B105" s="59" t="s">
        <v>791</v>
      </c>
      <c r="C105" s="114" t="n">
        <f aca="false">IF(C103&gt;0,INDEX(DC_Cost!$C$58:$Q$58,3*(C$6-1)+2)/3600*C103,0)</f>
        <v>0.736990032519282</v>
      </c>
      <c r="D105" s="114" t="n">
        <f aca="false">IF(D103&gt;0,INDEX(DC_Cost!$C$58:$Q$58,3*(D$6-1)+2)/3600*D103,0)</f>
        <v>2.52932479404151</v>
      </c>
      <c r="E105" s="114" t="n">
        <f aca="false">IF(E103&gt;0,INDEX(DC_Cost!$C$58:$Q$58,3*(E$6-1)+2)/3600*E103,0)</f>
        <v>17.437603109732</v>
      </c>
      <c r="F105" s="114" t="n">
        <f aca="false">IF(F103&gt;0,INDEX(DC_Cost!$C$58:$Q$58,3*(F$6-1)+2)/3600*F103,0)</f>
        <v>0.162377864250437</v>
      </c>
      <c r="G105" s="114" t="n">
        <f aca="false">IF(G103&gt;0,INDEX(DC_Cost!$C$58:$Q$58,3*(G$6-1)+2)/3600*G103,0)</f>
        <v>0.565494858729786</v>
      </c>
      <c r="H105" s="114" t="n">
        <f aca="false">IF(H103&gt;0,INDEX(DC_Cost!$C$58:$Q$58,3*(H$6-1)+2)/3600*H103,0)</f>
        <v>3.30898231952609</v>
      </c>
      <c r="I105" s="114" t="n">
        <f aca="false">IF(I103&gt;0,INDEX(DC_Cost!$C$58:$Q$58,3*(I$6-1)+2)/3600*I103,0)</f>
        <v>0.137536094679954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3.48781422353906</v>
      </c>
      <c r="L105" s="114" t="n">
        <f aca="false">IF(L103&gt;0,INDEX(DC_Cost!$C$58:$Q$58,3*(L$6-1)+2)/3600*L103,0)</f>
        <v>0.103646620561882</v>
      </c>
      <c r="M105" s="114" t="n">
        <f aca="false">IF(M103&gt;0,INDEX(DC_Cost!$C$58:$Q$58,3*(M$6-1)+2)/3600*M103,0)</f>
        <v>0.329255999075451</v>
      </c>
      <c r="N105" s="114" t="n">
        <f aca="false">IF(N103&gt;0,INDEX(DC_Cost!$C$58:$Q$58,3*(N$6-1)+2)/3600*N103,0)</f>
        <v>1.70435816575049</v>
      </c>
      <c r="O105" s="114" t="n">
        <f aca="false">IF(O103&gt;0,INDEX(DC_Cost!$C$58:$Q$58,3*(O$6-1)+2)/3600*O103,0)</f>
        <v>0.0958818836336032</v>
      </c>
      <c r="P105" s="114" t="n">
        <f aca="false">IF(P103&gt;0,INDEX(DC_Cost!$C$58:$Q$58,3*(P$6-1)+2)/3600*P103,0)</f>
        <v>0.297190300678713</v>
      </c>
      <c r="Q105" s="114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793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794</v>
      </c>
      <c r="B107" s="59" t="s">
        <v>795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796</v>
      </c>
      <c r="B108" s="59" t="s">
        <v>723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797</v>
      </c>
      <c r="B109" s="59" t="s">
        <v>477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798</v>
      </c>
      <c r="B110" s="59" t="s">
        <v>299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799</v>
      </c>
      <c r="B111" s="59" t="s">
        <v>299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800</v>
      </c>
      <c r="B112" s="59" t="s">
        <v>801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802</v>
      </c>
      <c r="B113" s="59" t="s">
        <v>801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803</v>
      </c>
      <c r="B114" s="59" t="s">
        <v>727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8" t="s">
        <v>804</v>
      </c>
      <c r="B115" s="59" t="s">
        <v>727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805</v>
      </c>
      <c r="B116" s="59" t="s">
        <v>89</v>
      </c>
      <c r="C116" s="116" t="n">
        <f aca="false">IF(C115&gt;0,C114/C115,0)</f>
        <v>0.0365564841580249</v>
      </c>
      <c r="D116" s="116" t="n">
        <f aca="false">IF(D115&gt;0,D114/D115,0)</f>
        <v>0.0447526952038239</v>
      </c>
      <c r="E116" s="116" t="n">
        <f aca="false">IF(E115&gt;0,E114/E115,0)</f>
        <v>0.0384972117140445</v>
      </c>
      <c r="F116" s="116" t="n">
        <f aca="false">IF(F115&gt;0,F114/F115,0)</f>
        <v>0.0525312735510958</v>
      </c>
      <c r="G116" s="116" t="n">
        <f aca="false">IF(G115&gt;0,G114/G115,0)</f>
        <v>0.0616660786337345</v>
      </c>
      <c r="H116" s="116" t="n">
        <f aca="false">IF(H115&gt;0,H114/H115,0)</f>
        <v>0.0599031205685987</v>
      </c>
      <c r="I116" s="116" t="n">
        <f aca="false">IF(I115&gt;0,I114/I115,0)</f>
        <v>0.0586496616189893</v>
      </c>
      <c r="J116" s="116" t="n">
        <f aca="false">IF(J115&gt;0,J114/J115,0)</f>
        <v>0.0674382471045557</v>
      </c>
      <c r="K116" s="116" t="n">
        <f aca="false">IF(K115&gt;0,K114/K115,0)</f>
        <v>0.067482803137983</v>
      </c>
      <c r="L116" s="116" t="n">
        <f aca="false">IF(L115&gt;0,L114/L115,0)</f>
        <v>0.0456448342704881</v>
      </c>
      <c r="M116" s="116" t="n">
        <f aca="false">IF(M115&gt;0,M114/M115,0)</f>
        <v>0.0523306519002442</v>
      </c>
      <c r="N116" s="116" t="n">
        <f aca="false">IF(N115&gt;0,N114/N115,0)</f>
        <v>0.0532657247818997</v>
      </c>
      <c r="O116" s="116" t="n">
        <f aca="false">IF(O115&gt;0,O114/O115,0)</f>
        <v>0.0590731475503258</v>
      </c>
      <c r="P116" s="116" t="n">
        <f aca="false">IF(P115&gt;0,P114/P115,0)</f>
        <v>0.0652452477240353</v>
      </c>
      <c r="Q116" s="116" t="n">
        <f aca="false">IF(Q115&gt;0,Q114/Q115,0)</f>
        <v>0.060086218636125</v>
      </c>
    </row>
    <row r="117" customFormat="false" ht="15" hidden="false" customHeight="false" outlineLevel="0" collapsed="false">
      <c r="A117" s="59" t="s">
        <v>806</v>
      </c>
      <c r="B117" s="59" t="s">
        <v>807</v>
      </c>
      <c r="C117" s="117" t="n">
        <f aca="false">C95/(C115*1000)</f>
        <v>3.191113701874</v>
      </c>
      <c r="D117" s="117" t="n">
        <f aca="false">D95/(D115*1000)</f>
        <v>0.925893744132461</v>
      </c>
      <c r="E117" s="117" t="n">
        <f aca="false">E95/(E115*1000)</f>
        <v>0.16701592717146</v>
      </c>
      <c r="F117" s="117" t="n">
        <f aca="false">F95/(F115*1000)</f>
        <v>15.611175581877</v>
      </c>
      <c r="G117" s="117" t="n">
        <f aca="false">G95/(G115*1000)</f>
        <v>4.48658290896209</v>
      </c>
      <c r="H117" s="117" t="n">
        <f aca="false">H95/(H115*1000)</f>
        <v>0.863568061990211</v>
      </c>
      <c r="I117" s="117" t="n">
        <f aca="false">I95/(I115*1000)</f>
        <v>22.7280350383209</v>
      </c>
      <c r="J117" s="117" t="n">
        <f aca="false">J95/(J115*1000)</f>
        <v>6.5319368821654</v>
      </c>
      <c r="K117" s="117" t="n">
        <f aca="false">K95/(K115*1000)</f>
        <v>1.0442157971414</v>
      </c>
      <c r="L117" s="117" t="n">
        <f aca="false">L95/(L115*1000)</f>
        <v>33.3014456681102</v>
      </c>
      <c r="M117" s="117" t="n">
        <f aca="false">M95/(M115*1000)</f>
        <v>10.2254558466635</v>
      </c>
      <c r="N117" s="117" t="n">
        <f aca="false">N95/(N115*1000)</f>
        <v>2.20498492836244</v>
      </c>
      <c r="O117" s="117" t="n">
        <f aca="false">O95/(O115*1000)</f>
        <v>45.0104289365576</v>
      </c>
      <c r="P117" s="117" t="n">
        <f aca="false">P95/(P115*1000)</f>
        <v>14.0579533548284</v>
      </c>
      <c r="Q117" s="117" t="n">
        <f aca="false">Q95/(Q115*1000)</f>
        <v>3.20653316012323</v>
      </c>
    </row>
    <row r="118" customFormat="false" ht="15" hidden="false" customHeight="false" outlineLevel="0" collapsed="false">
      <c r="A118" s="58" t="s">
        <v>808</v>
      </c>
      <c r="B118" s="59" t="s">
        <v>801</v>
      </c>
      <c r="C118" s="112" t="n">
        <f aca="false">IF(C96&gt;0,C115*1000*(1-C94)/C96,0)</f>
        <v>1.76293226104782</v>
      </c>
      <c r="D118" s="112" t="n">
        <f aca="false">IF(D96&gt;0,D115*1000*(1-D94)/D96,0)</f>
        <v>6.05032372397419</v>
      </c>
      <c r="E118" s="112" t="n">
        <f aca="false">IF(E96&gt;0,E115*1000*(1-E94)/E96,0)</f>
        <v>41.7119794312687</v>
      </c>
      <c r="F118" s="112" t="n">
        <f aca="false">IF(F96&gt;0,F115*1000*(1-F94)/F96,0)</f>
        <v>0.426871681714251</v>
      </c>
      <c r="G118" s="112" t="n">
        <f aca="false">IF(G96&gt;0,G115*1000*(1-G94)/G96,0)</f>
        <v>1.48661729516557</v>
      </c>
      <c r="H118" s="112" t="n">
        <f aca="false">IF(H96&gt;0,H115*1000*(1-H94)/H96,0)</f>
        <v>8.69891258897392</v>
      </c>
      <c r="I118" s="112" t="n">
        <f aca="false">IF(I96&gt;0,I115*1000*(1-I94)/I96,0)</f>
        <v>0.293204791480496</v>
      </c>
      <c r="J118" s="112" t="n">
        <f aca="false">IF(J96&gt;0,J115*1000*(1-J94)/J96,0)</f>
        <v>1.02111086940665</v>
      </c>
      <c r="K118" s="112" t="n">
        <f aca="false">IF(K96&gt;0,K115*1000*(1-K94)/K96,0)</f>
        <v>7.43545790299751</v>
      </c>
      <c r="L118" s="112" t="n">
        <f aca="false">IF(L96&gt;0,L115*1000*(1-L94)/L96,0)</f>
        <v>0.196734911449261</v>
      </c>
      <c r="M118" s="112" t="n">
        <f aca="false">IF(M96&gt;0,M115*1000*(1-M94)/M96,0)</f>
        <v>0.624971170995125</v>
      </c>
      <c r="N118" s="112" t="n">
        <f aca="false">IF(N96&gt;0,N115*1000*(1-N94)/N96,0)</f>
        <v>3.2350958574337</v>
      </c>
      <c r="O118" s="112" t="n">
        <f aca="false">IF(O96&gt;0,O115*1000*(1-O94)/O96,0)</f>
        <v>0.14489191359395</v>
      </c>
      <c r="P118" s="112" t="n">
        <f aca="false">IF(P96&gt;0,P115*1000*(1-P94)/P96,0)</f>
        <v>0.449099138805497</v>
      </c>
      <c r="Q118" s="112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809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810</v>
      </c>
      <c r="B120" s="59" t="s">
        <v>93</v>
      </c>
      <c r="C120" s="102" t="n">
        <f aca="false">IF(INDEX($C$98:$Q$98,9+C$7)&gt;0,C98/INDEX($C$98:$Q$98,9+C$7),0)</f>
        <v>0.0958453952772297</v>
      </c>
      <c r="D120" s="102" t="n">
        <f aca="false">IF(INDEX($C$98:$Q$98,9+D$7)&gt;0,D98/INDEX($C$98:$Q$98,9+D$7),0)</f>
        <v>0.0905671149585636</v>
      </c>
      <c r="E120" s="102" t="n">
        <f aca="false">IF(INDEX($C$98:$Q$98,9+E$7)&gt;0,E98/INDEX($C$98:$Q$98,9+E$7),0)</f>
        <v>0.075760760393901</v>
      </c>
      <c r="F120" s="102" t="n">
        <f aca="false">IF(INDEX($C$98:$Q$98,9+F$7)&gt;0,F98/INDEX($C$98:$Q$98,9+F$7),0)</f>
        <v>0.468836724240545</v>
      </c>
      <c r="G120" s="102" t="n">
        <f aca="false">IF(INDEX($C$98:$Q$98,9+G$7)&gt;0,G98/INDEX($C$98:$Q$98,9+G$7),0)</f>
        <v>0.438815663894134</v>
      </c>
      <c r="H120" s="102" t="n">
        <f aca="false">IF(INDEX($C$98:$Q$98,9+H$7)&gt;0,H98/INDEX($C$98:$Q$98,9+H$7),0)</f>
        <v>0.39168780358556</v>
      </c>
      <c r="I120" s="102" t="n">
        <f aca="false">IF(INDEX($C$98:$Q$98,9+I$7)&gt;0,I98/INDEX($C$98:$Q$98,9+I$7),0)</f>
        <v>0.682568145235267</v>
      </c>
      <c r="J120" s="102" t="n">
        <f aca="false">IF(INDEX($C$98:$Q$98,9+J$7)&gt;0,J98/INDEX($C$98:$Q$98,9+J$7),0)</f>
        <v>0.638861203310358</v>
      </c>
      <c r="K120" s="102" t="n">
        <f aca="false">IF(INDEX($C$98:$Q$98,9+K$7)&gt;0,K98/INDEX($C$98:$Q$98,9+K$7),0)</f>
        <v>0.473621977915297</v>
      </c>
      <c r="L120" s="102" t="n">
        <f aca="false">IF(INDEX($C$98:$Q$98,9+L$7)&gt;0,L98/INDEX($C$98:$Q$98,9+L$7),0)</f>
        <v>1</v>
      </c>
      <c r="M120" s="102" t="n">
        <f aca="false">IF(INDEX($C$98:$Q$98,9+M$7)&gt;0,M98/INDEX($C$98:$Q$98,9+M$7),0)</f>
        <v>1</v>
      </c>
      <c r="N120" s="102" t="n">
        <f aca="false">IF(INDEX($C$98:$Q$98,9+N$7)&gt;0,N98/INDEX($C$98:$Q$98,9+N$7),0)</f>
        <v>1</v>
      </c>
      <c r="O120" s="102" t="n">
        <f aca="false">IF(INDEX($C$98:$Q$98,9+O$7)&gt;0,O98/INDEX($C$98:$Q$98,9+O$7),0)</f>
        <v>1.35145303196207</v>
      </c>
      <c r="P120" s="102" t="n">
        <f aca="false">IF(INDEX($C$98:$Q$98,9+P$7)&gt;0,P98/INDEX($C$98:$Q$98,9+P$7),0)</f>
        <v>1.37464422780115</v>
      </c>
      <c r="Q120" s="102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811</v>
      </c>
    </row>
    <row r="2" customFormat="false" ht="15" hidden="false" customHeight="false" outlineLevel="0" collapsed="false">
      <c r="A2" s="71" t="s">
        <v>812</v>
      </c>
    </row>
    <row r="3" customFormat="false" ht="43.5" hidden="false" customHeight="true" outlineLevel="0" collapsed="false">
      <c r="A3" s="57" t="s">
        <v>813</v>
      </c>
      <c r="C3" s="118" t="s">
        <v>75</v>
      </c>
      <c r="D3" s="118"/>
      <c r="E3" s="119" t="s">
        <v>814</v>
      </c>
      <c r="F3" s="119"/>
      <c r="G3" s="119" t="s">
        <v>815</v>
      </c>
      <c r="H3" s="119"/>
      <c r="I3" s="119" t="s">
        <v>816</v>
      </c>
      <c r="J3" s="119"/>
      <c r="K3" s="119" t="s">
        <v>817</v>
      </c>
      <c r="L3" s="119"/>
      <c r="M3" s="119" t="s">
        <v>818</v>
      </c>
      <c r="N3" s="119"/>
      <c r="O3" s="119" t="s">
        <v>819</v>
      </c>
      <c r="P3" s="119"/>
      <c r="Q3" s="119" t="s">
        <v>820</v>
      </c>
      <c r="R3" s="119"/>
      <c r="S3" s="119" t="s">
        <v>821</v>
      </c>
      <c r="T3" s="119"/>
      <c r="U3" s="119" t="s">
        <v>822</v>
      </c>
      <c r="V3" s="119"/>
      <c r="W3" s="119" t="s">
        <v>823</v>
      </c>
      <c r="X3" s="119"/>
      <c r="Y3" s="119" t="s">
        <v>824</v>
      </c>
      <c r="Z3" s="119"/>
      <c r="AA3" s="118" t="s">
        <v>825</v>
      </c>
      <c r="AB3" s="118"/>
      <c r="AC3" s="119" t="s">
        <v>826</v>
      </c>
      <c r="AD3" s="119"/>
      <c r="AE3" s="119" t="s">
        <v>827</v>
      </c>
      <c r="AF3" s="119"/>
      <c r="AG3" s="119" t="s">
        <v>828</v>
      </c>
      <c r="AH3" s="119"/>
    </row>
    <row r="4" customFormat="false" ht="15" hidden="false" customHeight="false" outlineLevel="0" collapsed="false">
      <c r="A4" s="57" t="s">
        <v>161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57" t="s">
        <v>706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7" t="s">
        <v>436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57" t="s">
        <v>707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708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709</v>
      </c>
      <c r="B10" s="59" t="s">
        <v>93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710</v>
      </c>
      <c r="B11" s="59" t="s">
        <v>93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711</v>
      </c>
      <c r="B12" s="59" t="s">
        <v>93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712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459</v>
      </c>
      <c r="B14" s="59" t="s">
        <v>460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461</v>
      </c>
      <c r="B15" s="59" t="s">
        <v>713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462</v>
      </c>
      <c r="B16" s="59" t="s">
        <v>344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714</v>
      </c>
      <c r="B17" s="59" t="s">
        <v>344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222</v>
      </c>
      <c r="B18" s="59" t="s">
        <v>715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716</v>
      </c>
      <c r="B19" s="59" t="s">
        <v>254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717</v>
      </c>
      <c r="B20" s="59" t="s">
        <v>254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718</v>
      </c>
      <c r="B21" s="59" t="s">
        <v>715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174</v>
      </c>
      <c r="B22" s="58" t="s">
        <v>719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720</v>
      </c>
      <c r="B23" s="59" t="s">
        <v>721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722</v>
      </c>
      <c r="B24" s="59" t="s">
        <v>723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724</v>
      </c>
      <c r="B25" s="58" t="s">
        <v>725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726</v>
      </c>
      <c r="B26" s="59" t="s">
        <v>727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728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257</v>
      </c>
      <c r="B28" s="59" t="s">
        <v>254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259</v>
      </c>
      <c r="B29" s="58" t="s">
        <v>260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262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729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469</v>
      </c>
      <c r="B32" s="59" t="s">
        <v>254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295</v>
      </c>
      <c r="B33" s="59" t="s">
        <v>254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730</v>
      </c>
      <c r="B34" s="59" t="s">
        <v>254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471</v>
      </c>
      <c r="B35" s="59" t="s">
        <v>297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272</v>
      </c>
      <c r="B36" s="59" t="s">
        <v>89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731</v>
      </c>
      <c r="B37" s="59" t="s">
        <v>275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277</v>
      </c>
      <c r="B38" s="59" t="s">
        <v>93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279</v>
      </c>
      <c r="B39" s="59" t="s">
        <v>275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732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354</v>
      </c>
      <c r="B41" s="59" t="s">
        <v>355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733</v>
      </c>
      <c r="B42" s="59" t="s">
        <v>358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734</v>
      </c>
      <c r="B43" s="59" t="s">
        <v>275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361</v>
      </c>
      <c r="B44" s="59" t="s">
        <v>275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362</v>
      </c>
      <c r="B45" s="59" t="s">
        <v>275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363</v>
      </c>
      <c r="B46" s="59" t="s">
        <v>275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735</v>
      </c>
      <c r="B47" s="59" t="s">
        <v>275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736</v>
      </c>
      <c r="B48" s="59" t="s">
        <v>89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737</v>
      </c>
      <c r="B49" s="59" t="s">
        <v>275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350</v>
      </c>
      <c r="B50" s="59" t="s">
        <v>93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738</v>
      </c>
      <c r="B51" s="59" t="s">
        <v>89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739</v>
      </c>
      <c r="B52" s="59" t="s">
        <v>93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740</v>
      </c>
      <c r="B53" s="59" t="s">
        <v>89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741</v>
      </c>
      <c r="B54" s="59" t="s">
        <v>93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742</v>
      </c>
      <c r="B55" s="59" t="s">
        <v>498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743</v>
      </c>
      <c r="B56" s="59" t="s">
        <v>89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744</v>
      </c>
      <c r="B57" s="59" t="s">
        <v>89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745</v>
      </c>
      <c r="B58" s="59" t="s">
        <v>89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746</v>
      </c>
      <c r="B59" s="59" t="s">
        <v>254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747</v>
      </c>
      <c r="B60" s="59" t="s">
        <v>89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748</v>
      </c>
      <c r="B61" s="59" t="s">
        <v>89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749</v>
      </c>
      <c r="B62" s="59" t="s">
        <v>463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750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751</v>
      </c>
      <c r="B64" s="59" t="s">
        <v>275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476</v>
      </c>
      <c r="B65" s="59" t="s">
        <v>477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752</v>
      </c>
      <c r="B66" s="59" t="s">
        <v>275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479</v>
      </c>
      <c r="B67" s="59" t="s">
        <v>477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753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480</v>
      </c>
      <c r="B69" s="59" t="s">
        <v>299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754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755</v>
      </c>
      <c r="B71" s="59" t="s">
        <v>715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483</v>
      </c>
      <c r="B72" s="59" t="s">
        <v>299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756</v>
      </c>
      <c r="B73" s="59" t="s">
        <v>89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757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758</v>
      </c>
      <c r="B75" s="59" t="s">
        <v>355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759</v>
      </c>
      <c r="B76" s="59" t="s">
        <v>358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760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761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762</v>
      </c>
      <c r="B79" s="59" t="s">
        <v>488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763</v>
      </c>
      <c r="B80" s="59" t="s">
        <v>488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764</v>
      </c>
      <c r="B81" s="59" t="s">
        <v>488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765</v>
      </c>
      <c r="B82" s="59" t="s">
        <v>488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766</v>
      </c>
      <c r="B83" s="59" t="s">
        <v>488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767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768</v>
      </c>
      <c r="B85" s="58" t="s">
        <v>492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769</v>
      </c>
      <c r="B86" s="58" t="s">
        <v>492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770</v>
      </c>
      <c r="B87" s="58" t="s">
        <v>492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771</v>
      </c>
      <c r="B88" s="59" t="s">
        <v>355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772</v>
      </c>
      <c r="B89" s="59" t="s">
        <v>355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773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774</v>
      </c>
      <c r="B91" s="59" t="s">
        <v>89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775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776</v>
      </c>
      <c r="B93" s="59" t="s">
        <v>777</v>
      </c>
      <c r="C93" s="112" t="n">
        <f aca="false">IF(C88&gt;0,C43/C75+C44/C88,0)</f>
        <v>0.714671455168045</v>
      </c>
      <c r="D93" s="112" t="n">
        <f aca="false">IF(D88&gt;0,D43/D75+D44/D88,0)</f>
        <v>1.86738593450399</v>
      </c>
      <c r="E93" s="112" t="n">
        <f aca="false">IF(E88&gt;0,E43/E75+E44/E88,0)</f>
        <v>1.22213703330823</v>
      </c>
      <c r="F93" s="112" t="n">
        <f aca="false">IF(F88&gt;0,F43/F75+F44/F88,0)</f>
        <v>1.86738593450399</v>
      </c>
      <c r="G93" s="112" t="n">
        <f aca="false">IF(G88&gt;0,G43/G75+G44/G88,0)</f>
        <v>0.545516262454651</v>
      </c>
      <c r="H93" s="112" t="n">
        <f aca="false">IF(H88&gt;0,H43/H75+H44/H88,0)</f>
        <v>1.86738593450399</v>
      </c>
      <c r="I93" s="112" t="n">
        <f aca="false">IF(I88&gt;0,I43/I75+I44/I88,0)</f>
        <v>0.66155034159587</v>
      </c>
      <c r="J93" s="112" t="n">
        <f aca="false">IF(J88&gt;0,J43/J75+J44/J88,0)</f>
        <v>1.86738593450399</v>
      </c>
      <c r="K93" s="112" t="n">
        <f aca="false">IF(K88&gt;0,K43/K75+K44/K88,0)</f>
        <v>0.837491088384667</v>
      </c>
      <c r="L93" s="112" t="n">
        <f aca="false">IF(L88&gt;0,L43/L75+L44/L88,0)</f>
        <v>1.86738593450399</v>
      </c>
      <c r="M93" s="112" t="n">
        <f aca="false">IF(M88&gt;0,M43/M75+M44/M88,0)</f>
        <v>0.500270018617632</v>
      </c>
      <c r="N93" s="112" t="n">
        <f aca="false">IF(N88&gt;0,N43/N75+N44/N88,0)</f>
        <v>1.86738593450399</v>
      </c>
      <c r="O93" s="112" t="n">
        <f aca="false">IF(O88&gt;0,O43/O75+O44/O88,0)</f>
        <v>0.636668696657976</v>
      </c>
      <c r="P93" s="112" t="n">
        <f aca="false">IF(P88&gt;0,P43/P75+P44/P88,0)</f>
        <v>1.56703994770298</v>
      </c>
      <c r="Q93" s="112" t="n">
        <f aca="false">IF(Q88&gt;0,Q43/Q75+Q44/Q88,0)</f>
        <v>0.887710177696201</v>
      </c>
      <c r="R93" s="112" t="n">
        <f aca="false">IF(R88&gt;0,R43/R75+R44/R88,0)</f>
        <v>2.74497973257395</v>
      </c>
      <c r="S93" s="112" t="n">
        <f aca="false">IF(S88&gt;0,S43/S75+S44/S88,0)</f>
        <v>0.847537873849954</v>
      </c>
      <c r="T93" s="112" t="n">
        <f aca="false">IF(T88&gt;0,T43/T75+T44/T88,0)</f>
        <v>2.31044717328748</v>
      </c>
      <c r="U93" s="112" t="n">
        <f aca="false">IF(U88&gt;0,U43/U75+U44/U88,0)</f>
        <v>0.615289967047722</v>
      </c>
      <c r="V93" s="112" t="n">
        <f aca="false">IF(V88&gt;0,V43/V75+V44/V88,0)</f>
        <v>1.56076084104835</v>
      </c>
      <c r="W93" s="112" t="n">
        <f aca="false">IF(W88&gt;0,W43/W75+W44/W88,0)</f>
        <v>0.549469571762264</v>
      </c>
      <c r="X93" s="112" t="n">
        <f aca="false">IF(X88&gt;0,X43/X75+X44/X88,0)</f>
        <v>1.48074655308998</v>
      </c>
      <c r="Y93" s="112" t="n">
        <f aca="false">IF(Y88&gt;0,Y43/Y75+Y44/Y88,0)</f>
        <v>1.35789222176835</v>
      </c>
      <c r="Z93" s="112" t="n">
        <f aca="false">IF(Z88&gt;0,Z43/Z75+Z44/Z88,0)</f>
        <v>3.37290767044014</v>
      </c>
      <c r="AA93" s="112" t="n">
        <f aca="false">IF(AA88&gt;0,AA43/AA75+AA44/AA88,0)</f>
        <v>1.16632459033734</v>
      </c>
      <c r="AB93" s="112" t="n">
        <f aca="false">IF(AB88&gt;0,AB43/AB75+AB44/AB88,0)</f>
        <v>3.14724430621229</v>
      </c>
      <c r="AC93" s="112" t="n">
        <f aca="false">IF(AC88&gt;0,AC43/AC75+AC44/AC88,0)</f>
        <v>6.62847288948946</v>
      </c>
      <c r="AD93" s="112" t="n">
        <f aca="false">IF(AD88&gt;0,AD43/AD75+AD44/AD88,0)</f>
        <v>23.3623109173702</v>
      </c>
      <c r="AE93" s="112" t="n">
        <f aca="false">IF(AE88&gt;0,AE43/AE75+AE44/AE88,0)</f>
        <v>6.62847288948946</v>
      </c>
      <c r="AF93" s="112" t="n">
        <f aca="false">IF(AF88&gt;0,AF43/AF75+AF44/AF88,0)</f>
        <v>23.3623109173702</v>
      </c>
      <c r="AG93" s="112" t="n">
        <f aca="false">IF(AG88&gt;0,AG43/AG75+AG44/AG88,0)</f>
        <v>6.62847288948946</v>
      </c>
      <c r="AH93" s="112" t="n">
        <f aca="false">IF(AH88&gt;0,AH43/AH75+AH44/AH88,0)</f>
        <v>23.3623109173702</v>
      </c>
    </row>
    <row r="94" customFormat="false" ht="15" hidden="false" customHeight="false" outlineLevel="0" collapsed="false">
      <c r="A94" s="59" t="s">
        <v>778</v>
      </c>
      <c r="B94" s="59" t="s">
        <v>89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8" t="s">
        <v>779</v>
      </c>
      <c r="B95" s="59" t="s">
        <v>355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8" t="s">
        <v>780</v>
      </c>
      <c r="B96" s="59" t="s">
        <v>355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8" t="s">
        <v>781</v>
      </c>
      <c r="B97" s="59" t="s">
        <v>355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8" t="s">
        <v>782</v>
      </c>
      <c r="B98" s="59" t="s">
        <v>783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8" t="s">
        <v>784</v>
      </c>
      <c r="B99" s="59" t="s">
        <v>783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785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786</v>
      </c>
      <c r="B101" s="59" t="s">
        <v>787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788</v>
      </c>
      <c r="B102" s="59" t="s">
        <v>787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789</v>
      </c>
      <c r="B103" s="59" t="s">
        <v>787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8" t="s">
        <v>790</v>
      </c>
      <c r="B104" s="59" t="s">
        <v>791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792</v>
      </c>
      <c r="B105" s="59" t="s">
        <v>791</v>
      </c>
      <c r="C105" s="114" t="n">
        <f aca="false">IF(C103&gt;0,INDEX(DC_Cost!$C$58:$Q$58,3*(C$6-1)+2)/3600*C103,0)</f>
        <v>0.329255999075451</v>
      </c>
      <c r="D105" s="114" t="n">
        <f aca="false">IF(D103&gt;0,INDEX(DC_Cost!$C$58:$Q$58,3*(D$6-1)+2)/3600*D103,0)</f>
        <v>0.478981262565029</v>
      </c>
      <c r="E105" s="114" t="n">
        <f aca="false">IF(E103&gt;0,INDEX(DC_Cost!$C$58:$Q$58,3*(E$6-1)+2)/3600*E103,0)</f>
        <v>0.658511998150903</v>
      </c>
      <c r="F105" s="114" t="n">
        <f aca="false">IF(F103&gt;0,INDEX(DC_Cost!$C$58:$Q$58,3*(F$6-1)+2)/3600*F103,0)</f>
        <v>0.478981262565029</v>
      </c>
      <c r="G105" s="114" t="n">
        <f aca="false">IF(G103&gt;0,INDEX(DC_Cost!$C$58:$Q$58,3*(G$6-1)+2)/3600*G103,0)</f>
        <v>0.219503999383634</v>
      </c>
      <c r="H105" s="114" t="n">
        <f aca="false">IF(H103&gt;0,INDEX(DC_Cost!$C$58:$Q$58,3*(H$6-1)+2)/3600*H103,0)</f>
        <v>0.478981262565029</v>
      </c>
      <c r="I105" s="114" t="n">
        <f aca="false">IF(I103&gt;0,INDEX(DC_Cost!$C$58:$Q$58,3*(I$6-1)+2)/3600*I103,0)</f>
        <v>0.294789729687668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0.408944361760119</v>
      </c>
      <c r="L105" s="114" t="n">
        <f aca="false">IF(L103&gt;0,INDEX(DC_Cost!$C$58:$Q$58,3*(L$6-1)+2)/3600*L103,0)</f>
        <v>0.478981262565029</v>
      </c>
      <c r="M105" s="114" t="n">
        <f aca="false">IF(M103&gt;0,INDEX(DC_Cost!$C$58:$Q$58,3*(M$6-1)+2)/3600*M103,0)</f>
        <v>0.230479199352816</v>
      </c>
      <c r="N105" s="114" t="n">
        <f aca="false">IF(N103&gt;0,INDEX(DC_Cost!$C$58:$Q$58,3*(N$6-1)+2)/3600*N103,0)</f>
        <v>0.478981262565029</v>
      </c>
      <c r="O105" s="114" t="n">
        <f aca="false">IF(O103&gt;0,INDEX(DC_Cost!$C$58:$Q$58,3*(O$6-1)+2)/3600*O103,0)</f>
        <v>0.278645913800309</v>
      </c>
      <c r="P105" s="114" t="n">
        <f aca="false">IF(P103&gt;0,INDEX(DC_Cost!$C$58:$Q$58,3*(P$6-1)+2)/3600*P103,0)</f>
        <v>0.375029009849375</v>
      </c>
      <c r="Q105" s="114" t="n">
        <f aca="false">IF(Q103&gt;0,INDEX(DC_Cost!$C$58:$Q$58,3*(Q$6-1)+2)/3600*Q103,0)</f>
        <v>0.441527727285181</v>
      </c>
      <c r="R105" s="114" t="n">
        <f aca="false">IF(R103&gt;0,INDEX(DC_Cost!$C$58:$Q$58,3*(R$6-1)+2)/3600*R103,0)</f>
        <v>0.782723800463826</v>
      </c>
      <c r="S105" s="114" t="n">
        <f aca="false">IF(S103&gt;0,INDEX(DC_Cost!$C$58:$Q$58,3*(S$6-1)+2)/3600*S103,0)</f>
        <v>0.415462960318061</v>
      </c>
      <c r="T105" s="114" t="n">
        <f aca="false">IF(T103&gt;0,INDEX(DC_Cost!$C$58:$Q$58,3*(T$6-1)+2)/3600*T103,0)</f>
        <v>0.632328455091513</v>
      </c>
      <c r="U105" s="114" t="n">
        <f aca="false">IF(U103&gt;0,INDEX(DC_Cost!$C$58:$Q$58,3*(U$6-1)+2)/3600*U103,0)</f>
        <v>0.264774874502263</v>
      </c>
      <c r="V105" s="114" t="n">
        <f aca="false">IF(V103&gt;0,INDEX(DC_Cost!$C$58:$Q$58,3*(V$6-1)+2)/3600*V103,0)</f>
        <v>0.372855758630863</v>
      </c>
      <c r="W105" s="114" t="n">
        <f aca="false">IF(W103&gt;0,INDEX(DC_Cost!$C$58:$Q$58,3*(W$6-1)+2)/3600*W103,0)</f>
        <v>0.327330876755927</v>
      </c>
      <c r="X105" s="114" t="n">
        <f aca="false">IF(X103&gt;0,INDEX(DC_Cost!$C$58:$Q$58,3*(X$6-1)+2)/3600*X103,0)</f>
        <v>0.476180713685776</v>
      </c>
      <c r="Y105" s="114" t="n">
        <f aca="false">IF(Y103&gt;0,INDEX(DC_Cost!$C$58:$Q$58,3*(Y$6-1)+2)/3600*Y103,0)</f>
        <v>0.33695648835355</v>
      </c>
      <c r="Z105" s="114" t="n">
        <f aca="false">IF(Z103&gt;0,INDEX(DC_Cost!$C$58:$Q$58,3*(Z$6-1)+2)/3600*Z103,0)</f>
        <v>0.49018345808204</v>
      </c>
      <c r="AA105" s="114" t="n">
        <f aca="false">IF(AA103&gt;0,INDEX(DC_Cost!$C$58:$Q$58,3*(AA$6-1)+2)/3600*AA103,0)</f>
        <v>0.564682296697364</v>
      </c>
      <c r="AB105" s="114" t="n">
        <f aca="false">IF(AB103&gt;0,INDEX(DC_Cost!$C$58:$Q$58,3*(AB$6-1)+2)/3600*AB103,0)</f>
        <v>0.850235243318138</v>
      </c>
      <c r="AC105" s="114" t="n">
        <f aca="false">IF(AC103&gt;0,INDEX(DC_Cost!$C$58:$Q$58,3*(AC$6-1)+2)/3600*AC103,0)</f>
        <v>1.70435816575049</v>
      </c>
      <c r="AD105" s="114" t="n">
        <f aca="false">IF(AD103&gt;0,INDEX(DC_Cost!$C$58:$Q$58,3*(AD$6-1)+2)/3600*AD103,0)</f>
        <v>3.48781422353906</v>
      </c>
      <c r="AE105" s="114" t="n">
        <f aca="false">IF(AE103&gt;0,INDEX(DC_Cost!$C$58:$Q$58,3*(AE$6-1)+2)/3600*AE103,0)</f>
        <v>1.70435816575049</v>
      </c>
      <c r="AF105" s="114" t="n">
        <f aca="false">IF(AF103&gt;0,INDEX(DC_Cost!$C$58:$Q$58,3*(AF$6-1)+2)/3600*AF103,0)</f>
        <v>3.48781422353906</v>
      </c>
      <c r="AG105" s="114" t="n">
        <f aca="false">IF(AG103&gt;0,INDEX(DC_Cost!$C$58:$Q$58,3*(AG$6-1)+2)/3600*AG103,0)</f>
        <v>1.70435816575049</v>
      </c>
      <c r="AH105" s="114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793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794</v>
      </c>
      <c r="B107" s="59" t="s">
        <v>795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796</v>
      </c>
      <c r="B108" s="59" t="s">
        <v>723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797</v>
      </c>
      <c r="B109" s="59" t="s">
        <v>477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798</v>
      </c>
      <c r="B110" s="59" t="s">
        <v>299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799</v>
      </c>
      <c r="B111" s="59" t="s">
        <v>299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800</v>
      </c>
      <c r="B112" s="59" t="s">
        <v>801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802</v>
      </c>
      <c r="B113" s="59" t="s">
        <v>801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803</v>
      </c>
      <c r="B114" s="59" t="s">
        <v>727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8" t="s">
        <v>804</v>
      </c>
      <c r="B115" s="59" t="s">
        <v>727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805</v>
      </c>
      <c r="B116" s="59" t="s">
        <v>89</v>
      </c>
      <c r="C116" s="116" t="n">
        <f aca="false">IF(C115&gt;0,C114/C115,0)</f>
        <v>0.0523306519002442</v>
      </c>
      <c r="D116" s="116" t="n">
        <f aca="false">IF(D115&gt;0,D114/D115,0)</f>
        <v>0.0674382471045557</v>
      </c>
      <c r="E116" s="116" t="n">
        <f aca="false">IF(E115&gt;0,E114/E115,0)</f>
        <v>0.0346609897981515</v>
      </c>
      <c r="F116" s="116" t="n">
        <f aca="false">IF(F115&gt;0,F114/F115,0)</f>
        <v>0.0674382471045557</v>
      </c>
      <c r="G116" s="116" t="n">
        <f aca="false">IF(G115&gt;0,G114/G115,0)</f>
        <v>0.0655259495826273</v>
      </c>
      <c r="H116" s="116" t="n">
        <f aca="false">IF(H115&gt;0,H114/H115,0)</f>
        <v>0.0674382471045557</v>
      </c>
      <c r="I116" s="116" t="n">
        <f aca="false">IF(I115&gt;0,I114/I115,0)</f>
        <v>0.055747658616247</v>
      </c>
      <c r="J116" s="116" t="n">
        <f aca="false">IF(J115&gt;0,J114/J115,0)</f>
        <v>0.0674382471045557</v>
      </c>
      <c r="K116" s="116" t="n">
        <f aca="false">IF(K115&gt;0,K114/K115,0)</f>
        <v>0.0460900114535436</v>
      </c>
      <c r="L116" s="116" t="n">
        <f aca="false">IF(L115&gt;0,L114/L115,0)</f>
        <v>0.0674382471045557</v>
      </c>
      <c r="M116" s="116" t="n">
        <f aca="false">IF(M115&gt;0,M114/M115,0)</f>
        <v>0.0526565394944864</v>
      </c>
      <c r="N116" s="116" t="n">
        <f aca="false">IF(N115&gt;0,N114/N115,0)</f>
        <v>0.0674382471045557</v>
      </c>
      <c r="O116" s="116" t="n">
        <f aca="false">IF(O115&gt;0,O114/O115,0)</f>
        <v>0.0550078204295576</v>
      </c>
      <c r="P116" s="116" t="n">
        <f aca="false">IF(P115&gt;0,P114/P115,0)</f>
        <v>0.0710294736316627</v>
      </c>
      <c r="Q116" s="116" t="n">
        <f aca="false">IF(Q115&gt;0,Q114/Q115,0)</f>
        <v>0.0480712232475506</v>
      </c>
      <c r="R116" s="116" t="n">
        <f aca="false">IF(R115&gt;0,R114/R115,0)</f>
        <v>0.0614478524092589</v>
      </c>
      <c r="S116" s="116" t="n">
        <f aca="false">IF(S115&gt;0,S114/S115,0)</f>
        <v>0.0479981162832465</v>
      </c>
      <c r="T116" s="116" t="n">
        <f aca="false">IF(T115&gt;0,T114/T115,0)</f>
        <v>0.0622764143791132</v>
      </c>
      <c r="U116" s="116" t="n">
        <f aca="false">IF(U115&gt;0,U114/U115,0)</f>
        <v>0.0569408936265166</v>
      </c>
      <c r="V116" s="116" t="n">
        <f aca="false">IF(V115&gt;0,V114/V115,0)</f>
        <v>0.0731283873708063</v>
      </c>
      <c r="W116" s="116" t="n">
        <f aca="false">IF(W115&gt;0,W114/W115,0)</f>
        <v>0.0294586128273034</v>
      </c>
      <c r="X116" s="116" t="n">
        <f aca="false">IF(X115&gt;0,X114/X115,0)</f>
        <v>0.0417995754314512</v>
      </c>
      <c r="Y116" s="116" t="n">
        <f aca="false">IF(Y115&gt;0,Y114/Y115,0)</f>
        <v>0.0883652654765674</v>
      </c>
      <c r="Z116" s="116" t="n">
        <f aca="false">IF(Z115&gt;0,Z114/Z115,0)</f>
        <v>0.111252538388641</v>
      </c>
      <c r="AA116" s="116" t="n">
        <f aca="false">IF(AA115&gt;0,AA114/AA115,0)</f>
        <v>0.0351074186642794</v>
      </c>
      <c r="AB116" s="116" t="n">
        <f aca="false">IF(AB115&gt;0,AB114/AB115,0)</f>
        <v>0.0469658230321538</v>
      </c>
      <c r="AC116" s="116" t="n">
        <f aca="false">IF(AC115&gt;0,AC114/AC115,0)</f>
        <v>0.050395003700659</v>
      </c>
      <c r="AD116" s="116" t="n">
        <f aca="false">IF(AD115&gt;0,AD114/AD115,0)</f>
        <v>0.0657834421448193</v>
      </c>
      <c r="AE116" s="116" t="n">
        <f aca="false">IF(AE115&gt;0,AE114/AE115,0)</f>
        <v>0.0532657247818997</v>
      </c>
      <c r="AF116" s="116" t="n">
        <f aca="false">IF(AF115&gt;0,AF114/AF115,0)</f>
        <v>0.067482803137983</v>
      </c>
      <c r="AG116" s="116" t="n">
        <f aca="false">IF(AG115&gt;0,AG114/AG115,0)</f>
        <v>0.0631796264138123</v>
      </c>
      <c r="AH116" s="116" t="n">
        <f aca="false">IF(AH115&gt;0,AH114/AH115,0)</f>
        <v>0.0733514672284885</v>
      </c>
    </row>
    <row r="117" customFormat="false" ht="15" hidden="false" customHeight="false" outlineLevel="0" collapsed="false">
      <c r="A117" s="59" t="s">
        <v>806</v>
      </c>
      <c r="B117" s="59" t="s">
        <v>807</v>
      </c>
      <c r="C117" s="117" t="n">
        <f aca="false">C95/(C115*1000)</f>
        <v>10.2254558466635</v>
      </c>
      <c r="D117" s="117" t="n">
        <f aca="false">D95/(D115*1000)</f>
        <v>6.5319368821654</v>
      </c>
      <c r="E117" s="117" t="n">
        <f aca="false">E95/(E115*1000)</f>
        <v>5.97955974700307</v>
      </c>
      <c r="F117" s="117" t="n">
        <f aca="false">F95/(F115*1000)</f>
        <v>6.5319368821654</v>
      </c>
      <c r="G117" s="117" t="n">
        <f aca="false">G95/(G115*1000)</f>
        <v>13.3961935008292</v>
      </c>
      <c r="H117" s="117" t="n">
        <f aca="false">H95/(H115*1000)</f>
        <v>6.5319368821654</v>
      </c>
      <c r="I117" s="117" t="n">
        <f aca="false">I95/(I115*1000)</f>
        <v>11.0465386384093</v>
      </c>
      <c r="J117" s="117" t="n">
        <f aca="false">J95/(J115*1000)</f>
        <v>6.5319368821654</v>
      </c>
      <c r="K117" s="117" t="n">
        <f aca="false">K95/(K115*1000)</f>
        <v>8.72587363739812</v>
      </c>
      <c r="L117" s="117" t="n">
        <f aca="false">L95/(L115*1000)</f>
        <v>6.5319368821654</v>
      </c>
      <c r="M117" s="117" t="n">
        <f aca="false">M95/(M115*1000)</f>
        <v>14.6077940666622</v>
      </c>
      <c r="N117" s="117" t="n">
        <f aca="false">N95/(N115*1000)</f>
        <v>6.5319368821654</v>
      </c>
      <c r="O117" s="117" t="n">
        <f aca="false">O95/(O115*1000)</f>
        <v>11.4782483386606</v>
      </c>
      <c r="P117" s="117" t="n">
        <f aca="false">P95/(P115*1000)</f>
        <v>7.78387754358353</v>
      </c>
      <c r="Q117" s="117" t="n">
        <f aca="false">Q95/(Q115*1000)</f>
        <v>8.2322379457866</v>
      </c>
      <c r="R117" s="117" t="n">
        <f aca="false">R95/(R115*1000)</f>
        <v>4.44362007998722</v>
      </c>
      <c r="S117" s="117" t="n">
        <f aca="false">S95/(S115*1000)</f>
        <v>8.62243639507889</v>
      </c>
      <c r="T117" s="117" t="n">
        <f aca="false">T95/(T115*1000)</f>
        <v>5.27934470861231</v>
      </c>
      <c r="U117" s="117" t="n">
        <f aca="false">U95/(U115*1000)</f>
        <v>11.8770690260984</v>
      </c>
      <c r="V117" s="117" t="n">
        <f aca="false">V95/(V115*1000)</f>
        <v>7.81519290978012</v>
      </c>
      <c r="W117" s="117" t="n">
        <f aca="false">W95/(W115*1000)</f>
        <v>4.43327030603584</v>
      </c>
      <c r="X117" s="117" t="n">
        <f aca="false">X95/(X115*1000)</f>
        <v>2.7458327317775</v>
      </c>
      <c r="Y117" s="117" t="n">
        <f aca="false">Y95/(Y115*1000)</f>
        <v>19.7330966866484</v>
      </c>
      <c r="Z117" s="117" t="n">
        <f aca="false">Z95/(Z115*1000)</f>
        <v>13.2599852270835</v>
      </c>
      <c r="AA117" s="117" t="n">
        <f aca="false">AA95/(AA115*1000)</f>
        <v>6.26570122094223</v>
      </c>
      <c r="AB117" s="117" t="n">
        <f aca="false">AB95/(AB115*1000)</f>
        <v>3.87565942521425</v>
      </c>
      <c r="AC117" s="117" t="n">
        <f aca="false">AC95/(AC115*1000)</f>
        <v>2.20498492836244</v>
      </c>
      <c r="AD117" s="117" t="n">
        <f aca="false">AD95/(AD115*1000)</f>
        <v>1.0442157971414</v>
      </c>
      <c r="AE117" s="117" t="n">
        <f aca="false">AE95/(AE115*1000)</f>
        <v>2.20498492836244</v>
      </c>
      <c r="AF117" s="117" t="n">
        <f aca="false">AF95/(AF115*1000)</f>
        <v>1.0442157971414</v>
      </c>
      <c r="AG117" s="117" t="n">
        <f aca="false">AG95/(AG115*1000)</f>
        <v>2.20498492836244</v>
      </c>
      <c r="AH117" s="117" t="n">
        <f aca="false">AH95/(AH115*1000)</f>
        <v>1.0442157971414</v>
      </c>
    </row>
    <row r="118" customFormat="false" ht="15" hidden="false" customHeight="false" outlineLevel="0" collapsed="false">
      <c r="A118" s="58" t="s">
        <v>808</v>
      </c>
      <c r="B118" s="59" t="s">
        <v>801</v>
      </c>
      <c r="C118" s="112" t="n">
        <f aca="false">IF(C96&gt;0,C115*1000*(1-C94)/C96,0)</f>
        <v>0.624971170995125</v>
      </c>
      <c r="D118" s="112" t="n">
        <f aca="false">IF(D96&gt;0,D115*1000*(1-D94)/D96,0)</f>
        <v>1.02111086940665</v>
      </c>
      <c r="E118" s="112" t="n">
        <f aca="false">IF(E96&gt;0,E115*1000*(1-E94)/E96,0)</f>
        <v>1.24994234199025</v>
      </c>
      <c r="F118" s="112" t="n">
        <f aca="false">IF(F96&gt;0,F115*1000*(1-F94)/F96,0)</f>
        <v>1.02111086940665</v>
      </c>
      <c r="G118" s="112" t="n">
        <f aca="false">IF(G96&gt;0,G115*1000*(1-G94)/G96,0)</f>
        <v>0.416647447330083</v>
      </c>
      <c r="H118" s="112" t="n">
        <f aca="false">IF(H96&gt;0,H115*1000*(1-H94)/H96,0)</f>
        <v>1.02111086940665</v>
      </c>
      <c r="I118" s="112" t="n">
        <f aca="false">IF(I96&gt;0,I115*1000*(1-I94)/I96,0)</f>
        <v>0.559549660682171</v>
      </c>
      <c r="J118" s="112" t="n">
        <f aca="false">IF(J96&gt;0,J115*1000*(1-J94)/J96,0)</f>
        <v>1.02111086940665</v>
      </c>
      <c r="K118" s="112" t="n">
        <f aca="false">IF(K96&gt;0,K115*1000*(1-K94)/K96,0)</f>
        <v>0.776230159385821</v>
      </c>
      <c r="L118" s="112" t="n">
        <f aca="false">IF(L96&gt;0,L115*1000*(1-L94)/L96,0)</f>
        <v>1.02111086940665</v>
      </c>
      <c r="M118" s="112" t="n">
        <f aca="false">IF(M96&gt;0,M115*1000*(1-M94)/M96,0)</f>
        <v>0.437479819696587</v>
      </c>
      <c r="N118" s="112" t="n">
        <f aca="false">IF(N96&gt;0,N115*1000*(1-N94)/N96,0)</f>
        <v>1.02111086940665</v>
      </c>
      <c r="O118" s="112" t="n">
        <f aca="false">IF(O96&gt;0,O115*1000*(1-O94)/O96,0)</f>
        <v>0.528906575824846</v>
      </c>
      <c r="P118" s="112" t="n">
        <f aca="false">IF(P96&gt;0,P115*1000*(1-P94)/P96,0)</f>
        <v>0.799501417339934</v>
      </c>
      <c r="Q118" s="112" t="n">
        <f aca="false">IF(Q96&gt;0,Q115*1000*(1-Q94)/Q96,0)</f>
        <v>0.838077670636463</v>
      </c>
      <c r="R118" s="112" t="n">
        <f aca="false">IF(R96&gt;0,R115*1000*(1-R94)/R96,0)</f>
        <v>1.66864101555202</v>
      </c>
      <c r="S118" s="112" t="n">
        <f aca="false">IF(S96&gt;0,S115*1000*(1-S94)/S96,0)</f>
        <v>0.788603316398735</v>
      </c>
      <c r="T118" s="112" t="n">
        <f aca="false">IF(T96&gt;0,T115*1000*(1-T94)/T96,0)</f>
        <v>1.34802237371739</v>
      </c>
      <c r="U118" s="112" t="n">
        <f aca="false">IF(U96&gt;0,U115*1000*(1-U94)/U96,0)</f>
        <v>0.502577519718467</v>
      </c>
      <c r="V118" s="112" t="n">
        <f aca="false">IF(V96&gt;0,V115*1000*(1-V94)/V96,0)</f>
        <v>0.79486839593678</v>
      </c>
      <c r="W118" s="112" t="n">
        <f aca="false">IF(W96&gt;0,W115*1000*(1-W94)/W96,0)</f>
        <v>0.621317035751665</v>
      </c>
      <c r="X118" s="112" t="n">
        <f aca="false">IF(X96&gt;0,X115*1000*(1-X94)/X96,0)</f>
        <v>1.01514055047268</v>
      </c>
      <c r="Y118" s="112" t="n">
        <f aca="false">IF(Y96&gt;0,Y115*1000*(1-Y94)/Y96,0)</f>
        <v>0.639587711968964</v>
      </c>
      <c r="Z118" s="112" t="n">
        <f aca="false">IF(Z96&gt;0,Z115*1000*(1-Z94)/Z96,0)</f>
        <v>1.04499214514254</v>
      </c>
      <c r="AA118" s="112" t="n">
        <f aca="false">IF(AA96&gt;0,AA115*1000*(1-AA94)/AA96,0)</f>
        <v>1.07184123356336</v>
      </c>
      <c r="AB118" s="112" t="n">
        <f aca="false">IF(AB96&gt;0,AB115*1000*(1-AB94)/AB96,0)</f>
        <v>1.81256453301635</v>
      </c>
      <c r="AC118" s="112" t="n">
        <f aca="false">IF(AC96&gt;0,AC115*1000*(1-AC94)/AC96,0)</f>
        <v>3.2350958574337</v>
      </c>
      <c r="AD118" s="112" t="n">
        <f aca="false">IF(AD96&gt;0,AD115*1000*(1-AD94)/AD96,0)</f>
        <v>7.43545790299751</v>
      </c>
      <c r="AE118" s="112" t="n">
        <f aca="false">IF(AE96&gt;0,AE115*1000*(1-AE94)/AE96,0)</f>
        <v>3.2350958574337</v>
      </c>
      <c r="AF118" s="112" t="n">
        <f aca="false">IF(AF96&gt;0,AF115*1000*(1-AF94)/AF96,0)</f>
        <v>7.43545790299751</v>
      </c>
      <c r="AG118" s="112" t="n">
        <f aca="false">IF(AG96&gt;0,AG115*1000*(1-AG94)/AG96,0)</f>
        <v>3.2350958574337</v>
      </c>
      <c r="AH118" s="112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829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830</v>
      </c>
      <c r="B120" s="59" t="s">
        <v>93</v>
      </c>
      <c r="C120" s="102" t="n">
        <f aca="false">IF(D98&gt;0,C98/D98,0)</f>
        <v>1.56528522129431</v>
      </c>
      <c r="E120" s="102" t="n">
        <f aca="false">IF(F98&gt;0,E98/F98,0)</f>
        <v>0.915334889924169</v>
      </c>
      <c r="G120" s="102" t="n">
        <f aca="false">IF(H98&gt;0,G98/H98,0)</f>
        <v>2.0506531956019</v>
      </c>
      <c r="I120" s="102" t="n">
        <f aca="false">IF(J98&gt;0,I98/J98,0)</f>
        <v>1.69097436206723</v>
      </c>
      <c r="K120" s="102" t="n">
        <f aca="false">IF(L98&gt;0,K98/L98,0)</f>
        <v>1.33573321838336</v>
      </c>
      <c r="M120" s="102" t="n">
        <f aca="false">IF(N98&gt;0,M98/N98,0)</f>
        <v>2.23612174470615</v>
      </c>
      <c r="O120" s="102" t="n">
        <f aca="false">IF(P98&gt;0,O98/P98,0)</f>
        <v>1.47445800740157</v>
      </c>
      <c r="Q120" s="102" t="n">
        <f aca="false">IF(R98&gt;0,Q98/R98,0)</f>
        <v>1.85239577096268</v>
      </c>
      <c r="S120" s="102" t="n">
        <f aca="false">IF(T98&gt;0,S98/T98,0)</f>
        <v>1.63306234992762</v>
      </c>
      <c r="U120" s="102" t="n">
        <f aca="false">IF(V98&gt;0,U98/V98,0)</f>
        <v>1.51957578561464</v>
      </c>
      <c r="W120" s="102" t="n">
        <f aca="false">IF(X98&gt;0,W98/X98,0)</f>
        <v>1.61436941414528</v>
      </c>
      <c r="Y120" s="102" t="n">
        <f aca="false">IF(Z98&gt;0,Y98/Z98,0)</f>
        <v>1.48800705453992</v>
      </c>
      <c r="AA120" s="102" t="n">
        <f aca="false">IF(AB98&gt;0,AA98/AB98,0)</f>
        <v>1.61650429205125</v>
      </c>
      <c r="AC120" s="102" t="n">
        <f aca="false">IF(AD98&gt;0,AC98/AD98,0)</f>
        <v>2.11138850524128</v>
      </c>
      <c r="AE120" s="102" t="n">
        <f aca="false">IF(AF98&gt;0,AE98/AF98,0)</f>
        <v>2.11138850524128</v>
      </c>
      <c r="AG120" s="102" t="n">
        <f aca="false">IF(AH98&gt;0,AG98/AH98,0)</f>
        <v>2.11138850524128</v>
      </c>
    </row>
    <row r="121" customFormat="false" ht="15" hidden="false" customHeight="false" outlineLevel="0" collapsed="false">
      <c r="A121" s="59" t="s">
        <v>831</v>
      </c>
      <c r="B121" s="59" t="s">
        <v>93</v>
      </c>
      <c r="C121" s="102" t="n">
        <f aca="false">IF(AND(D105&gt;0,C105&gt;0),C105/D105,0)</f>
        <v>0.687408933936638</v>
      </c>
      <c r="E121" s="102" t="n">
        <f aca="false">IF(AND(F105&gt;0,E105&gt;0),E105/F105,0)</f>
        <v>1.37481786787328</v>
      </c>
      <c r="G121" s="102" t="n">
        <f aca="false">IF(AND(H105&gt;0,G105&gt;0),G105/H105,0)</f>
        <v>0.458272622624425</v>
      </c>
      <c r="I121" s="102" t="n">
        <f aca="false">IF(AND(J105&gt;0,I105&gt;0),I105/J105,0)</f>
        <v>0.615451485740834</v>
      </c>
      <c r="K121" s="102" t="n">
        <f aca="false">IF(AND(L105&gt;0,K105&gt;0),K105/L105,0)</f>
        <v>0.853779455943954</v>
      </c>
      <c r="M121" s="102" t="n">
        <f aca="false">IF(AND(N105&gt;0,M105&gt;0),M105/N105,0)</f>
        <v>0.481186253755646</v>
      </c>
      <c r="O121" s="102" t="n">
        <f aca="false">IF(AND(P105&gt;0,O105&gt;0),O105/P105,0)</f>
        <v>0.742998292084719</v>
      </c>
      <c r="Q121" s="102" t="n">
        <f aca="false">IF(AND(R105&gt;0,Q105&gt;0),Q105/R105,0)</f>
        <v>0.564091352560814</v>
      </c>
      <c r="S121" s="102" t="n">
        <f aca="false">IF(AND(T105&gt;0,S105&gt;0),S105/T105,0)</f>
        <v>0.657036634952532</v>
      </c>
      <c r="U121" s="102" t="n">
        <f aca="false">IF(AND(V105&gt;0,U105&gt;0),U105/V105,0)</f>
        <v>0.710126820823483</v>
      </c>
      <c r="W121" s="102" t="n">
        <f aca="false">IF(AND(X105&gt;0,W105&gt;0),W105/X105,0)</f>
        <v>0.687408933936638</v>
      </c>
      <c r="Y121" s="102" t="n">
        <f aca="false">IF(AND(Z105&gt;0,Y105&gt;0),Y105/Z105,0)</f>
        <v>0.687408933936637</v>
      </c>
      <c r="AA121" s="102" t="n">
        <f aca="false">IF(AND(AB105&gt;0,AA105&gt;0),AA105/AB105,0)</f>
        <v>0.664148306171864</v>
      </c>
      <c r="AC121" s="102" t="n">
        <f aca="false">IF(AND(AD105&gt;0,AC105&gt;0),AC105/AD105,0)</f>
        <v>0.488660822083892</v>
      </c>
      <c r="AE121" s="102" t="n">
        <f aca="false">IF(AND(AF105&gt;0,AE105&gt;0),AE105/AF105,0)</f>
        <v>0.488660822083892</v>
      </c>
      <c r="AG121" s="102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832</v>
      </c>
    </row>
    <row r="2" customFormat="false" ht="15" hidden="false" customHeight="false" outlineLevel="0" collapsed="false">
      <c r="A2" s="71" t="s">
        <v>833</v>
      </c>
    </row>
    <row r="4" customFormat="false" ht="15" hidden="false" customHeight="false" outlineLevel="0" collapsed="false">
      <c r="A4" s="57" t="s">
        <v>161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57" t="s">
        <v>436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834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835</v>
      </c>
      <c r="B8" s="59" t="s">
        <v>836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837</v>
      </c>
      <c r="B9" s="59" t="s">
        <v>836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838</v>
      </c>
      <c r="B10" s="59" t="s">
        <v>89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245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839</v>
      </c>
      <c r="B13" s="59" t="s">
        <v>777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840</v>
      </c>
      <c r="B14" s="59" t="s">
        <v>777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841</v>
      </c>
      <c r="B15" s="59" t="s">
        <v>777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842</v>
      </c>
      <c r="B16" s="59" t="s">
        <v>791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843</v>
      </c>
      <c r="B17" s="59" t="s">
        <v>791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844</v>
      </c>
      <c r="B18" s="59" t="s">
        <v>791</v>
      </c>
      <c r="C18" s="123" t="n">
        <f aca="false">IF(C15&gt;0,C$8/3600*C15,"SLO 不可達")</f>
        <v>0.515810502571941</v>
      </c>
      <c r="D18" s="123" t="n">
        <f aca="false">IF(D15&gt;0,D$8/3600*D15,"SLO 不可達")</f>
        <v>0.736990032519282</v>
      </c>
      <c r="E18" s="123" t="n">
        <f aca="false">IF(E15&gt;0,E$8/3600*E15,"SLO 不可達")</f>
        <v>1.26568295592989</v>
      </c>
      <c r="F18" s="123" t="n">
        <f aca="false">IF(F15&gt;0,F$8/3600*F15,"SLO 不可達")</f>
        <v>0.121612196523219</v>
      </c>
      <c r="G18" s="123" t="n">
        <f aca="false">IF(G15&gt;0,G$8/3600*G15,"SLO 不可達")</f>
        <v>0.162377864250437</v>
      </c>
      <c r="H18" s="123" t="n">
        <f aca="false">IF(H15&gt;0,H$8/3600*H15,"SLO 不可達")</f>
        <v>0.263363842445387</v>
      </c>
      <c r="I18" s="123" t="n">
        <f aca="false">IF(I15&gt;0,I$8/3600*I15,"SLO 不可達")</f>
        <v>0.106488526596046</v>
      </c>
      <c r="J18" s="123" t="n">
        <f aca="false">IF(J15&gt;0,J$8/3600*J15,"SLO 不可達")</f>
        <v>0.137536094679954</v>
      </c>
      <c r="K18" s="123" t="n">
        <f aca="false">IF(K15&gt;0,K$8/3600*K15,"SLO 不可達")</f>
        <v>0.234161906840545</v>
      </c>
      <c r="L18" s="123" t="n">
        <f aca="false">IF(L15&gt;0,L$8/3600*L15,"SLO 不可達")</f>
        <v>0.0806426702715034</v>
      </c>
      <c r="M18" s="123" t="n">
        <f aca="false">IF(M15&gt;0,M$8/3600*M15,"SLO 不可達")</f>
        <v>0.103646620561882</v>
      </c>
      <c r="N18" s="123" t="n">
        <f aca="false">IF(N15&gt;0,N$8/3600*N15,"SLO 不可達")</f>
        <v>0.167444325103472</v>
      </c>
      <c r="O18" s="123" t="n">
        <f aca="false">IF(O15&gt;0,O$8/3600*O15,"SLO 不可達")</f>
        <v>0.0630858774448701</v>
      </c>
      <c r="P18" s="123" t="n">
        <f aca="false">IF(P15&gt;0,P$8/3600*P15,"SLO 不可達")</f>
        <v>0.0958818836336032</v>
      </c>
      <c r="Q18" s="123" t="n">
        <f aca="false">IF(Q15&gt;0,Q$8/3600*Q15,"SLO 不可達")</f>
        <v>0.175036355331926</v>
      </c>
    </row>
    <row r="19" customFormat="false" ht="15" hidden="false" customHeight="false" outlineLevel="0" collapsed="false">
      <c r="A19" s="58" t="s">
        <v>845</v>
      </c>
      <c r="B19" s="59" t="s">
        <v>791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846</v>
      </c>
      <c r="B20" s="59" t="s">
        <v>791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847</v>
      </c>
      <c r="B21" s="59" t="s">
        <v>791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848</v>
      </c>
      <c r="B22" s="59" t="s">
        <v>791</v>
      </c>
      <c r="C22" s="113" t="n">
        <f aca="false">IF(C15&gt;0,C$9/3600*C15,"SLO 不可達")</f>
        <v>0.394202477646634</v>
      </c>
      <c r="D22" s="113" t="n">
        <f aca="false">IF(D15&gt;0,D$9/3600*D15,"SLO 不可達")</f>
        <v>0.539587590836907</v>
      </c>
      <c r="E22" s="113" t="n">
        <f aca="false">IF(E15&gt;0,E$9/3600*E15,"SLO 不可達")</f>
        <v>0.927178025551443</v>
      </c>
      <c r="F22" s="113" t="n">
        <f aca="false">IF(F15&gt;0,F$9/3600*F15,"SLO 不可達")</f>
        <v>0.0928765394372742</v>
      </c>
      <c r="G22" s="113" t="n">
        <f aca="false">IF(G15&gt;0,G$9/3600*G15,"SLO 不可達")</f>
        <v>0.118620772097041</v>
      </c>
      <c r="H22" s="113" t="n">
        <f aca="false">IF(H15&gt;0,H$9/3600*H15,"SLO 不可達")</f>
        <v>0.191649346768559</v>
      </c>
      <c r="I22" s="113" t="n">
        <f aca="false">IF(I15&gt;0,I$9/3600*I15,"SLO 不可達")</f>
        <v>0.0817858203143441</v>
      </c>
      <c r="J22" s="113" t="n">
        <f aca="false">IF(J15&gt;0,J$9/3600*J15,"SLO 不可達")</f>
        <v>0.10094260529117</v>
      </c>
      <c r="K22" s="113" t="n">
        <f aca="false">IF(K15&gt;0,K$9/3600*K15,"SLO 不可達")</f>
        <v>0.172236087143762</v>
      </c>
      <c r="L22" s="113" t="n">
        <f aca="false">IF(L15&gt;0,L$9/3600*L15,"SLO 不可達")</f>
        <v>0.0620797136410463</v>
      </c>
      <c r="M22" s="113" t="n">
        <f aca="false">IF(M15&gt;0,M$9/3600*M15,"SLO 不可達")</f>
        <v>0.0762360765157959</v>
      </c>
      <c r="N22" s="113" t="n">
        <f aca="false">IF(N15&gt;0,N$9/3600*N15,"SLO 不可達")</f>
        <v>0.123437108682434</v>
      </c>
      <c r="O22" s="113" t="n">
        <f aca="false">IF(O15&gt;0,O$9/3600*O15,"SLO 不可達")</f>
        <v>0.0486155680772872</v>
      </c>
      <c r="P22" s="113" t="n">
        <f aca="false">IF(P15&gt;0,P$9/3600*P15,"SLO 不可達")</f>
        <v>0.0707794686108994</v>
      </c>
      <c r="Q22" s="113" t="n">
        <f aca="false">IF(Q15&gt;0,Q$9/3600*Q15,"SLO 不可達")</f>
        <v>0.130326482142723</v>
      </c>
    </row>
    <row r="23" customFormat="false" ht="15" hidden="false" customHeight="false" outlineLevel="0" collapsed="false">
      <c r="A23" s="58" t="s">
        <v>849</v>
      </c>
      <c r="B23" s="59" t="s">
        <v>791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246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839</v>
      </c>
      <c r="B26" s="59" t="s">
        <v>777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840</v>
      </c>
      <c r="B27" s="59" t="s">
        <v>777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841</v>
      </c>
      <c r="B28" s="59" t="s">
        <v>777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842</v>
      </c>
      <c r="B29" s="59" t="s">
        <v>791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843</v>
      </c>
      <c r="B30" s="59" t="s">
        <v>791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844</v>
      </c>
      <c r="B31" s="59" t="s">
        <v>791</v>
      </c>
      <c r="C31" s="123" t="n">
        <f aca="false">IF(C28&gt;0,C$8/3600*C28,"SLO 不可達")</f>
        <v>1.7702441493306</v>
      </c>
      <c r="D31" s="123" t="n">
        <f aca="false">IF(D28&gt;0,D$8/3600*D28,"SLO 不可達")</f>
        <v>2.52932479404151</v>
      </c>
      <c r="E31" s="123" t="n">
        <f aca="false">IF(E28&gt;0,E$8/3600*E28,"SLO 不可達")</f>
        <v>4.34378097473856</v>
      </c>
      <c r="F31" s="123" t="n">
        <f aca="false">IF(F28&gt;0,F$8/3600*F28,"SLO 不可達")</f>
        <v>0.423524919545995</v>
      </c>
      <c r="G31" s="123" t="n">
        <f aca="false">IF(G28&gt;0,G$8/3600*G28,"SLO 不可達")</f>
        <v>0.565494858729786</v>
      </c>
      <c r="H31" s="123" t="n">
        <f aca="false">IF(H28&gt;0,H$8/3600*H28,"SLO 不可達")</f>
        <v>0.917187201381651</v>
      </c>
      <c r="I31" s="123" t="n">
        <f aca="false">IF(I28&gt;0,I$8/3600*I28,"SLO 不可達")</f>
        <v>0.37085544006724</v>
      </c>
      <c r="J31" s="123" t="n">
        <f aca="false">IF(J28&gt;0,J$8/3600*J28,"SLO 不可達")</f>
        <v>0.478981262565029</v>
      </c>
      <c r="K31" s="123" t="n">
        <f aca="false">IF(K28&gt;0,K$8/3600*K28,"SLO 不可達")</f>
        <v>0.815488952511794</v>
      </c>
      <c r="L31" s="123" t="n">
        <f aca="false">IF(L28&gt;0,L$8/3600*L28,"SLO 不可達")</f>
        <v>0.256178955227036</v>
      </c>
      <c r="M31" s="123" t="n">
        <f aca="false">IF(M28&gt;0,M$8/3600*M28,"SLO 不可達")</f>
        <v>0.329255999075451</v>
      </c>
      <c r="N31" s="123" t="n">
        <f aca="false">IF(N28&gt;0,N$8/3600*N28,"SLO 不可達")</f>
        <v>0.531923262452556</v>
      </c>
      <c r="O31" s="123" t="n">
        <f aca="false">IF(O28&gt;0,O$8/3600*O28,"SLO 不可達")</f>
        <v>0.195537573688745</v>
      </c>
      <c r="P31" s="123" t="n">
        <f aca="false">IF(P28&gt;0,P$8/3600*P28,"SLO 不可達")</f>
        <v>0.297190300678713</v>
      </c>
      <c r="Q31" s="123" t="n">
        <f aca="false">IF(Q28&gt;0,Q$8/3600*Q28,"SLO 不可達")</f>
        <v>0.542533220035429</v>
      </c>
    </row>
    <row r="32" customFormat="false" ht="15" hidden="false" customHeight="false" outlineLevel="0" collapsed="false">
      <c r="A32" s="58" t="s">
        <v>845</v>
      </c>
      <c r="B32" s="59" t="s">
        <v>791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846</v>
      </c>
      <c r="B33" s="59" t="s">
        <v>791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847</v>
      </c>
      <c r="B34" s="59" t="s">
        <v>791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848</v>
      </c>
      <c r="B35" s="59" t="s">
        <v>791</v>
      </c>
      <c r="C35" s="113" t="n">
        <f aca="false">IF(C28&gt;0,C$9/3600*C28,"SLO 不可達")</f>
        <v>1.3528895325435</v>
      </c>
      <c r="D35" s="113" t="n">
        <f aca="false">IF(D28&gt;0,D$9/3600*D28,"SLO 不可達")</f>
        <v>1.85184630977381</v>
      </c>
      <c r="E35" s="113" t="n">
        <f aca="false">IF(E28&gt;0,E$9/3600*E28,"SLO 不可達")</f>
        <v>3.18204353524464</v>
      </c>
      <c r="F35" s="113" t="n">
        <f aca="false">IF(F28&gt;0,F$9/3600*F28,"SLO 不可達")</f>
        <v>0.32345052566641</v>
      </c>
      <c r="G35" s="113" t="n">
        <f aca="false">IF(G28&gt;0,G$9/3600*G28,"SLO 不可達")</f>
        <v>0.41310702705128</v>
      </c>
      <c r="H35" s="113" t="n">
        <f aca="false">IF(H28&gt;0,H$9/3600*H28,"SLO 不可達")</f>
        <v>0.667435310698456</v>
      </c>
      <c r="I35" s="113" t="n">
        <f aca="false">IF(I28&gt;0,I$9/3600*I28,"SLO 不可達")</f>
        <v>0.284826143749672</v>
      </c>
      <c r="J35" s="113" t="n">
        <f aca="false">IF(J28&gt;0,J$9/3600*J28,"SLO 不可達")</f>
        <v>0.351541292789194</v>
      </c>
      <c r="K35" s="113" t="n">
        <f aca="false">IF(K28&gt;0,K$9/3600*K28,"SLO 不可達")</f>
        <v>0.599826966669016</v>
      </c>
      <c r="L35" s="113" t="n">
        <f aca="false">IF(L28&gt;0,L$9/3600*L28,"SLO 不可達")</f>
        <v>0.197209692186701</v>
      </c>
      <c r="M35" s="113" t="n">
        <f aca="false">IF(M28&gt;0,M$9/3600*M28,"SLO 不可達")</f>
        <v>0.242180453185295</v>
      </c>
      <c r="N35" s="113" t="n">
        <f aca="false">IF(N28&gt;0,N$9/3600*N28,"SLO 不可達")</f>
        <v>0.392124782476187</v>
      </c>
      <c r="O35" s="113" t="n">
        <f aca="false">IF(O28&gt;0,O$9/3600*O28,"SLO 不可達")</f>
        <v>0.150686185408772</v>
      </c>
      <c r="P35" s="113" t="n">
        <f aca="false">IF(P28&gt;0,P$9/3600*P28,"SLO 不可達")</f>
        <v>0.21938421275425</v>
      </c>
      <c r="Q35" s="113" t="n">
        <f aca="false">IF(Q28&gt;0,Q$9/3600*Q28,"SLO 不可達")</f>
        <v>0.403952915259799</v>
      </c>
    </row>
    <row r="36" customFormat="false" ht="15" hidden="false" customHeight="false" outlineLevel="0" collapsed="false">
      <c r="A36" s="58" t="s">
        <v>849</v>
      </c>
      <c r="B36" s="59" t="s">
        <v>791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247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839</v>
      </c>
      <c r="B39" s="59" t="s">
        <v>777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840</v>
      </c>
      <c r="B40" s="59" t="s">
        <v>777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841</v>
      </c>
      <c r="B41" s="59" t="s">
        <v>777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842</v>
      </c>
      <c r="B42" s="59" t="s">
        <v>791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843</v>
      </c>
      <c r="B43" s="59" t="s">
        <v>791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844</v>
      </c>
      <c r="B44" s="59" t="s">
        <v>791</v>
      </c>
      <c r="C44" s="123" t="n">
        <f aca="false">IF(C41&gt;0,C$8/3600*C41,"SLO 不可達")</f>
        <v>12.2043697021718</v>
      </c>
      <c r="D44" s="123" t="n">
        <f aca="false">IF(D41&gt;0,D$8/3600*D41,"SLO 不可達")</f>
        <v>17.437603109732</v>
      </c>
      <c r="E44" s="123" t="n">
        <f aca="false">IF(E41&gt;0,E$8/3600*E41,"SLO 不可達")</f>
        <v>29.9467782119297</v>
      </c>
      <c r="F44" s="123" t="n">
        <f aca="false">IF(F41&gt;0,F$8/3600*F41,"SLO 不可達")</f>
        <v>2.47824794341068</v>
      </c>
      <c r="G44" s="123" t="n">
        <f aca="false">IF(G41&gt;0,G$8/3600*G41,"SLO 不可達")</f>
        <v>3.30898231952609</v>
      </c>
      <c r="H44" s="123" t="n">
        <f aca="false">IF(H41&gt;0,H$8/3600*H41,"SLO 不可達")</f>
        <v>5.36690331700735</v>
      </c>
      <c r="I44" s="123" t="n">
        <f aca="false">IF(I41&gt;0,I$8/3600*I41,"SLO 不可達")</f>
        <v>2.70047072784554</v>
      </c>
      <c r="J44" s="123" t="n">
        <f aca="false">IF(J41&gt;0,J$8/3600*J41,"SLO 不可達")</f>
        <v>3.48781422353906</v>
      </c>
      <c r="K44" s="123" t="n">
        <f aca="false">IF(K41&gt;0,K$8/3600*K41,"SLO 不可達")</f>
        <v>5.93817376587556</v>
      </c>
      <c r="L44" s="123" t="n">
        <f aca="false">IF(L41&gt;0,L$8/3600*L41,"SLO 不可達")</f>
        <v>1.32608273033948</v>
      </c>
      <c r="M44" s="123" t="n">
        <f aca="false">IF(M41&gt;0,M$8/3600*M41,"SLO 不可達")</f>
        <v>1.70435816575049</v>
      </c>
      <c r="N44" s="123" t="n">
        <f aca="false">IF(N41&gt;0,N$8/3600*N41,"SLO 不可達")</f>
        <v>2.7534433949855</v>
      </c>
      <c r="O44" s="123" t="n">
        <f aca="false">IF(O41&gt;0,O$8/3600*O41,"SLO 不可達")</f>
        <v>0.946026825683234</v>
      </c>
      <c r="P44" s="123" t="n">
        <f aca="false">IF(P41&gt;0,P$8/3600*P41,"SLO 不可達")</f>
        <v>1.43783105963287</v>
      </c>
      <c r="Q44" s="123" t="n">
        <f aca="false">IF(Q41&gt;0,Q$8/3600*Q41,"SLO 不可達")</f>
        <v>2.62482023426766</v>
      </c>
    </row>
    <row r="45" customFormat="false" ht="15" hidden="false" customHeight="false" outlineLevel="0" collapsed="false">
      <c r="A45" s="58" t="s">
        <v>845</v>
      </c>
      <c r="B45" s="59" t="s">
        <v>791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846</v>
      </c>
      <c r="B46" s="59" t="s">
        <v>791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847</v>
      </c>
      <c r="B47" s="59" t="s">
        <v>791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848</v>
      </c>
      <c r="B48" s="59" t="s">
        <v>791</v>
      </c>
      <c r="C48" s="113" t="n">
        <f aca="false">IF(C41&gt;0,C$9/3600*C41,"SLO 不可達")</f>
        <v>9.32705470463084</v>
      </c>
      <c r="D48" s="113" t="n">
        <f aca="false">IF(D41&gt;0,D$9/3600*D41,"SLO 不可達")</f>
        <v>12.7669491265532</v>
      </c>
      <c r="E48" s="113" t="n">
        <f aca="false">IF(E41&gt;0,E$9/3600*E41,"SLO 不可達")</f>
        <v>21.9375591368097</v>
      </c>
      <c r="F48" s="113" t="n">
        <f aca="false">IF(F41&gt;0,F$9/3600*F41,"SLO 不可達")</f>
        <v>1.89266454707592</v>
      </c>
      <c r="G48" s="113" t="n">
        <f aca="false">IF(G41&gt;0,G$9/3600*G41,"SLO 不可達")</f>
        <v>2.41728784529561</v>
      </c>
      <c r="H48" s="113" t="n">
        <f aca="false">IF(H41&gt;0,H$9/3600*H41,"SLO 不可達")</f>
        <v>3.90548491897767</v>
      </c>
      <c r="I48" s="113" t="n">
        <f aca="false">IF(I41&gt;0,I$9/3600*I41,"SLO 不可達")</f>
        <v>2.0740282617444</v>
      </c>
      <c r="J48" s="113" t="n">
        <f aca="false">IF(J41&gt;0,J$9/3600*J41,"SLO 不可達")</f>
        <v>2.55983024176232</v>
      </c>
      <c r="K48" s="113" t="n">
        <f aca="false">IF(K41&gt;0,K$9/3600*K41,"SLO 不可達")</f>
        <v>4.36778051568657</v>
      </c>
      <c r="L48" s="113" t="n">
        <f aca="false">IF(L41&gt;0,L$9/3600*L41,"SLO 不可達")</f>
        <v>1.02083470062005</v>
      </c>
      <c r="M48" s="113" t="n">
        <f aca="false">IF(M41&gt;0,M$9/3600*M41,"SLO 不可達")</f>
        <v>1.25362099439508</v>
      </c>
      <c r="N48" s="113" t="n">
        <f aca="false">IF(N41&gt;0,N$9/3600*N41,"SLO 不可達")</f>
        <v>2.02979164201432</v>
      </c>
      <c r="O48" s="113" t="n">
        <f aca="false">IF(O41&gt;0,O$9/3600*O41,"SLO 不可達")</f>
        <v>0.729032129055107</v>
      </c>
      <c r="P48" s="113" t="n">
        <f aca="false">IF(P41&gt;0,P$9/3600*P41,"SLO 不可達")</f>
        <v>1.06139882213781</v>
      </c>
      <c r="Q48" s="113" t="n">
        <f aca="false">IF(Q41&gt;0,Q$9/3600*Q41,"SLO 不可達")</f>
        <v>1.95435734902295</v>
      </c>
    </row>
    <row r="49" customFormat="false" ht="15" hidden="false" customHeight="false" outlineLevel="0" collapsed="false">
      <c r="A49" s="58" t="s">
        <v>849</v>
      </c>
      <c r="B49" s="59" t="s">
        <v>791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850</v>
      </c>
    </row>
    <row r="2" customFormat="false" ht="15" hidden="false" customHeight="true" outlineLevel="0" collapsed="false">
      <c r="A2" s="11" t="s">
        <v>851</v>
      </c>
    </row>
    <row r="4" customFormat="false" ht="15" hidden="false" customHeight="true" outlineLevel="0" collapsed="false">
      <c r="A4" s="20" t="s">
        <v>161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74</v>
      </c>
      <c r="D5" s="34" t="s">
        <v>75</v>
      </c>
      <c r="E5" s="34" t="s">
        <v>76</v>
      </c>
      <c r="F5" s="34" t="s">
        <v>74</v>
      </c>
      <c r="G5" s="34" t="s">
        <v>75</v>
      </c>
      <c r="H5" s="34" t="s">
        <v>76</v>
      </c>
      <c r="I5" s="34" t="s">
        <v>74</v>
      </c>
      <c r="J5" s="34" t="s">
        <v>75</v>
      </c>
      <c r="K5" s="34" t="s">
        <v>76</v>
      </c>
      <c r="L5" s="34" t="s">
        <v>74</v>
      </c>
      <c r="M5" s="34" t="s">
        <v>75</v>
      </c>
      <c r="N5" s="34" t="s">
        <v>76</v>
      </c>
      <c r="O5" s="34" t="s">
        <v>74</v>
      </c>
      <c r="P5" s="34" t="s">
        <v>75</v>
      </c>
      <c r="Q5" s="34" t="s">
        <v>76</v>
      </c>
    </row>
    <row r="7" customFormat="false" ht="15" hidden="false" customHeight="true" outlineLevel="0" collapsed="false">
      <c r="A7" s="25" t="s">
        <v>852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853</v>
      </c>
      <c r="B8" s="16" t="s">
        <v>854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88</v>
      </c>
      <c r="B9" s="16" t="s">
        <v>89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855</v>
      </c>
      <c r="B10" s="16" t="s">
        <v>854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726</v>
      </c>
      <c r="B11" s="16" t="s">
        <v>727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856</v>
      </c>
      <c r="B12" s="21" t="s">
        <v>725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174</v>
      </c>
      <c r="B13" s="21" t="s">
        <v>719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857</v>
      </c>
      <c r="B14" s="21" t="s">
        <v>719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92</v>
      </c>
      <c r="B15" s="16" t="s">
        <v>93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858</v>
      </c>
      <c r="B16" s="16" t="s">
        <v>854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859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860</v>
      </c>
      <c r="B18" s="16" t="s">
        <v>861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862</v>
      </c>
      <c r="B19" s="16" t="s">
        <v>863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103</v>
      </c>
      <c r="B20" s="16" t="s">
        <v>89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864</v>
      </c>
      <c r="B21" s="16" t="s">
        <v>863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865</v>
      </c>
      <c r="B22" s="16" t="s">
        <v>106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865</v>
      </c>
      <c r="B23" s="16" t="s">
        <v>863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866</v>
      </c>
      <c r="B24" s="16" t="s">
        <v>863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109</v>
      </c>
      <c r="B25" s="16" t="s">
        <v>863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867</v>
      </c>
      <c r="B26" s="16" t="s">
        <v>863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868</v>
      </c>
      <c r="B27" s="16" t="s">
        <v>863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869</v>
      </c>
      <c r="B28" s="16" t="s">
        <v>863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870</v>
      </c>
      <c r="B29" s="16" t="s">
        <v>863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871</v>
      </c>
      <c r="B30" s="16" t="s">
        <v>89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119</v>
      </c>
      <c r="B31" s="16" t="s">
        <v>863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872</v>
      </c>
      <c r="B32" s="16" t="s">
        <v>863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873</v>
      </c>
      <c r="B33" s="16" t="s">
        <v>863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874</v>
      </c>
      <c r="B34" s="16" t="s">
        <v>875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876</v>
      </c>
      <c r="B35" s="16" t="s">
        <v>861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877</v>
      </c>
      <c r="B36" s="16" t="s">
        <v>861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878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879</v>
      </c>
      <c r="B38" s="21" t="s">
        <v>124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880</v>
      </c>
      <c r="B39" s="16" t="s">
        <v>863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881</v>
      </c>
      <c r="B40" s="16" t="s">
        <v>863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96</v>
      </c>
      <c r="B41" s="16" t="s">
        <v>89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98</v>
      </c>
      <c r="B42" s="16" t="s">
        <v>99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882</v>
      </c>
      <c r="B43" s="16" t="s">
        <v>863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883</v>
      </c>
      <c r="B44" s="16" t="s">
        <v>863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139</v>
      </c>
      <c r="B45" s="16" t="s">
        <v>863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884</v>
      </c>
      <c r="B46" s="16" t="s">
        <v>863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150</v>
      </c>
      <c r="B47" s="16" t="s">
        <v>863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885</v>
      </c>
      <c r="B48" s="16" t="s">
        <v>863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886</v>
      </c>
      <c r="B49" s="16" t="s">
        <v>863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887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888</v>
      </c>
      <c r="B51" s="16" t="s">
        <v>89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889</v>
      </c>
      <c r="B52" s="16" t="s">
        <v>93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890</v>
      </c>
      <c r="B53" s="16" t="s">
        <v>863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891</v>
      </c>
      <c r="B54" s="16" t="s">
        <v>863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892</v>
      </c>
      <c r="B55" s="16" t="s">
        <v>863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893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894</v>
      </c>
      <c r="B57" s="16" t="s">
        <v>836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895</v>
      </c>
      <c r="B58" s="16" t="s">
        <v>836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896</v>
      </c>
      <c r="B59" s="16" t="s">
        <v>897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898</v>
      </c>
      <c r="B60" s="16" t="s">
        <v>899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900</v>
      </c>
      <c r="B61" s="16" t="s">
        <v>89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901</v>
      </c>
      <c r="B62" s="16" t="s">
        <v>89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902</v>
      </c>
    </row>
    <row r="2" customFormat="false" ht="15" hidden="false" customHeight="false" outlineLevel="0" collapsed="false">
      <c r="A2" s="56" t="s">
        <v>903</v>
      </c>
    </row>
    <row r="4" customFormat="false" ht="15" hidden="false" customHeight="false" outlineLevel="0" collapsed="false">
      <c r="A4" s="57" t="s">
        <v>319</v>
      </c>
      <c r="B4" s="57" t="s">
        <v>73</v>
      </c>
      <c r="C4" s="57" t="s">
        <v>320</v>
      </c>
      <c r="D4" s="57" t="s">
        <v>77</v>
      </c>
      <c r="H4" s="57" t="s">
        <v>321</v>
      </c>
    </row>
    <row r="5" customFormat="false" ht="15" hidden="false" customHeight="false" outlineLevel="0" collapsed="false">
      <c r="A5" s="58" t="s">
        <v>904</v>
      </c>
      <c r="B5" s="58"/>
      <c r="C5" s="134" t="s">
        <v>905</v>
      </c>
      <c r="D5" s="56" t="s">
        <v>82</v>
      </c>
      <c r="H5" s="85" t="s">
        <v>906</v>
      </c>
    </row>
    <row r="6" customFormat="false" ht="26.85" hidden="false" customHeight="false" outlineLevel="0" collapsed="false">
      <c r="A6" s="58" t="s">
        <v>907</v>
      </c>
      <c r="B6" s="59" t="s">
        <v>89</v>
      </c>
      <c r="C6" s="63" t="n">
        <v>0.25</v>
      </c>
      <c r="D6" s="56" t="s">
        <v>94</v>
      </c>
      <c r="H6" s="85" t="s">
        <v>908</v>
      </c>
    </row>
    <row r="7" customFormat="false" ht="15" hidden="false" customHeight="false" outlineLevel="0" collapsed="false">
      <c r="A7" s="59" t="s">
        <v>909</v>
      </c>
      <c r="B7" s="59" t="s">
        <v>89</v>
      </c>
      <c r="C7" s="63" t="n">
        <v>0.9</v>
      </c>
      <c r="D7" s="56" t="s">
        <v>94</v>
      </c>
      <c r="H7" s="85" t="s">
        <v>910</v>
      </c>
    </row>
    <row r="8" customFormat="false" ht="15" hidden="false" customHeight="false" outlineLevel="0" collapsed="false">
      <c r="A8" s="59" t="s">
        <v>911</v>
      </c>
      <c r="B8" s="59" t="s">
        <v>93</v>
      </c>
      <c r="C8" s="76" t="n">
        <v>0.8</v>
      </c>
      <c r="D8" s="56" t="s">
        <v>90</v>
      </c>
      <c r="H8" s="91" t="s">
        <v>912</v>
      </c>
    </row>
    <row r="9" customFormat="false" ht="15" hidden="false" customHeight="false" outlineLevel="0" collapsed="false">
      <c r="A9" s="59" t="s">
        <v>913</v>
      </c>
      <c r="B9" s="59" t="s">
        <v>93</v>
      </c>
      <c r="C9" s="76" t="n">
        <v>0.6</v>
      </c>
      <c r="D9" s="56" t="s">
        <v>90</v>
      </c>
      <c r="H9" s="91" t="s">
        <v>914</v>
      </c>
    </row>
    <row r="10" customFormat="false" ht="15" hidden="false" customHeight="false" outlineLevel="0" collapsed="false">
      <c r="A10" s="58" t="s">
        <v>915</v>
      </c>
      <c r="B10" s="58" t="s">
        <v>85</v>
      </c>
      <c r="C10" s="64" t="n">
        <v>0</v>
      </c>
      <c r="D10" s="56" t="s">
        <v>90</v>
      </c>
      <c r="H10" s="85" t="s">
        <v>916</v>
      </c>
    </row>
    <row r="11" customFormat="false" ht="26.85" hidden="false" customHeight="false" outlineLevel="0" collapsed="false">
      <c r="A11" s="59" t="s">
        <v>917</v>
      </c>
      <c r="B11" s="59" t="s">
        <v>89</v>
      </c>
      <c r="C11" s="63" t="n">
        <v>0.85</v>
      </c>
      <c r="D11" s="56" t="s">
        <v>94</v>
      </c>
      <c r="H11" s="85" t="s">
        <v>918</v>
      </c>
    </row>
    <row r="12" customFormat="false" ht="15" hidden="false" customHeight="false" outlineLevel="0" collapsed="false">
      <c r="A12" s="59" t="s">
        <v>919</v>
      </c>
      <c r="B12" s="58" t="s">
        <v>312</v>
      </c>
      <c r="C12" s="64" t="n">
        <v>16</v>
      </c>
      <c r="D12" s="56" t="s">
        <v>94</v>
      </c>
      <c r="H12" s="85" t="s">
        <v>920</v>
      </c>
    </row>
    <row r="13" customFormat="false" ht="26.85" hidden="false" customHeight="false" outlineLevel="0" collapsed="false">
      <c r="A13" s="58" t="s">
        <v>921</v>
      </c>
      <c r="B13" s="59" t="s">
        <v>93</v>
      </c>
      <c r="C13" s="75" t="n">
        <v>8</v>
      </c>
      <c r="D13" s="56" t="s">
        <v>94</v>
      </c>
      <c r="H13" s="85" t="s">
        <v>922</v>
      </c>
    </row>
    <row r="14" customFormat="false" ht="15" hidden="false" customHeight="false" outlineLevel="0" collapsed="false">
      <c r="A14" s="58" t="s">
        <v>923</v>
      </c>
      <c r="B14" s="58"/>
      <c r="C14" s="103" t="s">
        <v>924</v>
      </c>
      <c r="D14" s="56" t="s">
        <v>82</v>
      </c>
      <c r="H14" s="85" t="s">
        <v>925</v>
      </c>
    </row>
    <row r="15" customFormat="false" ht="15" hidden="false" customHeight="false" outlineLevel="0" collapsed="false">
      <c r="A15" s="58" t="s">
        <v>926</v>
      </c>
      <c r="B15" s="58" t="s">
        <v>85</v>
      </c>
      <c r="C15" s="64" t="n">
        <v>3</v>
      </c>
      <c r="D15" s="56" t="s">
        <v>90</v>
      </c>
      <c r="H15" s="91" t="s">
        <v>927</v>
      </c>
    </row>
    <row r="16" customFormat="false" ht="15" hidden="false" customHeight="false" outlineLevel="0" collapsed="false">
      <c r="A16" s="58" t="s">
        <v>928</v>
      </c>
      <c r="B16" s="58" t="s">
        <v>929</v>
      </c>
      <c r="C16" s="64" t="n">
        <v>4</v>
      </c>
      <c r="D16" s="56" t="s">
        <v>82</v>
      </c>
      <c r="E16" s="79" t="str">
        <f aca="false">INDEX(Spec_Rack!$C$4:$G$4,$C$16)</f>
        <v>VR200 NVL72</v>
      </c>
      <c r="H16" s="85" t="s">
        <v>930</v>
      </c>
    </row>
    <row r="17" customFormat="false" ht="15" hidden="false" customHeight="false" outlineLevel="0" collapsed="false">
      <c r="A17" s="58" t="s">
        <v>931</v>
      </c>
      <c r="B17" s="58" t="s">
        <v>929</v>
      </c>
      <c r="C17" s="64" t="n">
        <v>3</v>
      </c>
      <c r="D17" s="56" t="s">
        <v>82</v>
      </c>
      <c r="E17" s="79" t="str">
        <f aca="false">INDEX(Spec_Rack!$C$4:$G$4,$C$17)</f>
        <v>GB300 NVL72</v>
      </c>
      <c r="H17" s="85" t="s">
        <v>932</v>
      </c>
    </row>
    <row r="19" customFormat="false" ht="15" hidden="false" customHeight="false" outlineLevel="0" collapsed="false">
      <c r="A19" s="66" t="s">
        <v>933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57" t="s">
        <v>161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934</v>
      </c>
      <c r="B21" s="59" t="s">
        <v>93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935</v>
      </c>
    </row>
    <row r="23" customFormat="false" ht="15" hidden="false" customHeight="false" outlineLevel="0" collapsed="false">
      <c r="A23" s="66" t="s">
        <v>936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57" t="s">
        <v>353</v>
      </c>
      <c r="B24" s="57" t="s">
        <v>73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57" t="s">
        <v>321</v>
      </c>
    </row>
    <row r="25" customFormat="false" ht="24.6" hidden="false" customHeight="false" outlineLevel="0" collapsed="false">
      <c r="A25" s="58" t="s">
        <v>937</v>
      </c>
      <c r="B25" s="59" t="s">
        <v>938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939</v>
      </c>
    </row>
    <row r="26" customFormat="false" ht="15" hidden="false" customHeight="false" outlineLevel="0" collapsed="false">
      <c r="A26" s="58" t="s">
        <v>940</v>
      </c>
      <c r="B26" s="59" t="s">
        <v>275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941</v>
      </c>
    </row>
    <row r="27" customFormat="false" ht="15" hidden="false" customHeight="false" outlineLevel="0" collapsed="false">
      <c r="A27" s="58" t="s">
        <v>942</v>
      </c>
      <c r="B27" s="59" t="s">
        <v>938</v>
      </c>
      <c r="C27" s="135" t="n">
        <v>1</v>
      </c>
      <c r="D27" s="135" t="n">
        <v>1</v>
      </c>
      <c r="E27" s="135" t="n">
        <v>2</v>
      </c>
      <c r="H27" s="85" t="s">
        <v>943</v>
      </c>
    </row>
    <row r="28" customFormat="false" ht="15" hidden="false" customHeight="false" outlineLevel="0" collapsed="false">
      <c r="A28" s="58" t="s">
        <v>944</v>
      </c>
      <c r="B28" s="59" t="s">
        <v>275</v>
      </c>
      <c r="C28" s="61" t="n">
        <v>131072</v>
      </c>
      <c r="D28" s="61" t="n">
        <v>131072</v>
      </c>
      <c r="E28" s="61" t="n">
        <v>131072</v>
      </c>
      <c r="H28" s="85" t="s">
        <v>90</v>
      </c>
    </row>
    <row r="29" customFormat="false" ht="15" hidden="false" customHeight="false" outlineLevel="0" collapsed="false">
      <c r="A29" s="59" t="s">
        <v>945</v>
      </c>
      <c r="B29" s="59" t="s">
        <v>938</v>
      </c>
      <c r="C29" s="136" t="n">
        <v>0.05</v>
      </c>
      <c r="D29" s="136" t="n">
        <v>0.05</v>
      </c>
      <c r="E29" s="136" t="n">
        <v>0.1</v>
      </c>
      <c r="H29" s="85" t="s">
        <v>946</v>
      </c>
    </row>
    <row r="30" customFormat="false" ht="15" hidden="false" customHeight="false" outlineLevel="0" collapsed="false">
      <c r="A30" s="59" t="s">
        <v>947</v>
      </c>
      <c r="B30" s="59" t="s">
        <v>275</v>
      </c>
      <c r="C30" s="61" t="n">
        <v>16384</v>
      </c>
      <c r="D30" s="61" t="n">
        <v>16384</v>
      </c>
      <c r="E30" s="61" t="n">
        <v>16384</v>
      </c>
      <c r="H30" s="85" t="s">
        <v>90</v>
      </c>
    </row>
    <row r="31" customFormat="false" ht="15" hidden="false" customHeight="false" outlineLevel="0" collapsed="false">
      <c r="A31" s="58" t="s">
        <v>948</v>
      </c>
      <c r="B31" s="59" t="s">
        <v>355</v>
      </c>
      <c r="C31" s="61" t="n">
        <v>20</v>
      </c>
      <c r="D31" s="61" t="n">
        <v>20</v>
      </c>
      <c r="E31" s="61" t="n">
        <v>20</v>
      </c>
      <c r="H31" s="91" t="s">
        <v>949</v>
      </c>
    </row>
    <row r="32" customFormat="false" ht="15" hidden="false" customHeight="false" outlineLevel="0" collapsed="false">
      <c r="A32" s="59" t="s">
        <v>950</v>
      </c>
      <c r="B32" s="59" t="s">
        <v>275</v>
      </c>
      <c r="C32" s="61" t="n">
        <v>4096</v>
      </c>
      <c r="D32" s="61" t="n">
        <v>8192</v>
      </c>
      <c r="E32" s="61" t="n">
        <v>16384</v>
      </c>
      <c r="H32" s="85" t="s">
        <v>90</v>
      </c>
    </row>
    <row r="33" customFormat="false" ht="15" hidden="false" customHeight="false" outlineLevel="0" collapsed="false">
      <c r="A33" s="59" t="s">
        <v>951</v>
      </c>
      <c r="B33" s="59" t="s">
        <v>275</v>
      </c>
      <c r="C33" s="61" t="n">
        <v>8192</v>
      </c>
      <c r="D33" s="61" t="n">
        <v>16384</v>
      </c>
      <c r="E33" s="61" t="n">
        <v>32768</v>
      </c>
      <c r="H33" s="85" t="s">
        <v>952</v>
      </c>
    </row>
    <row r="34" customFormat="false" ht="39.55" hidden="false" customHeight="false" outlineLevel="0" collapsed="false">
      <c r="A34" s="59" t="s">
        <v>953</v>
      </c>
      <c r="B34" s="59" t="s">
        <v>938</v>
      </c>
      <c r="C34" s="137" t="n">
        <v>2.36</v>
      </c>
      <c r="D34" s="137" t="n">
        <v>2.36</v>
      </c>
      <c r="E34" s="137" t="n">
        <v>9.6</v>
      </c>
      <c r="H34" s="85" t="s">
        <v>954</v>
      </c>
    </row>
    <row r="35" customFormat="false" ht="15" hidden="false" customHeight="false" outlineLevel="0" collapsed="false">
      <c r="A35" s="59" t="s">
        <v>955</v>
      </c>
      <c r="B35" s="59" t="s">
        <v>938</v>
      </c>
      <c r="C35" s="136" t="n">
        <v>0.2</v>
      </c>
      <c r="D35" s="136" t="n">
        <v>0.2</v>
      </c>
      <c r="E35" s="136" t="n">
        <v>0.2</v>
      </c>
      <c r="H35" s="85" t="s">
        <v>956</v>
      </c>
    </row>
    <row r="36" customFormat="false" ht="15" hidden="false" customHeight="false" outlineLevel="0" collapsed="false">
      <c r="A36" s="58" t="s">
        <v>957</v>
      </c>
      <c r="B36" s="58" t="s">
        <v>85</v>
      </c>
      <c r="C36" s="64" t="n">
        <v>1</v>
      </c>
      <c r="D36" s="64" t="n">
        <v>2</v>
      </c>
      <c r="E36" s="64" t="n">
        <v>3</v>
      </c>
      <c r="H36" s="85" t="s">
        <v>958</v>
      </c>
    </row>
    <row r="37" customFormat="false" ht="15" hidden="false" customHeight="false" outlineLevel="0" collapsed="false">
      <c r="A37" s="58" t="s">
        <v>959</v>
      </c>
      <c r="B37" s="59" t="s">
        <v>938</v>
      </c>
      <c r="C37" s="135" t="n">
        <v>1</v>
      </c>
      <c r="D37" s="135" t="n">
        <v>2</v>
      </c>
      <c r="E37" s="135" t="n">
        <v>3</v>
      </c>
      <c r="H37" s="85" t="s">
        <v>960</v>
      </c>
    </row>
    <row r="38" customFormat="false" ht="15" hidden="false" customHeight="false" outlineLevel="0" collapsed="false">
      <c r="A38" s="58" t="s">
        <v>961</v>
      </c>
      <c r="B38" s="59" t="s">
        <v>938</v>
      </c>
      <c r="C38" s="136" t="n">
        <v>0.02</v>
      </c>
      <c r="D38" s="136" t="n">
        <v>0.05</v>
      </c>
      <c r="E38" s="136" t="n">
        <v>0.1</v>
      </c>
      <c r="H38" s="85" t="s">
        <v>90</v>
      </c>
    </row>
    <row r="40" customFormat="false" ht="15" hidden="false" customHeight="false" outlineLevel="0" collapsed="false">
      <c r="A40" s="66" t="s">
        <v>962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963</v>
      </c>
      <c r="B41" s="59" t="s">
        <v>938</v>
      </c>
      <c r="C41" s="96" t="n">
        <f aca="false">SRC_MOD_039</f>
        <v>14.8</v>
      </c>
      <c r="H41" s="85" t="s">
        <v>964</v>
      </c>
    </row>
    <row r="42" customFormat="false" ht="15" hidden="false" customHeight="false" outlineLevel="0" collapsed="false">
      <c r="A42" s="59" t="s">
        <v>965</v>
      </c>
      <c r="B42" s="59" t="s">
        <v>966</v>
      </c>
      <c r="C42" s="92" t="n">
        <f aca="false">SRC_MOD_040</f>
        <v>2.664</v>
      </c>
      <c r="H42" s="85" t="s">
        <v>967</v>
      </c>
    </row>
    <row r="43" customFormat="false" ht="15" hidden="false" customHeight="false" outlineLevel="0" collapsed="false">
      <c r="A43" s="59" t="s">
        <v>968</v>
      </c>
      <c r="B43" s="59" t="s">
        <v>275</v>
      </c>
      <c r="C43" s="60" t="n">
        <f aca="false">SRC_MOD_042</f>
        <v>4096</v>
      </c>
      <c r="H43" s="85" t="s">
        <v>969</v>
      </c>
    </row>
    <row r="44" customFormat="false" ht="15" hidden="false" customHeight="false" outlineLevel="0" collapsed="false">
      <c r="A44" s="59" t="s">
        <v>970</v>
      </c>
      <c r="B44" s="59" t="s">
        <v>93</v>
      </c>
      <c r="C44" s="107" t="n">
        <f aca="false">SRC_MOD_034/SRC_MOD_040</f>
        <v>0.0551801801801802</v>
      </c>
      <c r="H44" s="85" t="s">
        <v>971</v>
      </c>
    </row>
    <row r="45" customFormat="false" ht="15" hidden="false" customHeight="false" outlineLevel="0" collapsed="false">
      <c r="A45" s="59" t="s">
        <v>972</v>
      </c>
      <c r="B45" s="59" t="s">
        <v>93</v>
      </c>
      <c r="C45" s="106" t="n">
        <f aca="false">SRC_MOD_036</f>
        <v>1</v>
      </c>
      <c r="H45" s="85" t="s">
        <v>973</v>
      </c>
    </row>
    <row r="46" customFormat="false" ht="15" hidden="false" customHeight="false" outlineLevel="0" collapsed="false">
      <c r="A46" s="58" t="s">
        <v>974</v>
      </c>
      <c r="B46" s="59" t="s">
        <v>297</v>
      </c>
      <c r="C46" s="138" t="n">
        <v>2E+026</v>
      </c>
      <c r="H46" s="85" t="s">
        <v>975</v>
      </c>
    </row>
    <row r="47" customFormat="false" ht="15" hidden="false" customHeight="false" outlineLevel="0" collapsed="false">
      <c r="A47" s="58" t="s">
        <v>976</v>
      </c>
      <c r="B47" s="59" t="s">
        <v>297</v>
      </c>
      <c r="C47" s="138" t="n">
        <v>5E+026</v>
      </c>
      <c r="H47" s="91" t="s">
        <v>115</v>
      </c>
    </row>
    <row r="48" customFormat="false" ht="15" hidden="false" customHeight="false" outlineLevel="0" collapsed="false">
      <c r="A48" s="58" t="s">
        <v>977</v>
      </c>
      <c r="B48" s="59" t="s">
        <v>297</v>
      </c>
      <c r="C48" s="138" t="n">
        <v>2E+027</v>
      </c>
      <c r="H48" s="9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978</v>
      </c>
    </row>
    <row r="2" customFormat="false" ht="15" hidden="false" customHeight="false" outlineLevel="0" collapsed="false">
      <c r="A2" s="56" t="s">
        <v>979</v>
      </c>
    </row>
    <row r="3" customFormat="false" ht="15" hidden="false" customHeight="false" outlineLevel="0" collapsed="false">
      <c r="A3" s="57" t="s">
        <v>980</v>
      </c>
      <c r="R3" s="57" t="s">
        <v>981</v>
      </c>
      <c r="S3" s="57" t="s">
        <v>981</v>
      </c>
    </row>
    <row r="4" customFormat="false" ht="15" hidden="false" customHeight="false" outlineLevel="0" collapsed="false">
      <c r="A4" s="57" t="s">
        <v>161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57" t="s">
        <v>706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57" t="s">
        <v>436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57" t="s">
        <v>707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708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709</v>
      </c>
      <c r="B10" s="59" t="s">
        <v>93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710</v>
      </c>
      <c r="B11" s="59" t="s">
        <v>93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711</v>
      </c>
      <c r="B12" s="59" t="s">
        <v>93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712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459</v>
      </c>
      <c r="B14" s="59" t="s">
        <v>460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461</v>
      </c>
      <c r="B15" s="59" t="s">
        <v>713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462</v>
      </c>
      <c r="B16" s="59" t="s">
        <v>344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714</v>
      </c>
      <c r="B17" s="59" t="s">
        <v>344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222</v>
      </c>
      <c r="B18" s="59" t="s">
        <v>715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716</v>
      </c>
      <c r="B19" s="59" t="s">
        <v>254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717</v>
      </c>
      <c r="B20" s="59" t="s">
        <v>254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718</v>
      </c>
      <c r="B21" s="59" t="s">
        <v>715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174</v>
      </c>
      <c r="B22" s="58" t="s">
        <v>719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720</v>
      </c>
      <c r="B23" s="59" t="s">
        <v>721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722</v>
      </c>
      <c r="B24" s="59" t="s">
        <v>723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724</v>
      </c>
      <c r="B25" s="58" t="s">
        <v>725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726</v>
      </c>
      <c r="B26" s="59" t="s">
        <v>727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728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257</v>
      </c>
      <c r="B28" s="59" t="s">
        <v>254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259</v>
      </c>
      <c r="B29" s="58" t="s">
        <v>260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262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729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469</v>
      </c>
      <c r="B32" s="59" t="s">
        <v>254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295</v>
      </c>
      <c r="B33" s="59" t="s">
        <v>254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730</v>
      </c>
      <c r="B34" s="59" t="s">
        <v>254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471</v>
      </c>
      <c r="B35" s="59" t="s">
        <v>297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272</v>
      </c>
      <c r="B36" s="59" t="s">
        <v>89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731</v>
      </c>
      <c r="B37" s="59" t="s">
        <v>275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277</v>
      </c>
      <c r="B38" s="59" t="s">
        <v>93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279</v>
      </c>
      <c r="B39" s="59" t="s">
        <v>275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732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354</v>
      </c>
      <c r="B41" s="59" t="s">
        <v>355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733</v>
      </c>
      <c r="B42" s="59" t="s">
        <v>358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734</v>
      </c>
      <c r="B43" s="59" t="s">
        <v>275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361</v>
      </c>
      <c r="B44" s="59" t="s">
        <v>275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362</v>
      </c>
      <c r="B45" s="59" t="s">
        <v>275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363</v>
      </c>
      <c r="B46" s="59" t="s">
        <v>275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735</v>
      </c>
      <c r="B47" s="59" t="s">
        <v>275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736</v>
      </c>
      <c r="B48" s="59" t="s">
        <v>89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737</v>
      </c>
      <c r="B49" s="59" t="s">
        <v>275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350</v>
      </c>
      <c r="B50" s="59" t="s">
        <v>93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738</v>
      </c>
      <c r="B51" s="59" t="s">
        <v>89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739</v>
      </c>
      <c r="B52" s="59" t="s">
        <v>93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740</v>
      </c>
      <c r="B53" s="59" t="s">
        <v>89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741</v>
      </c>
      <c r="B54" s="59" t="s">
        <v>93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742</v>
      </c>
      <c r="B55" s="59" t="s">
        <v>498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743</v>
      </c>
      <c r="B56" s="59" t="s">
        <v>89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744</v>
      </c>
      <c r="B57" s="59" t="s">
        <v>89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745</v>
      </c>
      <c r="B58" s="59" t="s">
        <v>89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746</v>
      </c>
      <c r="B59" s="59" t="s">
        <v>254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747</v>
      </c>
      <c r="B60" s="59" t="s">
        <v>89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748</v>
      </c>
      <c r="B61" s="59" t="s">
        <v>89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749</v>
      </c>
      <c r="B62" s="59" t="s">
        <v>463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750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751</v>
      </c>
      <c r="B64" s="59" t="s">
        <v>275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476</v>
      </c>
      <c r="B65" s="59" t="s">
        <v>477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752</v>
      </c>
      <c r="B66" s="59" t="s">
        <v>275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479</v>
      </c>
      <c r="B67" s="59" t="s">
        <v>477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753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480</v>
      </c>
      <c r="B69" s="59" t="s">
        <v>299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754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755</v>
      </c>
      <c r="B71" s="59" t="s">
        <v>715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483</v>
      </c>
      <c r="B72" s="59" t="s">
        <v>299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756</v>
      </c>
      <c r="B73" s="59" t="s">
        <v>89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757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758</v>
      </c>
      <c r="B75" s="59" t="s">
        <v>355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759</v>
      </c>
      <c r="B76" s="59" t="s">
        <v>358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760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761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762</v>
      </c>
      <c r="B79" s="59" t="s">
        <v>488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763</v>
      </c>
      <c r="B80" s="59" t="s">
        <v>488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764</v>
      </c>
      <c r="B81" s="59" t="s">
        <v>488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765</v>
      </c>
      <c r="B82" s="59" t="s">
        <v>488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766</v>
      </c>
      <c r="B83" s="59" t="s">
        <v>488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767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768</v>
      </c>
      <c r="B85" s="58" t="s">
        <v>492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769</v>
      </c>
      <c r="B86" s="58" t="s">
        <v>492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770</v>
      </c>
      <c r="B87" s="58" t="s">
        <v>492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771</v>
      </c>
      <c r="B88" s="59" t="s">
        <v>355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772</v>
      </c>
      <c r="B89" s="59" t="s">
        <v>355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773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774</v>
      </c>
      <c r="B91" s="59" t="s">
        <v>89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775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776</v>
      </c>
      <c r="B93" s="59" t="s">
        <v>777</v>
      </c>
      <c r="C93" s="112" t="n">
        <f aca="false">IF(C88&gt;0,C43/C75+C44/C88,0)</f>
        <v>5.75312169485197</v>
      </c>
      <c r="D93" s="112" t="n">
        <f aca="false">IF(D88&gt;0,D43/D75+D44/D88,0)</f>
        <v>44.4693141798769</v>
      </c>
      <c r="E93" s="112" t="n">
        <f aca="false">IF(E88&gt;0,E43/E75+E44/E88,0)</f>
        <v>381.425705248593</v>
      </c>
      <c r="F93" s="112" t="n">
        <f aca="false">IF(F88&gt;0,F43/F75+F44/F88,0)</f>
        <v>1.54829019509718</v>
      </c>
      <c r="G93" s="112" t="n">
        <f aca="false">IF(G88&gt;0,G43/G75+G44/G88,0)</f>
        <v>11.4328835637132</v>
      </c>
      <c r="H93" s="112" t="n">
        <f aca="false">IF(H88&gt;0,H43/H75+H44/H88,0)</f>
        <v>98.8420960720572</v>
      </c>
      <c r="I93" s="112" t="n">
        <f aca="false">IF(I88&gt;0,I43/I75+I44/I88,0)</f>
        <v>1.03219346339812</v>
      </c>
      <c r="J93" s="112" t="n">
        <f aca="false">IF(J88&gt;0,J43/J75+J44/J88,0)</f>
        <v>7.62192237580878</v>
      </c>
      <c r="K93" s="112" t="n">
        <f aca="false">IF(K88&gt;0,K43/K75+K44/K88,0)</f>
        <v>68.3155145929587</v>
      </c>
      <c r="L93" s="112" t="n">
        <f aca="false">IF(L88&gt;0,L43/L75+L44/L88,0)</f>
        <v>0.581667550797239</v>
      </c>
      <c r="M93" s="112" t="n">
        <f aca="false">IF(M88&gt;0,M43/M75+M44/M88,0)</f>
        <v>4.17993747553638</v>
      </c>
      <c r="N93" s="112" t="n">
        <f aca="false">IF(N88&gt;0,N43/N75+N44/N88,0)</f>
        <v>35.3877323490646</v>
      </c>
      <c r="O93" s="112" t="n">
        <f aca="false">IF(O88&gt;0,O43/O75+O44/O88,0)</f>
        <v>0.219300782747588</v>
      </c>
      <c r="P93" s="112" t="n">
        <f aca="false">IF(P88&gt;0,P43/P75+P44/P88,0)</f>
        <v>1.56549498961155</v>
      </c>
      <c r="Q93" s="112" t="n">
        <f aca="false">IF(Q88&gt;0,Q43/Q75+Q44/Q88,0)</f>
        <v>13.0124962012397</v>
      </c>
      <c r="R93" s="112" t="n">
        <f aca="false">IF(R88&gt;0,R43/R75+R44/R88,0)</f>
        <v>6.37426851660065</v>
      </c>
      <c r="S93" s="112" t="n">
        <f aca="false">IF(S88&gt;0,S43/S75+S44/S88,0)</f>
        <v>54.1254347961996</v>
      </c>
    </row>
    <row r="94" customFormat="false" ht="15" hidden="false" customHeight="false" outlineLevel="0" collapsed="false">
      <c r="A94" s="59" t="s">
        <v>778</v>
      </c>
      <c r="B94" s="59" t="s">
        <v>89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8" t="s">
        <v>779</v>
      </c>
      <c r="B95" s="59" t="s">
        <v>355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8" t="s">
        <v>780</v>
      </c>
      <c r="B96" s="59" t="s">
        <v>355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8" t="s">
        <v>781</v>
      </c>
      <c r="B97" s="59" t="s">
        <v>355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8" t="s">
        <v>782</v>
      </c>
      <c r="B98" s="59" t="s">
        <v>783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8" t="s">
        <v>784</v>
      </c>
      <c r="B99" s="59" t="s">
        <v>783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785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786</v>
      </c>
      <c r="B101" s="59" t="s">
        <v>787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788</v>
      </c>
      <c r="B102" s="59" t="s">
        <v>787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789</v>
      </c>
      <c r="B103" s="59" t="s">
        <v>787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8" t="s">
        <v>790</v>
      </c>
      <c r="B104" s="59" t="s">
        <v>791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792</v>
      </c>
      <c r="B105" s="59" t="s">
        <v>791</v>
      </c>
      <c r="C105" s="114" t="n">
        <f aca="false">IF(C103&gt;0,INDEX(DC_Cost!$C$58:$Q$58,3*(C$6-1)+2)/3600*C103,0)</f>
        <v>0.277600222365798</v>
      </c>
      <c r="D105" s="114" t="n">
        <f aca="false">IF(D103&gt;0,INDEX(DC_Cost!$C$58:$Q$58,3*(D$6-1)+2)/3600*D103,0)</f>
        <v>1.06805327654817</v>
      </c>
      <c r="E105" s="114" t="n">
        <f aca="false">IF(E103&gt;0,INDEX(DC_Cost!$C$58:$Q$58,3*(E$6-1)+2)/3600*E103,0)</f>
        <v>4.69877482870561</v>
      </c>
      <c r="F105" s="114" t="n">
        <f aca="false">IF(F103&gt;0,INDEX(DC_Cost!$C$58:$Q$58,3*(F$6-1)+2)/3600*F103,0)</f>
        <v>0.10244040690999</v>
      </c>
      <c r="G105" s="114" t="n">
        <f aca="false">IF(G103&gt;0,INDEX(DC_Cost!$C$58:$Q$58,3*(G$6-1)+2)/3600*G103,0)</f>
        <v>0.377081312120276</v>
      </c>
      <c r="H105" s="114" t="n">
        <f aca="false">IF(H103&gt;0,INDEX(DC_Cost!$C$58:$Q$58,3*(H$6-1)+2)/3600*H103,0)</f>
        <v>1.64566069314851</v>
      </c>
      <c r="I105" s="114" t="n">
        <f aca="false">IF(I103&gt;0,INDEX(DC_Cost!$C$58:$Q$58,3*(I$6-1)+2)/3600*I103,0)</f>
        <v>0.08676831395008</v>
      </c>
      <c r="J105" s="114" t="n">
        <f aca="false">IF(J103&gt;0,INDEX(DC_Cost!$C$58:$Q$58,3*(J$6-1)+2)/3600*J103,0)</f>
        <v>0.319392617246326</v>
      </c>
      <c r="K105" s="114" t="n">
        <f aca="false">IF(K103&gt;0,INDEX(DC_Cost!$C$58:$Q$58,3*(K$6-1)+2)/3600*K103,0)</f>
        <v>1.44626116310482</v>
      </c>
      <c r="L105" s="114" t="n">
        <f aca="false">IF(L103&gt;0,INDEX(DC_Cost!$C$58:$Q$58,3*(L$6-1)+2)/3600*L103,0)</f>
        <v>0.0923058260990347</v>
      </c>
      <c r="M105" s="114" t="n">
        <f aca="false">IF(M103&gt;0,INDEX(DC_Cost!$C$58:$Q$58,3*(M$6-1)+2)/3600*M103,0)</f>
        <v>0.330683282694629</v>
      </c>
      <c r="N105" s="114" t="n">
        <f aca="false">IF(N103&gt;0,INDEX(DC_Cost!$C$58:$Q$58,3*(N$6-1)+2)/3600*N103,0)</f>
        <v>1.40969917907249</v>
      </c>
      <c r="O105" s="114" t="n">
        <f aca="false">IF(O103&gt;0,INDEX(DC_Cost!$C$58:$Q$58,3*(O$6-1)+2)/3600*O103,0)</f>
        <v>0.0650006402809367</v>
      </c>
      <c r="P105" s="114" t="n">
        <f aca="false">IF(P103&gt;0,INDEX(DC_Cost!$C$58:$Q$58,3*(P$6-1)+2)/3600*P103,0)</f>
        <v>0.231040762806899</v>
      </c>
      <c r="Q105" s="114" t="n">
        <f aca="false">IF(Q103&gt;0,INDEX(DC_Cost!$C$58:$Q$58,3*(Q$6-1)+2)/3600*Q103,0)</f>
        <v>0.968924387050889</v>
      </c>
      <c r="R105" s="92" t="n">
        <f aca="false">IF(R103&gt;0,INDEX(DC_Cost!$C$58:$Q$58,3*(R$6-1)+2)/3600*R103,0)</f>
        <v>0.500327851997903</v>
      </c>
      <c r="S105" s="92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793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794</v>
      </c>
      <c r="B107" s="59" t="s">
        <v>795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796</v>
      </c>
      <c r="B108" s="59" t="s">
        <v>723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797</v>
      </c>
      <c r="B109" s="59" t="s">
        <v>477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798</v>
      </c>
      <c r="B110" s="59" t="s">
        <v>299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799</v>
      </c>
      <c r="B111" s="59" t="s">
        <v>299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800</v>
      </c>
      <c r="B112" s="59" t="s">
        <v>801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802</v>
      </c>
      <c r="B113" s="59" t="s">
        <v>801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803</v>
      </c>
      <c r="B114" s="59" t="s">
        <v>727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8" t="s">
        <v>804</v>
      </c>
      <c r="B115" s="59" t="s">
        <v>727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805</v>
      </c>
      <c r="B116" s="59" t="s">
        <v>89</v>
      </c>
      <c r="C116" s="116" t="n">
        <f aca="false">IF(C115&gt;0,C114/C115,0)</f>
        <v>0.025606686940107</v>
      </c>
      <c r="D116" s="116" t="n">
        <f aca="false">IF(D115&gt;0,D114/D115,0)</f>
        <v>0.0291770886552399</v>
      </c>
      <c r="E116" s="116" t="n">
        <f aca="false">IF(E115&gt;0,E114/E115,0)</f>
        <v>0.0296450409334196</v>
      </c>
      <c r="F116" s="116" t="n">
        <f aca="false">IF(F115&gt;0,F114/F115,0)</f>
        <v>0.0224199662850953</v>
      </c>
      <c r="G116" s="116" t="n">
        <f aca="false">IF(G115&gt;0,G114/G115,0)</f>
        <v>0.0264477055146251</v>
      </c>
      <c r="H116" s="116" t="n">
        <f aca="false">IF(H115&gt;0,H114/H115,0)</f>
        <v>0.0329015056878638</v>
      </c>
      <c r="I116" s="116" t="n">
        <f aca="false">IF(I115&gt;0,I114/I115,0)</f>
        <v>0.0254914495838559</v>
      </c>
      <c r="J116" s="116" t="n">
        <f aca="false">IF(J115&gt;0,J114/J115,0)</f>
        <v>0.0291769300276119</v>
      </c>
      <c r="K116" s="116" t="n">
        <f aca="false">IF(K115&gt;0,K114/K115,0)</f>
        <v>0.0395446628993459</v>
      </c>
      <c r="L116" s="116" t="n">
        <f aca="false">IF(L115&gt;0,L114/L115,0)</f>
        <v>0.0152382173660883</v>
      </c>
      <c r="M116" s="116" t="n">
        <f aca="false">IF(M115&gt;0,M114/M115,0)</f>
        <v>0.0171733613152289</v>
      </c>
      <c r="N116" s="116" t="n">
        <f aca="false">IF(N115&gt;0,N114/N115,0)</f>
        <v>0.0246914459986086</v>
      </c>
      <c r="O116" s="116" t="n">
        <f aca="false">IF(O115&gt;0,O114/O115,0)</f>
        <v>0.0259748217165583</v>
      </c>
      <c r="P116" s="116" t="n">
        <f aca="false">IF(P115&gt;0,P114/P115,0)</f>
        <v>0.0264841640355886</v>
      </c>
      <c r="Q116" s="116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59" t="s">
        <v>806</v>
      </c>
      <c r="B117" s="59" t="s">
        <v>807</v>
      </c>
      <c r="C117" s="117" t="n">
        <f aca="false">C95/(C115*1000)</f>
        <v>2.08378917026112</v>
      </c>
      <c r="D117" s="117" t="n">
        <f aca="false">D95/(D115*1000)</f>
        <v>0.539171467067586</v>
      </c>
      <c r="E117" s="117" t="n">
        <f aca="false">E95/(E115*1000)</f>
        <v>0.125720867974679</v>
      </c>
      <c r="F117" s="117" t="n">
        <f aca="false">F95/(F115*1000)</f>
        <v>5.41124773941745</v>
      </c>
      <c r="G117" s="117" t="n">
        <f aca="false">G95/(G115*1000)</f>
        <v>1.46562881909746</v>
      </c>
      <c r="H117" s="117" t="n">
        <f aca="false">H95/(H115*1000)</f>
        <v>0.3390531828493</v>
      </c>
      <c r="I117" s="117" t="n">
        <f aca="false">I95/(I115*1000)</f>
        <v>7.87814009121071</v>
      </c>
      <c r="J117" s="117" t="n">
        <f aca="false">J95/(J115*1000)</f>
        <v>2.133783133686</v>
      </c>
      <c r="K117" s="117" t="n">
        <f aca="false">K95/(K115*1000)</f>
        <v>0.476129895490562</v>
      </c>
      <c r="L117" s="117" t="n">
        <f aca="false">L95/(L115*1000)</f>
        <v>8.37573673561519</v>
      </c>
      <c r="M117" s="117" t="n">
        <f aca="false">M95/(M115*1000)</f>
        <v>2.33108475982769</v>
      </c>
      <c r="N117" s="117" t="n">
        <f aca="false">N95/(N115*1000)</f>
        <v>0.550687365335692</v>
      </c>
      <c r="O117" s="117" t="n">
        <f aca="false">O95/(O115*1000)</f>
        <v>14.832167225307</v>
      </c>
      <c r="P117" s="117" t="n">
        <f aca="false">P95/(P115*1000)</f>
        <v>4.15549829790262</v>
      </c>
      <c r="Q117" s="117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8" t="s">
        <v>808</v>
      </c>
      <c r="B118" s="59" t="s">
        <v>801</v>
      </c>
      <c r="C118" s="112" t="n">
        <f aca="false">IF(C96&gt;0,C115*1000*(1-C94)/C96,0)</f>
        <v>0.664039357506386</v>
      </c>
      <c r="D118" s="112" t="n">
        <f aca="false">IF(D96&gt;0,D115*1000*(1-D94)/D96,0)</f>
        <v>2.55485894606768</v>
      </c>
      <c r="E118" s="112" t="n">
        <f aca="false">IF(E96&gt;0,E115*1000*(1-E94)/E96,0)</f>
        <v>11.2398015813163</v>
      </c>
      <c r="F118" s="112" t="n">
        <f aca="false">IF(F96&gt;0,F115*1000*(1-F94)/F96,0)</f>
        <v>0.26930338673328</v>
      </c>
      <c r="G118" s="112" t="n">
        <f aca="false">IF(G96&gt;0,G115*1000*(1-G94)/G96,0)</f>
        <v>0.991300966981193</v>
      </c>
      <c r="H118" s="112" t="n">
        <f aca="false">IF(H96&gt;0,H115*1000*(1-H94)/H96,0)</f>
        <v>4.32624207035938</v>
      </c>
      <c r="I118" s="112" t="n">
        <f aca="false">IF(I96&gt;0,I115*1000*(1-I94)/I96,0)</f>
        <v>0.184976063614778</v>
      </c>
      <c r="J118" s="112" t="n">
        <f aca="false">IF(J96&gt;0,J115*1000*(1-J94)/J96,0)</f>
        <v>0.680893593482031</v>
      </c>
      <c r="K118" s="112" t="n">
        <f aca="false">IF(K96&gt;0,K115*1000*(1-K94)/K96,0)</f>
        <v>3.08319575120444</v>
      </c>
      <c r="L118" s="112" t="n">
        <f aca="false">IF(L96&gt;0,L115*1000*(1-L94)/L96,0)</f>
        <v>0.175208592671887</v>
      </c>
      <c r="M118" s="112" t="n">
        <f aca="false">IF(M96&gt;0,M115*1000*(1-M94)/M96,0)</f>
        <v>0.627680342938307</v>
      </c>
      <c r="N118" s="112" t="n">
        <f aca="false">IF(N96&gt;0,N115*1000*(1-N94)/N96,0)</f>
        <v>2.67579436417166</v>
      </c>
      <c r="O118" s="112" t="n">
        <f aca="false">IF(O96&gt;0,O115*1000*(1-O94)/O96,0)</f>
        <v>0.0982257210457662</v>
      </c>
      <c r="P118" s="112" t="n">
        <f aca="false">IF(P96&gt;0,P115*1000*(1-P94)/P96,0)</f>
        <v>0.349137261103676</v>
      </c>
      <c r="Q118" s="112" t="n">
        <f aca="false">IF(Q96&gt;0,Q115*1000*(1-Q94)/Q96,0)</f>
        <v>1.4641901394441</v>
      </c>
      <c r="R118" s="112" t="n">
        <f aca="false">IF(R96&gt;0,R115*1000*(1-R94)/R96,0)</f>
        <v>0.949688037340664</v>
      </c>
      <c r="S118" s="112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982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983</v>
      </c>
      <c r="B120" s="59" t="s">
        <v>89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984</v>
      </c>
      <c r="B121" s="59" t="s">
        <v>89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985</v>
      </c>
    </row>
    <row r="2" customFormat="false" ht="15" hidden="false" customHeight="false" outlineLevel="0" collapsed="false">
      <c r="A2" s="71" t="s">
        <v>986</v>
      </c>
    </row>
    <row r="4" customFormat="false" ht="15" hidden="false" customHeight="false" outlineLevel="0" collapsed="false">
      <c r="A4" s="57" t="s">
        <v>161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7" t="s">
        <v>706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7" t="s">
        <v>436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7" t="s">
        <v>707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987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988</v>
      </c>
      <c r="B10" s="59" t="s">
        <v>460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989</v>
      </c>
      <c r="B11" s="59" t="s">
        <v>93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990</v>
      </c>
      <c r="B12" s="59" t="s">
        <v>460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991</v>
      </c>
      <c r="B13" s="59" t="s">
        <v>89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992</v>
      </c>
      <c r="B14" s="59" t="s">
        <v>93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993</v>
      </c>
      <c r="B15" s="59" t="s">
        <v>93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994</v>
      </c>
      <c r="B16" s="59" t="s">
        <v>89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995</v>
      </c>
      <c r="B17" s="59" t="s">
        <v>89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996</v>
      </c>
      <c r="B18" s="58" t="s">
        <v>719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997</v>
      </c>
      <c r="B19" s="59" t="s">
        <v>836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998</v>
      </c>
      <c r="B20" s="59" t="s">
        <v>836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728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257</v>
      </c>
      <c r="B22" s="59" t="s">
        <v>254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471</v>
      </c>
      <c r="B23" s="59" t="s">
        <v>297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272</v>
      </c>
      <c r="B24" s="59" t="s">
        <v>89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731</v>
      </c>
      <c r="B25" s="59" t="s">
        <v>275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277</v>
      </c>
      <c r="B26" s="59" t="s">
        <v>93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279</v>
      </c>
      <c r="B27" s="59" t="s">
        <v>275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709</v>
      </c>
      <c r="B28" s="59" t="s">
        <v>93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999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1000</v>
      </c>
      <c r="B30" s="59" t="s">
        <v>93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937</v>
      </c>
      <c r="B31" s="59" t="s">
        <v>938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1001</v>
      </c>
      <c r="B32" s="59" t="s">
        <v>275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1002</v>
      </c>
      <c r="B33" s="59" t="s">
        <v>275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1003</v>
      </c>
      <c r="B34" s="59" t="s">
        <v>477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1004</v>
      </c>
      <c r="B35" s="59" t="s">
        <v>297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1005</v>
      </c>
      <c r="B36" s="59" t="s">
        <v>1006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1007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1008</v>
      </c>
      <c r="B38" s="59" t="s">
        <v>938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1001</v>
      </c>
      <c r="B39" s="59" t="s">
        <v>275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1009</v>
      </c>
      <c r="B40" s="59" t="s">
        <v>275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1003</v>
      </c>
      <c r="B41" s="59" t="s">
        <v>477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1010</v>
      </c>
      <c r="B42" s="59" t="s">
        <v>297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1011</v>
      </c>
      <c r="B43" s="59" t="s">
        <v>1006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1012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945</v>
      </c>
      <c r="B45" s="59" t="s">
        <v>938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1001</v>
      </c>
      <c r="B46" s="59" t="s">
        <v>275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1009</v>
      </c>
      <c r="B47" s="59" t="s">
        <v>275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1003</v>
      </c>
      <c r="B48" s="59" t="s">
        <v>477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1013</v>
      </c>
      <c r="B49" s="59" t="s">
        <v>297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1014</v>
      </c>
      <c r="B50" s="59" t="s">
        <v>93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1015</v>
      </c>
      <c r="B51" s="59" t="s">
        <v>1006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1016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1017</v>
      </c>
      <c r="B53" s="59" t="s">
        <v>938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1018</v>
      </c>
      <c r="B54" s="59" t="s">
        <v>275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1019</v>
      </c>
      <c r="B55" s="59" t="s">
        <v>275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1020</v>
      </c>
      <c r="B56" s="58" t="s">
        <v>312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1021</v>
      </c>
      <c r="B57" s="58" t="s">
        <v>312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1022</v>
      </c>
      <c r="B58" s="59" t="s">
        <v>938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1023</v>
      </c>
      <c r="B59" s="59" t="s">
        <v>787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1024</v>
      </c>
      <c r="B60" s="59" t="s">
        <v>787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1025</v>
      </c>
      <c r="B61" s="59" t="s">
        <v>477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1026</v>
      </c>
      <c r="B62" s="59" t="s">
        <v>477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1027</v>
      </c>
      <c r="B63" s="59" t="s">
        <v>93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1028</v>
      </c>
      <c r="B64" s="59" t="s">
        <v>89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1029</v>
      </c>
      <c r="B65" s="59" t="s">
        <v>1006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59" t="s">
        <v>1030</v>
      </c>
      <c r="B66" s="59" t="s">
        <v>297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1031</v>
      </c>
      <c r="B67" s="59" t="s">
        <v>938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1032</v>
      </c>
      <c r="B68" s="59" t="s">
        <v>275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1033</v>
      </c>
      <c r="B69" s="59" t="s">
        <v>477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1034</v>
      </c>
      <c r="B70" s="59" t="s">
        <v>297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1035</v>
      </c>
      <c r="B71" s="59" t="s">
        <v>93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1036</v>
      </c>
      <c r="B72" s="59" t="s">
        <v>1006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1037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1038</v>
      </c>
      <c r="B74" s="59" t="s">
        <v>1006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1039</v>
      </c>
      <c r="B75" s="59" t="s">
        <v>1006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59" t="s">
        <v>1040</v>
      </c>
      <c r="B76" s="59" t="s">
        <v>297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1041</v>
      </c>
      <c r="B77" s="59" t="s">
        <v>89</v>
      </c>
      <c r="C77" s="99" t="n">
        <f aca="false">C76/(C75*3600*C12*1000000000000000)</f>
        <v>0.0761956076461837</v>
      </c>
      <c r="D77" s="99" t="n">
        <f aca="false">D76/(D75*3600*D12*1000000000000000)</f>
        <v>0.0716763337592282</v>
      </c>
      <c r="E77" s="99" t="n">
        <f aca="false">E76/(E75*3600*E12*1000000000000000)</f>
        <v>0.0647492613469604</v>
      </c>
      <c r="F77" s="99" t="n">
        <f aca="false">F76/(F75*3600*F12*1000000000000000)</f>
        <v>0.0901475818714053</v>
      </c>
      <c r="G77" s="99" t="n">
        <f aca="false">G76/(G75*3600*G12*1000000000000000)</f>
        <v>0.0874404965486068</v>
      </c>
      <c r="H77" s="99" t="n">
        <f aca="false">H76/(H75*3600*H12*1000000000000000)</f>
        <v>0.0807474836755068</v>
      </c>
      <c r="I77" s="99" t="n">
        <f aca="false">I76/(I75*3600*I12*1000000000000000)</f>
        <v>0.106320482312473</v>
      </c>
      <c r="J77" s="99" t="n">
        <f aca="false">J76/(J75*3600*J12*1000000000000000)</f>
        <v>0.103815837007901</v>
      </c>
      <c r="K77" s="99" t="n">
        <f aca="false">K76/(K75*3600*K12*1000000000000000)</f>
        <v>0.0961724702603611</v>
      </c>
      <c r="L77" s="99" t="n">
        <f aca="false">L76/(L75*3600*L12*1000000000000000)</f>
        <v>0.0746224482738129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0.0853336117258793</v>
      </c>
      <c r="P77" s="99" t="n">
        <f aca="false">P76/(P75*3600*P12*1000000000000000)</f>
        <v>0.0842149737466073</v>
      </c>
      <c r="Q77" s="99" t="n">
        <f aca="false">Q76/(Q75*3600*Q12*1000000000000000)</f>
        <v>0.0798187502820238</v>
      </c>
    </row>
    <row r="78" customFormat="false" ht="15" hidden="false" customHeight="false" outlineLevel="0" collapsed="false">
      <c r="A78" s="59" t="s">
        <v>1042</v>
      </c>
      <c r="B78" s="59" t="s">
        <v>93</v>
      </c>
      <c r="C78" s="102" t="n">
        <f aca="false">C75/C36</f>
        <v>0.413319701849183</v>
      </c>
      <c r="D78" s="102" t="n">
        <f aca="false">D75/D36</f>
        <v>0.421321877277866</v>
      </c>
      <c r="E78" s="102" t="n">
        <f aca="false">E75/E36</f>
        <v>1.31497217597881</v>
      </c>
      <c r="F78" s="102" t="n">
        <f aca="false">F75/F36</f>
        <v>0.349350977372445</v>
      </c>
      <c r="G78" s="102" t="n">
        <f aca="false">G75/G36</f>
        <v>0.345364089727531</v>
      </c>
      <c r="H78" s="102" t="n">
        <f aca="false">H75/H36</f>
        <v>1.05444124337784</v>
      </c>
      <c r="I78" s="102" t="n">
        <f aca="false">I75/I36</f>
        <v>0.296209583981951</v>
      </c>
      <c r="J78" s="102" t="n">
        <f aca="false">J75/J36</f>
        <v>0.2908882533359</v>
      </c>
      <c r="K78" s="102" t="n">
        <f aca="false">K75/K36</f>
        <v>0.885320683309161</v>
      </c>
      <c r="L78" s="102" t="n">
        <f aca="false">L75/L36</f>
        <v>0.379829822080908</v>
      </c>
      <c r="M78" s="102" t="n">
        <f aca="false">M75/M36</f>
        <v>0.371397626434424</v>
      </c>
      <c r="N78" s="102" t="n">
        <f aca="false">N75/N36</f>
        <v>1.12717162997901</v>
      </c>
      <c r="O78" s="102" t="n">
        <f aca="false">O75/O36</f>
        <v>0.332153188852878</v>
      </c>
      <c r="P78" s="102" t="n">
        <f aca="false">P75/P36</f>
        <v>0.322732710551306</v>
      </c>
      <c r="Q78" s="102" t="n">
        <f aca="false">Q75/Q36</f>
        <v>0.960039202656464</v>
      </c>
    </row>
    <row r="79" customFormat="false" ht="15" hidden="false" customHeight="false" outlineLevel="0" collapsed="false">
      <c r="A79" s="59" t="s">
        <v>1043</v>
      </c>
      <c r="B79" s="59" t="s">
        <v>93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1044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1045</v>
      </c>
      <c r="B81" s="59" t="s">
        <v>938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1046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1047</v>
      </c>
      <c r="B83" s="59" t="s">
        <v>938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1048</v>
      </c>
      <c r="B84" s="59" t="s">
        <v>787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1049</v>
      </c>
      <c r="B85" s="59" t="s">
        <v>477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1050</v>
      </c>
      <c r="B86" s="59" t="s">
        <v>1006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8" t="s">
        <v>1051</v>
      </c>
      <c r="B87" s="59" t="s">
        <v>1006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1052</v>
      </c>
      <c r="B88" s="59" t="s">
        <v>297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1053</v>
      </c>
      <c r="B89" s="59" t="s">
        <v>1006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1054</v>
      </c>
      <c r="B90" s="59" t="s">
        <v>1006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8" t="s">
        <v>1055</v>
      </c>
      <c r="B91" s="59" t="s">
        <v>297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1056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1057</v>
      </c>
      <c r="B93" s="59" t="s">
        <v>938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1058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1059</v>
      </c>
      <c r="B95" s="59" t="s">
        <v>787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1060</v>
      </c>
      <c r="B96" s="59" t="s">
        <v>477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1061</v>
      </c>
      <c r="B97" s="59" t="s">
        <v>1006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8" t="s">
        <v>1062</v>
      </c>
      <c r="B98" s="59" t="s">
        <v>297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961</v>
      </c>
      <c r="B99" s="59" t="s">
        <v>938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1063</v>
      </c>
      <c r="B100" s="59" t="s">
        <v>1006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8" t="s">
        <v>1064</v>
      </c>
      <c r="B101" s="59" t="s">
        <v>297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1065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1066</v>
      </c>
      <c r="B103" s="59" t="s">
        <v>1006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1067</v>
      </c>
      <c r="B104" s="59" t="s">
        <v>1006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8" t="s">
        <v>1068</v>
      </c>
      <c r="B105" s="59" t="s">
        <v>1006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8" t="s">
        <v>1069</v>
      </c>
      <c r="B106" s="59" t="s">
        <v>1006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8" t="s">
        <v>1070</v>
      </c>
      <c r="B107" s="59" t="s">
        <v>297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1071</v>
      </c>
      <c r="B108" s="59" t="s">
        <v>297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1072</v>
      </c>
      <c r="B109" s="59" t="s">
        <v>297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1073</v>
      </c>
      <c r="B110" s="59" t="s">
        <v>89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1074</v>
      </c>
      <c r="B111" s="59" t="s">
        <v>89</v>
      </c>
      <c r="C111" s="99" t="n">
        <f aca="false">C104/(C103+C104)</f>
        <v>0.30539979787603</v>
      </c>
      <c r="D111" s="99" t="n">
        <f aca="false">D104/(D103+D104)</f>
        <v>0.309968546647496</v>
      </c>
      <c r="E111" s="99" t="n">
        <f aca="false">E104/(E103+E104)</f>
        <v>0.55968476412224</v>
      </c>
      <c r="F111" s="99" t="n">
        <f aca="false">F104/(F103+F104)</f>
        <v>0.269893093641953</v>
      </c>
      <c r="G111" s="99" t="n">
        <f aca="false">G104/(G103+G104)</f>
        <v>0.267986465704979</v>
      </c>
      <c r="H111" s="99" t="n">
        <f aca="false">H104/(H103+H104)</f>
        <v>0.504541712883535</v>
      </c>
      <c r="I111" s="99" t="n">
        <f aca="false">I104/(I103+I104)</f>
        <v>0.238707389111481</v>
      </c>
      <c r="J111" s="99" t="n">
        <f aca="false">J104/(J103+J104)</f>
        <v>0.235738956226448</v>
      </c>
      <c r="K111" s="99" t="n">
        <f aca="false">K104/(K103+K104)</f>
        <v>0.460983664042966</v>
      </c>
      <c r="L111" s="99" t="n">
        <f aca="false">L104/(L103+L104)</f>
        <v>0.286511860627156</v>
      </c>
      <c r="M111" s="99" t="n">
        <f aca="false">M104/(M103+M104)</f>
        <v>0.282310936548276</v>
      </c>
      <c r="N111" s="99" t="n">
        <f aca="false">N104/(N103+N104)</f>
        <v>0.521148040333377</v>
      </c>
      <c r="O111" s="99" t="n">
        <f aca="false">O104/(O103+O104)</f>
        <v>0.26008816948871</v>
      </c>
      <c r="P111" s="99" t="n">
        <f aca="false">P104/(P103+P104)</f>
        <v>0.254949018157508</v>
      </c>
      <c r="Q111" s="99" t="n">
        <f aca="false">Q104/(Q103+Q104)</f>
        <v>0.481150986813593</v>
      </c>
    </row>
    <row r="112" customFormat="false" ht="15" hidden="false" customHeight="false" outlineLevel="0" collapsed="false">
      <c r="A112" s="58" t="s">
        <v>1075</v>
      </c>
      <c r="B112" s="59" t="s">
        <v>1006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8" t="s">
        <v>1076</v>
      </c>
      <c r="B113" s="59" t="s">
        <v>1006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1077</v>
      </c>
      <c r="B114" s="59" t="s">
        <v>89</v>
      </c>
      <c r="C114" s="101" t="n">
        <f aca="false">C112/C106</f>
        <v>0.563529108386896</v>
      </c>
      <c r="D114" s="101" t="n">
        <f aca="false">D112/D106</f>
        <v>0.453844452504754</v>
      </c>
      <c r="E114" s="101" t="n">
        <f aca="false">E112/E106</f>
        <v>0.399400349629498</v>
      </c>
      <c r="F114" s="101" t="n">
        <f aca="false">F112/F106</f>
        <v>0.468873776625292</v>
      </c>
      <c r="G114" s="101" t="n">
        <f aca="false">G112/G106</f>
        <v>0.360557968752346</v>
      </c>
      <c r="H114" s="101" t="n">
        <f aca="false">H112/H106</f>
        <v>0.310530854618597</v>
      </c>
      <c r="I114" s="101" t="n">
        <f aca="false">I112/I106</f>
        <v>0.377763233719673</v>
      </c>
      <c r="J114" s="101" t="n">
        <f aca="false">J112/J106</f>
        <v>0.278677028573849</v>
      </c>
      <c r="K114" s="101" t="n">
        <f aca="false">K112/K106</f>
        <v>0.2375249280719</v>
      </c>
      <c r="L114" s="101" t="n">
        <f aca="false">L112/L106</f>
        <v>0.502022119041945</v>
      </c>
      <c r="M114" s="101" t="n">
        <f aca="false">M112/M106</f>
        <v>0.391159262955</v>
      </c>
      <c r="N114" s="101" t="n">
        <f aca="false">N112/N106</f>
        <v>0.337769132370908</v>
      </c>
      <c r="O114" s="101" t="n">
        <f aca="false">O112/O106</f>
        <v>0.425237389883087</v>
      </c>
      <c r="P114" s="101" t="n">
        <f aca="false">P112/P106</f>
        <v>0.320544061824616</v>
      </c>
      <c r="Q114" s="101" t="n">
        <f aca="false">Q112/Q106</f>
        <v>0.271613044522394</v>
      </c>
    </row>
    <row r="115" customFormat="false" ht="15" hidden="false" customHeight="false" outlineLevel="0" collapsed="false">
      <c r="A115" s="58" t="s">
        <v>1078</v>
      </c>
      <c r="B115" s="59" t="s">
        <v>861</v>
      </c>
      <c r="C115" s="110" t="n">
        <f aca="false">C106*C19/1000000</f>
        <v>9.86362282325948</v>
      </c>
      <c r="D115" s="110" t="n">
        <f aca="false">D106*D19/1000000</f>
        <v>28.0738114572123</v>
      </c>
      <c r="E115" s="110" t="n">
        <f aca="false">E106*E19/1000000</f>
        <v>173.053822782489</v>
      </c>
      <c r="F115" s="110" t="n">
        <f aca="false">F106*F19/1000000</f>
        <v>4.17715735160942</v>
      </c>
      <c r="G115" s="110" t="n">
        <f aca="false">G106*G19/1000000</f>
        <v>12.3567251189942</v>
      </c>
      <c r="H115" s="110" t="n">
        <f aca="false">H106*H19/1000000</f>
        <v>77.6851974236113</v>
      </c>
      <c r="I115" s="110" t="n">
        <f aca="false">I106*I19/1000000</f>
        <v>4.53006082719016</v>
      </c>
      <c r="J115" s="110" t="n">
        <f aca="false">J106*J19/1000000</f>
        <v>13.9173299912937</v>
      </c>
      <c r="K115" s="110" t="n">
        <f aca="false">K106*K19/1000000</f>
        <v>89.2500735203584</v>
      </c>
      <c r="L115" s="110" t="n">
        <f aca="false">L106*L19/1000000</f>
        <v>3.36863635569634</v>
      </c>
      <c r="M115" s="110" t="n">
        <f aca="false">M106*M19/1000000</f>
        <v>9.8126535738025</v>
      </c>
      <c r="N115" s="110" t="n">
        <f aca="false">N106*N19/1000000</f>
        <v>61.1546231086832</v>
      </c>
      <c r="O115" s="110" t="n">
        <f aca="false">O106*O19/1000000</f>
        <v>2.74547464356203</v>
      </c>
      <c r="P115" s="110" t="n">
        <f aca="false">P106*P19/1000000</f>
        <v>8.27124018657791</v>
      </c>
      <c r="Q115" s="110" t="n">
        <f aca="false">Q106*Q19/1000000</f>
        <v>52.3020023235234</v>
      </c>
    </row>
    <row r="116" customFormat="false" ht="15" hidden="false" customHeight="false" outlineLevel="0" collapsed="false">
      <c r="A116" s="58" t="s">
        <v>1079</v>
      </c>
      <c r="B116" s="59" t="s">
        <v>861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8" t="s">
        <v>1080</v>
      </c>
      <c r="B117" s="59" t="s">
        <v>89</v>
      </c>
      <c r="C117" s="143" t="n">
        <f aca="false">C106/(C18*8760)</f>
        <v>0.00101654478955111</v>
      </c>
      <c r="D117" s="143" t="n">
        <f aca="false">D106/(D18*8760)</f>
        <v>0.00289328650040966</v>
      </c>
      <c r="E117" s="143" t="n">
        <f aca="false">E106/(E18*8760)</f>
        <v>0.0178349238422427</v>
      </c>
      <c r="F117" s="143" t="n">
        <f aca="false">F106/(F18*8760)</f>
        <v>0.00047316255233276</v>
      </c>
      <c r="G117" s="143" t="n">
        <f aca="false">G106/(G18*8760)</f>
        <v>0.00139969340478039</v>
      </c>
      <c r="H117" s="143" t="n">
        <f aca="false">H106/(H18*8760)</f>
        <v>0.00879969874184123</v>
      </c>
      <c r="I117" s="143" t="n">
        <f aca="false">I106/(I18*8760)</f>
        <v>0.000416120687186266</v>
      </c>
      <c r="J117" s="143" t="n">
        <f aca="false">J106/(J18*8760)</f>
        <v>0.00127841305905098</v>
      </c>
      <c r="K117" s="143" t="n">
        <f aca="false">K106/(K18*8760)</f>
        <v>0.00819830093710954</v>
      </c>
      <c r="L117" s="143" t="n">
        <f aca="false">L106/(L18*8760)</f>
        <v>0.000275542460035546</v>
      </c>
      <c r="M117" s="143" t="n">
        <f aca="false">M106/(M18*8760)</f>
        <v>0.000802640124877243</v>
      </c>
      <c r="N117" s="143" t="n">
        <f aca="false">N106/(N18*8760)</f>
        <v>0.00500223043232874</v>
      </c>
      <c r="O117" s="143" t="n">
        <f aca="false">O106/(O18*8760)</f>
        <v>0.000178806065737157</v>
      </c>
      <c r="P117" s="143" t="n">
        <f aca="false">P106/(P18*8760)</f>
        <v>0.000538685695020754</v>
      </c>
      <c r="Q117" s="143" t="n">
        <f aca="false">Q106/(Q18*8760)</f>
        <v>0.00340630181654548</v>
      </c>
    </row>
    <row r="118" customFormat="false" ht="15" hidden="false" customHeight="false" outlineLevel="0" collapsed="false">
      <c r="A118" s="73" t="s">
        <v>1081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1082</v>
      </c>
      <c r="B119" s="59" t="s">
        <v>93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1083</v>
      </c>
      <c r="B120" s="59" t="s">
        <v>1006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8" t="s">
        <v>1084</v>
      </c>
      <c r="B121" s="59" t="s">
        <v>1006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8" t="s">
        <v>1085</v>
      </c>
      <c r="B122" s="59" t="s">
        <v>861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8" t="s">
        <v>1086</v>
      </c>
      <c r="B123" s="59" t="s">
        <v>89</v>
      </c>
      <c r="C123" s="98" t="n">
        <f aca="false">C120/(C18*8760)</f>
        <v>0.00813235831640886</v>
      </c>
      <c r="D123" s="98" t="n">
        <f aca="false">D120/(D18*8760)</f>
        <v>0.0231462920032773</v>
      </c>
      <c r="E123" s="98" t="n">
        <f aca="false">E120/(E18*8760)</f>
        <v>0.142679390737942</v>
      </c>
      <c r="F123" s="98" t="n">
        <f aca="false">F120/(F18*8760)</f>
        <v>0.00378530041866208</v>
      </c>
      <c r="G123" s="98" t="n">
        <f aca="false">G120/(G18*8760)</f>
        <v>0.0111975472382432</v>
      </c>
      <c r="H123" s="98" t="n">
        <f aca="false">H120/(H18*8760)</f>
        <v>0.0703975899347298</v>
      </c>
      <c r="I123" s="98" t="n">
        <f aca="false">I120/(I18*8760)</f>
        <v>0.00332896549749013</v>
      </c>
      <c r="J123" s="98" t="n">
        <f aca="false">J120/(J18*8760)</f>
        <v>0.0102273044724078</v>
      </c>
      <c r="K123" s="98" t="n">
        <f aca="false">K120/(K18*8760)</f>
        <v>0.0655864074968763</v>
      </c>
      <c r="L123" s="98" t="n">
        <f aca="false">L120/(L18*8760)</f>
        <v>0.00220433968028437</v>
      </c>
      <c r="M123" s="98" t="n">
        <f aca="false">M120/(M18*8760)</f>
        <v>0.00642112099901794</v>
      </c>
      <c r="N123" s="98" t="n">
        <f aca="false">N120/(N18*8760)</f>
        <v>0.0400178434586299</v>
      </c>
      <c r="O123" s="98" t="n">
        <f aca="false">O120/(O18*8760)</f>
        <v>0.00143044852589726</v>
      </c>
      <c r="P123" s="98" t="n">
        <f aca="false">P120/(P18*8760)</f>
        <v>0.00430948556016603</v>
      </c>
      <c r="Q123" s="98" t="n">
        <f aca="false">Q120/(Q18*8760)</f>
        <v>0.0272504145323638</v>
      </c>
    </row>
    <row r="124" customFormat="false" ht="15" hidden="false" customHeight="false" outlineLevel="0" collapsed="false">
      <c r="A124" s="73" t="s">
        <v>1087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1088</v>
      </c>
      <c r="B125" s="59" t="s">
        <v>1006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1089</v>
      </c>
      <c r="B126" s="59" t="s">
        <v>1006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8" t="s">
        <v>1090</v>
      </c>
      <c r="B127" s="59" t="s">
        <v>1006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1091</v>
      </c>
      <c r="B128" s="59" t="s">
        <v>1006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8" t="s">
        <v>1092</v>
      </c>
      <c r="B129" s="59" t="s">
        <v>1006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1093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1094</v>
      </c>
      <c r="B131" s="59" t="s">
        <v>1006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8" t="s">
        <v>1095</v>
      </c>
      <c r="B132" s="59" t="s">
        <v>1006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8" t="s">
        <v>1096</v>
      </c>
      <c r="B133" s="59" t="s">
        <v>861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8" t="s">
        <v>1097</v>
      </c>
      <c r="B134" s="59" t="s">
        <v>89</v>
      </c>
      <c r="C134" s="98" t="n">
        <f aca="false">SUMPRODUCT(($C$6:$Q$6=C$6)*$C$123:$Q$123)</f>
        <v>0.173958041057628</v>
      </c>
      <c r="D134" s="98" t="n">
        <f aca="false">SUMPRODUCT(($C$6:$Q$6=D$6)*$C$123:$Q$123)</f>
        <v>0.173958041057628</v>
      </c>
      <c r="E134" s="98" t="n">
        <f aca="false">SUMPRODUCT(($C$6:$Q$6=E$6)*$C$123:$Q$123)</f>
        <v>0.173958041057628</v>
      </c>
      <c r="F134" s="98" t="n">
        <f aca="false">SUMPRODUCT(($C$6:$Q$6=F$6)*$C$123:$Q$123)</f>
        <v>0.0853804375916351</v>
      </c>
      <c r="G134" s="98" t="n">
        <f aca="false">SUMPRODUCT(($C$6:$Q$6=G$6)*$C$123:$Q$123)</f>
        <v>0.0853804375916351</v>
      </c>
      <c r="H134" s="98" t="n">
        <f aca="false">SUMPRODUCT(($C$6:$Q$6=H$6)*$C$123:$Q$123)</f>
        <v>0.0853804375916351</v>
      </c>
      <c r="I134" s="98" t="n">
        <f aca="false">SUMPRODUCT(($C$6:$Q$6=I$6)*$C$123:$Q$123)</f>
        <v>0.0791426774667742</v>
      </c>
      <c r="J134" s="98" t="n">
        <f aca="false">SUMPRODUCT(($C$6:$Q$6=J$6)*$C$123:$Q$123)</f>
        <v>0.0791426774667742</v>
      </c>
      <c r="K134" s="98" t="n">
        <f aca="false">SUMPRODUCT(($C$6:$Q$6=K$6)*$C$123:$Q$123)</f>
        <v>0.0791426774667742</v>
      </c>
      <c r="L134" s="98" t="n">
        <f aca="false">SUMPRODUCT(($C$6:$Q$6=L$6)*$C$123:$Q$123)</f>
        <v>0.0486433041379322</v>
      </c>
      <c r="M134" s="98" t="n">
        <f aca="false">SUMPRODUCT(($C$6:$Q$6=M$6)*$C$123:$Q$123)</f>
        <v>0.0486433041379322</v>
      </c>
      <c r="N134" s="98" t="n">
        <f aca="false">SUMPRODUCT(($C$6:$Q$6=N$6)*$C$123:$Q$123)</f>
        <v>0.0486433041379322</v>
      </c>
      <c r="O134" s="98" t="n">
        <f aca="false">SUMPRODUCT(($C$6:$Q$6=O$6)*$C$123:$Q$123)</f>
        <v>0.0329903486184271</v>
      </c>
      <c r="P134" s="98" t="n">
        <f aca="false">SUMPRODUCT(($C$6:$Q$6=P$6)*$C$123:$Q$123)</f>
        <v>0.0329903486184271</v>
      </c>
      <c r="Q134" s="98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1098</v>
      </c>
    </row>
    <row r="2" customFormat="false" ht="15" hidden="false" customHeight="false" outlineLevel="0" collapsed="false">
      <c r="A2" s="71" t="s">
        <v>1099</v>
      </c>
    </row>
    <row r="3" customFormat="false" ht="43.5" hidden="false" customHeight="true" outlineLevel="0" collapsed="false">
      <c r="A3" s="57" t="s">
        <v>813</v>
      </c>
      <c r="C3" s="118" t="s">
        <v>75</v>
      </c>
      <c r="D3" s="118"/>
      <c r="E3" s="118" t="s">
        <v>1100</v>
      </c>
      <c r="F3" s="118"/>
      <c r="G3" s="118" t="s">
        <v>1101</v>
      </c>
      <c r="H3" s="118"/>
      <c r="I3" s="119" t="s">
        <v>1102</v>
      </c>
      <c r="J3" s="119"/>
      <c r="K3" s="118" t="s">
        <v>1103</v>
      </c>
      <c r="L3" s="118"/>
      <c r="M3" s="118" t="s">
        <v>1104</v>
      </c>
      <c r="N3" s="118"/>
      <c r="O3" s="119" t="s">
        <v>1105</v>
      </c>
      <c r="P3" s="119"/>
      <c r="Q3" s="119" t="s">
        <v>1106</v>
      </c>
      <c r="R3" s="119"/>
      <c r="S3" s="119" t="s">
        <v>1107</v>
      </c>
      <c r="T3" s="119"/>
      <c r="U3" s="119" t="s">
        <v>1108</v>
      </c>
      <c r="V3" s="119"/>
      <c r="W3" s="119" t="s">
        <v>1109</v>
      </c>
      <c r="X3" s="119"/>
      <c r="Y3" s="118" t="s">
        <v>1110</v>
      </c>
      <c r="Z3" s="118"/>
      <c r="AA3" s="118" t="s">
        <v>1111</v>
      </c>
      <c r="AB3" s="118"/>
      <c r="AC3" s="118" t="s">
        <v>1112</v>
      </c>
      <c r="AD3" s="118"/>
      <c r="AE3" s="118" t="s">
        <v>1113</v>
      </c>
      <c r="AF3" s="118"/>
      <c r="AG3" s="119" t="s">
        <v>1114</v>
      </c>
      <c r="AH3" s="119"/>
    </row>
    <row r="4" customFormat="false" ht="15" hidden="false" customHeight="false" outlineLevel="0" collapsed="false">
      <c r="A4" s="57" t="s">
        <v>161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57" t="s">
        <v>706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7" t="s">
        <v>436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57" t="s">
        <v>707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57" t="s">
        <v>1115</v>
      </c>
      <c r="B8" s="59" t="s">
        <v>93</v>
      </c>
      <c r="C8" s="56" t="s">
        <v>604</v>
      </c>
      <c r="D8" s="56" t="s">
        <v>604</v>
      </c>
      <c r="E8" s="56" t="s">
        <v>604</v>
      </c>
      <c r="F8" s="56" t="s">
        <v>604</v>
      </c>
      <c r="G8" s="56" t="s">
        <v>604</v>
      </c>
      <c r="H8" s="56" t="s">
        <v>604</v>
      </c>
      <c r="I8" s="56" t="s">
        <v>604</v>
      </c>
      <c r="J8" s="56" t="s">
        <v>604</v>
      </c>
      <c r="K8" s="56" t="s">
        <v>604</v>
      </c>
      <c r="L8" s="56" t="s">
        <v>604</v>
      </c>
      <c r="M8" s="56" t="s">
        <v>604</v>
      </c>
      <c r="N8" s="56" t="s">
        <v>604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604</v>
      </c>
      <c r="T8" s="56" t="s">
        <v>604</v>
      </c>
      <c r="U8" s="56" t="s">
        <v>604</v>
      </c>
      <c r="V8" s="56" t="s">
        <v>604</v>
      </c>
      <c r="W8" s="56" t="s">
        <v>604</v>
      </c>
      <c r="X8" s="56" t="s">
        <v>604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604</v>
      </c>
      <c r="AD8" s="56" t="s">
        <v>604</v>
      </c>
      <c r="AE8" s="56" t="s">
        <v>604</v>
      </c>
      <c r="AF8" s="56" t="s">
        <v>604</v>
      </c>
      <c r="AG8" s="56" t="s">
        <v>604</v>
      </c>
      <c r="AH8" s="56" t="s">
        <v>604</v>
      </c>
    </row>
    <row r="9" customFormat="false" ht="15" hidden="false" customHeight="false" outlineLevel="0" collapsed="false">
      <c r="A9" s="73" t="s">
        <v>987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988</v>
      </c>
      <c r="B10" s="59" t="s">
        <v>460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989</v>
      </c>
      <c r="B11" s="59" t="s">
        <v>93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990</v>
      </c>
      <c r="B12" s="59" t="s">
        <v>460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991</v>
      </c>
      <c r="B13" s="59" t="s">
        <v>89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992</v>
      </c>
      <c r="B14" s="59" t="s">
        <v>93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993</v>
      </c>
      <c r="B15" s="59" t="s">
        <v>93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994</v>
      </c>
      <c r="B16" s="59" t="s">
        <v>89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995</v>
      </c>
      <c r="B17" s="59" t="s">
        <v>89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996</v>
      </c>
      <c r="B18" s="58" t="s">
        <v>719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997</v>
      </c>
      <c r="B19" s="59" t="s">
        <v>836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998</v>
      </c>
      <c r="B20" s="59" t="s">
        <v>836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728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257</v>
      </c>
      <c r="B22" s="59" t="s">
        <v>254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471</v>
      </c>
      <c r="B23" s="59" t="s">
        <v>297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272</v>
      </c>
      <c r="B24" s="59" t="s">
        <v>89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731</v>
      </c>
      <c r="B25" s="59" t="s">
        <v>275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277</v>
      </c>
      <c r="B26" s="59" t="s">
        <v>93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279</v>
      </c>
      <c r="B27" s="59" t="s">
        <v>275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709</v>
      </c>
      <c r="B28" s="59" t="s">
        <v>93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999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1000</v>
      </c>
      <c r="B30" s="59" t="s">
        <v>93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937</v>
      </c>
      <c r="B31" s="59" t="s">
        <v>938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1001</v>
      </c>
      <c r="B32" s="59" t="s">
        <v>275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1002</v>
      </c>
      <c r="B33" s="59" t="s">
        <v>275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1003</v>
      </c>
      <c r="B34" s="59" t="s">
        <v>477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1004</v>
      </c>
      <c r="B35" s="59" t="s">
        <v>297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1005</v>
      </c>
      <c r="B36" s="59" t="s">
        <v>1006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1007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1008</v>
      </c>
      <c r="B38" s="59" t="s">
        <v>938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1001</v>
      </c>
      <c r="B39" s="59" t="s">
        <v>275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1009</v>
      </c>
      <c r="B40" s="59" t="s">
        <v>275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1003</v>
      </c>
      <c r="B41" s="59" t="s">
        <v>477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1010</v>
      </c>
      <c r="B42" s="59" t="s">
        <v>297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1011</v>
      </c>
      <c r="B43" s="59" t="s">
        <v>1006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1012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945</v>
      </c>
      <c r="B45" s="59" t="s">
        <v>938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1001</v>
      </c>
      <c r="B46" s="59" t="s">
        <v>275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1009</v>
      </c>
      <c r="B47" s="59" t="s">
        <v>275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1003</v>
      </c>
      <c r="B48" s="59" t="s">
        <v>477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1013</v>
      </c>
      <c r="B49" s="59" t="s">
        <v>297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1014</v>
      </c>
      <c r="B50" s="59" t="s">
        <v>93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1015</v>
      </c>
      <c r="B51" s="59" t="s">
        <v>1006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1016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1017</v>
      </c>
      <c r="B53" s="59" t="s">
        <v>938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1018</v>
      </c>
      <c r="B54" s="59" t="s">
        <v>275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1019</v>
      </c>
      <c r="B55" s="59" t="s">
        <v>275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1020</v>
      </c>
      <c r="B56" s="58" t="s">
        <v>312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1021</v>
      </c>
      <c r="B57" s="58" t="s">
        <v>312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1022</v>
      </c>
      <c r="B58" s="59" t="s">
        <v>938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1023</v>
      </c>
      <c r="B59" s="59" t="s">
        <v>787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1024</v>
      </c>
      <c r="B60" s="59" t="s">
        <v>787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1025</v>
      </c>
      <c r="B61" s="59" t="s">
        <v>477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1026</v>
      </c>
      <c r="B62" s="59" t="s">
        <v>477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1027</v>
      </c>
      <c r="B63" s="59" t="s">
        <v>93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1028</v>
      </c>
      <c r="B64" s="59" t="s">
        <v>89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1029</v>
      </c>
      <c r="B65" s="59" t="s">
        <v>1006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59" t="s">
        <v>1030</v>
      </c>
      <c r="B66" s="59" t="s">
        <v>297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1031</v>
      </c>
      <c r="B67" s="59" t="s">
        <v>938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1032</v>
      </c>
      <c r="B68" s="59" t="s">
        <v>275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1033</v>
      </c>
      <c r="B69" s="59" t="s">
        <v>477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1034</v>
      </c>
      <c r="B70" s="59" t="s">
        <v>297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1035</v>
      </c>
      <c r="B71" s="59" t="s">
        <v>93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1036</v>
      </c>
      <c r="B72" s="59" t="s">
        <v>1006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1037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1038</v>
      </c>
      <c r="B74" s="59" t="s">
        <v>1006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1039</v>
      </c>
      <c r="B75" s="59" t="s">
        <v>1006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59" t="s">
        <v>1040</v>
      </c>
      <c r="B76" s="59" t="s">
        <v>297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1041</v>
      </c>
      <c r="B77" s="59" t="s">
        <v>89</v>
      </c>
      <c r="C77" s="99" t="n">
        <f aca="false">C76/(C75*3600*C12*1000000000000000)</f>
        <v>0.0731801304364245</v>
      </c>
      <c r="D77" s="99" t="n">
        <f aca="false">D76/(D75*3600*D12*1000000000000000)</f>
        <v>0.0679835504547044</v>
      </c>
      <c r="E77" s="99" t="n">
        <f aca="false">E76/(E75*3600*E12*1000000000000000)</f>
        <v>0.0551645041626229</v>
      </c>
      <c r="F77" s="99" t="n">
        <f aca="false">F76/(F75*3600*F12*1000000000000000)</f>
        <v>0.0523260548994102</v>
      </c>
      <c r="G77" s="99" t="n">
        <f aca="false">G76/(G75*3600*G12*1000000000000000)</f>
        <v>0.0896487134468116</v>
      </c>
      <c r="H77" s="99" t="n">
        <f aca="false">H76/(H75*3600*H12*1000000000000000)</f>
        <v>0.0817420988587947</v>
      </c>
      <c r="I77" s="99" t="n">
        <f aca="false">I76/(I75*3600*I12*1000000000000000)</f>
        <v>0.0484594927167788</v>
      </c>
      <c r="J77" s="99" t="n">
        <f aca="false">J76/(J75*3600*J12*1000000000000000)</f>
        <v>0.0438276722499491</v>
      </c>
      <c r="K77" s="99" t="n">
        <f aca="false">K76/(K75*3600*K12*1000000000000000)</f>
        <v>0.0731801304364245</v>
      </c>
      <c r="L77" s="99" t="n">
        <f aca="false">L76/(L75*3600*L12*1000000000000000)</f>
        <v>0.0679835504547044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0.0731801304364245</v>
      </c>
      <c r="P77" s="99" t="n">
        <f aca="false">P76/(P75*3600*P12*1000000000000000)</f>
        <v>0.0679835504547044</v>
      </c>
      <c r="Q77" s="99" t="n">
        <f aca="false">Q76/(Q75*3600*Q12*1000000000000000)</f>
        <v>0.0731801304364245</v>
      </c>
      <c r="R77" s="99" t="n">
        <f aca="false">R76/(R75*3600*R12*1000000000000000)</f>
        <v>0.0679835504547043</v>
      </c>
      <c r="S77" s="99" t="n">
        <f aca="false">S76/(S75*3600*S12*1000000000000000)</f>
        <v>0.0603520520242173</v>
      </c>
      <c r="T77" s="99" t="n">
        <f aca="false">T76/(T75*3600*T12*1000000000000000)</f>
        <v>0.0552869889175818</v>
      </c>
      <c r="U77" s="99" t="n">
        <f aca="false">U76/(U75*3600*U12*1000000000000000)</f>
        <v>0.0773327349427606</v>
      </c>
      <c r="V77" s="99" t="n">
        <f aca="false">V76/(V75*3600*V12*1000000000000000)</f>
        <v>0.0721706310792297</v>
      </c>
      <c r="W77" s="99" t="n">
        <f aca="false">W76/(W75*3600*W12*1000000000000000)</f>
        <v>0.0579831501289786</v>
      </c>
      <c r="X77" s="99" t="n">
        <f aca="false">X76/(X75*3600*X12*1000000000000000)</f>
        <v>0.0528038857607833</v>
      </c>
      <c r="Y77" s="99" t="n">
        <f aca="false">Y76/(Y75*3600*Y12*1000000000000000)</f>
        <v>0.0731801304364245</v>
      </c>
      <c r="Z77" s="99" t="n">
        <f aca="false">Z76/(Z75*3600*Z12*1000000000000000)</f>
        <v>0.0679835504547044</v>
      </c>
      <c r="AA77" s="99" t="n">
        <f aca="false">AA76/(AA75*3600*AA12*1000000000000000)</f>
        <v>0.0731801304364245</v>
      </c>
      <c r="AB77" s="99" t="n">
        <f aca="false">AB76/(AB75*3600*AB12*1000000000000000)</f>
        <v>0.0679835504547044</v>
      </c>
      <c r="AC77" s="99" t="n">
        <f aca="false">AC76/(AC75*3600*AC12*1000000000000000)</f>
        <v>0.0731801304364245</v>
      </c>
      <c r="AD77" s="99" t="n">
        <f aca="false">AD76/(AD75*3600*AD12*1000000000000000)</f>
        <v>0.0679835504547044</v>
      </c>
      <c r="AE77" s="99" t="n">
        <f aca="false">AE76/(AE75*3600*AE12*1000000000000000)</f>
        <v>0.0731801304364245</v>
      </c>
      <c r="AF77" s="99" t="n">
        <f aca="false">AF76/(AF75*3600*AF12*1000000000000000)</f>
        <v>0.0679835504547044</v>
      </c>
      <c r="AG77" s="99" t="n">
        <f aca="false">AG76/(AG75*3600*AG12*1000000000000000)</f>
        <v>0.0689575975598642</v>
      </c>
      <c r="AH77" s="99" t="n">
        <f aca="false">AH76/(AH75*3600*AH12*1000000000000000)</f>
        <v>0.0643719299767436</v>
      </c>
    </row>
    <row r="78" customFormat="false" ht="15" hidden="false" customHeight="false" outlineLevel="0" collapsed="false">
      <c r="A78" s="59" t="s">
        <v>1042</v>
      </c>
      <c r="B78" s="59" t="s">
        <v>93</v>
      </c>
      <c r="C78" s="102" t="n">
        <f aca="false">C75/C36</f>
        <v>0.371397626434424</v>
      </c>
      <c r="D78" s="102" t="n">
        <f aca="false">D75/D36</f>
        <v>1.12717162997901</v>
      </c>
      <c r="E78" s="102" t="n">
        <f aca="false">E75/E36</f>
        <v>0.29561320808171</v>
      </c>
      <c r="F78" s="102" t="n">
        <f aca="false">F75/F36</f>
        <v>0.878672732256604</v>
      </c>
      <c r="G78" s="102" t="n">
        <f aca="false">G75/G36</f>
        <v>0.485074253963496</v>
      </c>
      <c r="H78" s="102" t="n">
        <f aca="false">H75/H36</f>
        <v>1.49991997656263</v>
      </c>
      <c r="I78" s="102" t="n">
        <f aca="false">I75/I36</f>
        <v>0.560858672316211</v>
      </c>
      <c r="J78" s="102" t="n">
        <f aca="false">J75/J36</f>
        <v>1.74841887428504</v>
      </c>
      <c r="K78" s="102" t="n">
        <f aca="false">K75/K36</f>
        <v>0.742795252868848</v>
      </c>
      <c r="L78" s="102" t="n">
        <f aca="false">L75/L36</f>
        <v>2.25434325995803</v>
      </c>
      <c r="M78" s="102" t="n">
        <f aca="false">M75/M36</f>
        <v>0.222393788284086</v>
      </c>
      <c r="N78" s="102" t="n">
        <f aca="false">N75/N36</f>
        <v>0.674953071843721</v>
      </c>
      <c r="O78" s="102" t="n">
        <f aca="false">O75/O36</f>
        <v>0.111419287930327</v>
      </c>
      <c r="P78" s="102" t="n">
        <f aca="false">P75/P36</f>
        <v>0.338151488993704</v>
      </c>
      <c r="Q78" s="102" t="n">
        <f aca="false">Q75/Q36</f>
        <v>1.11419287930327</v>
      </c>
      <c r="R78" s="102" t="n">
        <f aca="false">R75/R36</f>
        <v>3.38151488993704</v>
      </c>
      <c r="S78" s="102" t="n">
        <f aca="false">S75/S36</f>
        <v>0.450339728885169</v>
      </c>
      <c r="T78" s="102" t="n">
        <f aca="false">T75/T36</f>
        <v>1.38602464843986</v>
      </c>
      <c r="U78" s="102" t="n">
        <f aca="false">U75/U36</f>
        <v>0.351454358446868</v>
      </c>
      <c r="V78" s="102" t="n">
        <f aca="false">V75/V36</f>
        <v>1.06177718320996</v>
      </c>
      <c r="W78" s="102" t="n">
        <f aca="false">W75/W36</f>
        <v>0.468738360813312</v>
      </c>
      <c r="X78" s="102" t="n">
        <f aca="false">X75/X36</f>
        <v>1.45120246879068</v>
      </c>
      <c r="Y78" s="102" t="n">
        <f aca="false">Y75/Y36</f>
        <v>0.371397626434424</v>
      </c>
      <c r="Z78" s="102" t="n">
        <f aca="false">Z75/Z36</f>
        <v>1.12717162997901</v>
      </c>
      <c r="AA78" s="102" t="n">
        <f aca="false">AA75/AA36</f>
        <v>0.371397626434424</v>
      </c>
      <c r="AB78" s="102" t="n">
        <f aca="false">AB75/AB36</f>
        <v>1.12717162997901</v>
      </c>
      <c r="AC78" s="102" t="n">
        <f aca="false">AC75/AC36</f>
        <v>0.371397626434424</v>
      </c>
      <c r="AD78" s="102" t="n">
        <f aca="false">AD75/AD36</f>
        <v>1.12717162997901</v>
      </c>
      <c r="AE78" s="102" t="n">
        <f aca="false">AE75/AE36</f>
        <v>0.371397626434424</v>
      </c>
      <c r="AF78" s="102" t="n">
        <f aca="false">AF75/AF36</f>
        <v>1.12717162997901</v>
      </c>
      <c r="AG78" s="102" t="n">
        <f aca="false">AG75/AG36</f>
        <v>0.350346399114226</v>
      </c>
      <c r="AH78" s="102" t="n">
        <f aca="false">AH75/AH36</f>
        <v>1.05814415838946</v>
      </c>
    </row>
    <row r="79" customFormat="false" ht="15" hidden="false" customHeight="false" outlineLevel="0" collapsed="false">
      <c r="A79" s="59" t="s">
        <v>1043</v>
      </c>
      <c r="B79" s="59" t="s">
        <v>93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1044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1045</v>
      </c>
      <c r="B81" s="59" t="s">
        <v>938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1046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1047</v>
      </c>
      <c r="B83" s="59" t="s">
        <v>938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1048</v>
      </c>
      <c r="B84" s="59" t="s">
        <v>787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1049</v>
      </c>
      <c r="B85" s="59" t="s">
        <v>477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1050</v>
      </c>
      <c r="B86" s="59" t="s">
        <v>1006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8" t="s">
        <v>1051</v>
      </c>
      <c r="B87" s="59" t="s">
        <v>1006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1052</v>
      </c>
      <c r="B88" s="59" t="s">
        <v>297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1053</v>
      </c>
      <c r="B89" s="59" t="s">
        <v>1006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1054</v>
      </c>
      <c r="B90" s="59" t="s">
        <v>1006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8" t="s">
        <v>1055</v>
      </c>
      <c r="B91" s="59" t="s">
        <v>297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1056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1057</v>
      </c>
      <c r="B93" s="59" t="s">
        <v>938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1058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1059</v>
      </c>
      <c r="B95" s="59" t="s">
        <v>787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1060</v>
      </c>
      <c r="B96" s="59" t="s">
        <v>477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1061</v>
      </c>
      <c r="B97" s="59" t="s">
        <v>1006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8" t="s">
        <v>1062</v>
      </c>
      <c r="B98" s="59" t="s">
        <v>297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961</v>
      </c>
      <c r="B99" s="59" t="s">
        <v>938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1063</v>
      </c>
      <c r="B100" s="59" t="s">
        <v>1006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8" t="s">
        <v>1064</v>
      </c>
      <c r="B101" s="59" t="s">
        <v>297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1065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1066</v>
      </c>
      <c r="B103" s="59" t="s">
        <v>1006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1067</v>
      </c>
      <c r="B104" s="59" t="s">
        <v>1006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8" t="s">
        <v>1068</v>
      </c>
      <c r="B105" s="59" t="s">
        <v>1006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8" t="s">
        <v>1069</v>
      </c>
      <c r="B106" s="59" t="s">
        <v>1006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8" t="s">
        <v>1070</v>
      </c>
      <c r="B107" s="59" t="s">
        <v>297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1071</v>
      </c>
      <c r="B108" s="59" t="s">
        <v>297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1072</v>
      </c>
      <c r="B109" s="59" t="s">
        <v>297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1073</v>
      </c>
      <c r="B110" s="59" t="s">
        <v>89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1074</v>
      </c>
      <c r="B111" s="59" t="s">
        <v>89</v>
      </c>
      <c r="C111" s="99" t="n">
        <f aca="false">C104/(C103+C104)</f>
        <v>0.282310936548276</v>
      </c>
      <c r="D111" s="99" t="n">
        <f aca="false">D104/(D103+D104)</f>
        <v>0.521148040333377</v>
      </c>
      <c r="E111" s="99" t="n">
        <f aca="false">E104/(E103+E104)</f>
        <v>0.238550549238054</v>
      </c>
      <c r="F111" s="99" t="n">
        <f aca="false">F104/(F103+F104)</f>
        <v>0.459094328259101</v>
      </c>
      <c r="G111" s="99" t="n">
        <f aca="false">G104/(G103+G104)</f>
        <v>0.339269097413852</v>
      </c>
      <c r="H111" s="99" t="n">
        <f aca="false">H104/(H103+H104)</f>
        <v>0.591452109483862</v>
      </c>
      <c r="I111" s="99" t="n">
        <f aca="false">I104/(I103+I104)</f>
        <v>0.372470941924599</v>
      </c>
      <c r="J111" s="99" t="n">
        <f aca="false">J104/(J103+J104)</f>
        <v>0.627875181315398</v>
      </c>
      <c r="K111" s="99" t="n">
        <f aca="false">K104/(K103+K104)</f>
        <v>0.432889775989946</v>
      </c>
      <c r="L111" s="99" t="n">
        <f aca="false">L104/(L103+L104)</f>
        <v>0.673242307637432</v>
      </c>
      <c r="M111" s="99" t="n">
        <f aca="false">M104/(M103+M104)</f>
        <v>0.192557391766836</v>
      </c>
      <c r="N111" s="99" t="n">
        <f aca="false">N104/(N103+N104)</f>
        <v>0.400044990623849</v>
      </c>
      <c r="O111" s="99" t="n">
        <f aca="false">O104/(O103+O104)</f>
        <v>0.123845535250358</v>
      </c>
      <c r="P111" s="99" t="n">
        <f aca="false">P104/(P103+P104)</f>
        <v>0.255863314337605</v>
      </c>
      <c r="Q111" s="99" t="n">
        <f aca="false">Q104/(Q103+Q104)</f>
        <v>0.526826365936355</v>
      </c>
      <c r="R111" s="99" t="n">
        <f aca="false">R104/(R103+R104)</f>
        <v>0.762776805856927</v>
      </c>
      <c r="S111" s="99" t="n">
        <f aca="false">S104/(S103+S104)</f>
        <v>0.322657653641206</v>
      </c>
      <c r="T111" s="99" t="n">
        <f aca="false">T104/(T103+T104)</f>
        <v>0.572220791017293</v>
      </c>
      <c r="U111" s="99" t="n">
        <f aca="false">U104/(U103+U104)</f>
        <v>0.271345927145862</v>
      </c>
      <c r="V111" s="99" t="n">
        <f aca="false">V104/(V103+V104)</f>
        <v>0.506255828892617</v>
      </c>
      <c r="W111" s="99" t="n">
        <f aca="false">W104/(W103+W104)</f>
        <v>0.331412331524224</v>
      </c>
      <c r="X111" s="99" t="n">
        <f aca="false">X104/(X103+X104)</f>
        <v>0.583407458596451</v>
      </c>
      <c r="Y111" s="99" t="n">
        <f aca="false">Y104/(Y103+Y104)</f>
        <v>0.282310936548276</v>
      </c>
      <c r="Z111" s="99" t="n">
        <f aca="false">Z104/(Z103+Z104)</f>
        <v>0.521148040333377</v>
      </c>
      <c r="AA111" s="99" t="n">
        <f aca="false">AA104/(AA103+AA104)</f>
        <v>0.282310936548276</v>
      </c>
      <c r="AB111" s="99" t="n">
        <f aca="false">AB104/(AB103+AB104)</f>
        <v>0.521148040333377</v>
      </c>
      <c r="AC111" s="99" t="n">
        <f aca="false">AC104/(AC103+AC104)</f>
        <v>0.282310936548276</v>
      </c>
      <c r="AD111" s="99" t="n">
        <f aca="false">AD104/(AD103+AD104)</f>
        <v>0.521148040333377</v>
      </c>
      <c r="AE111" s="99" t="n">
        <f aca="false">AE104/(AE103+AE104)</f>
        <v>0.282310936548276</v>
      </c>
      <c r="AF111" s="99" t="n">
        <f aca="false">AF104/(AF103+AF104)</f>
        <v>0.521148040333377</v>
      </c>
      <c r="AG111" s="99" t="n">
        <f aca="false">AG104/(AG103+AG104)</f>
        <v>0.270667991364479</v>
      </c>
      <c r="AH111" s="99" t="n">
        <f aca="false">AH104/(AH103+AH104)</f>
        <v>0.505386086201906</v>
      </c>
    </row>
    <row r="112" customFormat="false" ht="15" hidden="false" customHeight="false" outlineLevel="0" collapsed="false">
      <c r="A112" s="58" t="s">
        <v>1075</v>
      </c>
      <c r="B112" s="59" t="s">
        <v>1006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8" t="s">
        <v>1076</v>
      </c>
      <c r="B113" s="59" t="s">
        <v>1006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1077</v>
      </c>
      <c r="B114" s="59" t="s">
        <v>89</v>
      </c>
      <c r="C114" s="101" t="n">
        <f aca="false">C112/C106</f>
        <v>0.391159262955</v>
      </c>
      <c r="D114" s="101" t="n">
        <f aca="false">D112/D106</f>
        <v>0.337769132370908</v>
      </c>
      <c r="E114" s="101" t="n">
        <f aca="false">E112/E106</f>
        <v>0.278228167791686</v>
      </c>
      <c r="F114" s="101" t="n">
        <f aca="false">F112/F106</f>
        <v>0.234319889768252</v>
      </c>
      <c r="G114" s="101" t="n">
        <f aca="false">G112/G106</f>
        <v>0.506889991454123</v>
      </c>
      <c r="H114" s="101" t="n">
        <f aca="false">H112/H106</f>
        <v>0.449362202947532</v>
      </c>
      <c r="I114" s="101" t="n">
        <f aca="false">I112/I106</f>
        <v>0.562350082224414</v>
      </c>
      <c r="J114" s="101" t="n">
        <f aca="false">J112/J106</f>
        <v>0.504973727076935</v>
      </c>
      <c r="K114" s="101" t="n">
        <f aca="false">K112/K106</f>
        <v>0.519685624264528</v>
      </c>
      <c r="L114" s="101" t="n">
        <f aca="false">L112/L106</f>
        <v>0.427431161656589</v>
      </c>
      <c r="M114" s="101" t="n">
        <f aca="false">M112/M106</f>
        <v>0.293794810184785</v>
      </c>
      <c r="N114" s="101" t="n">
        <f aca="false">N112/N106</f>
        <v>0.263657375862135</v>
      </c>
      <c r="O114" s="101" t="n">
        <f aca="false">O112/O106</f>
        <v>0.373602771651817</v>
      </c>
      <c r="P114" s="101" t="n">
        <f aca="false">P112/P106</f>
        <v>0.232180342397025</v>
      </c>
      <c r="Q114" s="101" t="n">
        <f aca="false">Q112/Q106</f>
        <v>0.423125526068723</v>
      </c>
      <c r="R114" s="101" t="n">
        <f aca="false">R112/R106</f>
        <v>0.441489719474949</v>
      </c>
      <c r="S114" s="101" t="n">
        <f aca="false">S112/S106</f>
        <v>0.415896690459492</v>
      </c>
      <c r="T114" s="101" t="n">
        <f aca="false">T112/T106</f>
        <v>0.403856893551311</v>
      </c>
      <c r="U114" s="101" t="n">
        <f aca="false">U112/U106</f>
        <v>0.384574686273774</v>
      </c>
      <c r="V114" s="101" t="n">
        <f aca="false">V112/V106</f>
        <v>0.318687998021639</v>
      </c>
      <c r="W114" s="101" t="n">
        <f aca="false">W112/W106</f>
        <v>0.421847608093559</v>
      </c>
      <c r="X114" s="101" t="n">
        <f aca="false">X112/X106</f>
        <v>0.419080816282875</v>
      </c>
      <c r="Y114" s="101" t="n">
        <f aca="false">Y112/Y106</f>
        <v>0.14569924162571</v>
      </c>
      <c r="Z114" s="101" t="n">
        <f aca="false">Z112/Z106</f>
        <v>0.288570835065008</v>
      </c>
      <c r="AA114" s="101" t="n">
        <f aca="false">AA112/AA106</f>
        <v>0.613347412568001</v>
      </c>
      <c r="AB114" s="101" t="n">
        <f aca="false">AB112/AB106</f>
        <v>0.418232443710852</v>
      </c>
      <c r="AC114" s="101" t="n">
        <f aca="false">AC112/AC106</f>
        <v>0.391159262955</v>
      </c>
      <c r="AD114" s="101" t="n">
        <f aca="false">AD112/AD106</f>
        <v>0.337769132370908</v>
      </c>
      <c r="AE114" s="101" t="n">
        <f aca="false">AE112/AE106</f>
        <v>0.391159262955</v>
      </c>
      <c r="AF114" s="101" t="n">
        <f aca="false">AF112/AF106</f>
        <v>0.337769132370908</v>
      </c>
      <c r="AG114" s="101" t="n">
        <f aca="false">AG112/AG106</f>
        <v>0.363495411196807</v>
      </c>
      <c r="AH114" s="101" t="n">
        <f aca="false">AH112/AH106</f>
        <v>0.311946552829163</v>
      </c>
    </row>
    <row r="115" customFormat="false" ht="15" hidden="false" customHeight="false" outlineLevel="0" collapsed="false">
      <c r="A115" s="58" t="s">
        <v>1078</v>
      </c>
      <c r="B115" s="59" t="s">
        <v>861</v>
      </c>
      <c r="C115" s="110" t="n">
        <f aca="false">C106*C19/1000000</f>
        <v>9.8126535738025</v>
      </c>
      <c r="D115" s="110" t="n">
        <f aca="false">D106*D19/1000000</f>
        <v>61.1546231086832</v>
      </c>
      <c r="E115" s="110" t="n">
        <f aca="false">E106*E19/1000000</f>
        <v>13.7955490632966</v>
      </c>
      <c r="F115" s="110" t="n">
        <f aca="false">F106*F19/1000000</f>
        <v>88.1536091892121</v>
      </c>
      <c r="G115" s="110" t="n">
        <f aca="false">G106*G19/1000000</f>
        <v>7.57227486096206</v>
      </c>
      <c r="H115" s="110" t="n">
        <f aca="false">H106*H19/1000000</f>
        <v>45.9676934383856</v>
      </c>
      <c r="I115" s="110" t="n">
        <f aca="false">I106*I19/1000000</f>
        <v>6.82548195668191</v>
      </c>
      <c r="J115" s="110" t="n">
        <f aca="false">J106*J19/1000000</f>
        <v>40.9053835482865</v>
      </c>
      <c r="K115" s="110" t="n">
        <f aca="false">K106*K19/1000000</f>
        <v>7.38583128019636</v>
      </c>
      <c r="L115" s="110" t="n">
        <f aca="false">L106*L19/1000000</f>
        <v>48.3262472203314</v>
      </c>
      <c r="M115" s="110" t="n">
        <f aca="false">M106*M19/1000000</f>
        <v>13.0645954472347</v>
      </c>
      <c r="N115" s="110" t="n">
        <f aca="false">N106*N19/1000000</f>
        <v>78.3446467990745</v>
      </c>
      <c r="O115" s="110" t="n">
        <f aca="false">O106*O19/1000000</f>
        <v>8.55081111832965</v>
      </c>
      <c r="P115" s="110" t="n">
        <f aca="false">P106*P19/1000000</f>
        <v>40.9109292046035</v>
      </c>
      <c r="Q115" s="110" t="n">
        <f aca="false">Q106*Q19/1000000</f>
        <v>13.4179177322963</v>
      </c>
      <c r="R115" s="110" t="n">
        <f aca="false">R106*R19/1000000</f>
        <v>118.993748548911</v>
      </c>
      <c r="S115" s="110" t="n">
        <f aca="false">S106*S19/1000000</f>
        <v>10.2282304117417</v>
      </c>
      <c r="T115" s="110" t="n">
        <f aca="false">T106*T19/1000000</f>
        <v>67.9341565518533</v>
      </c>
      <c r="U115" s="110" t="n">
        <f aca="false">U106*U19/1000000</f>
        <v>9.70766574105997</v>
      </c>
      <c r="V115" s="110" t="n">
        <f aca="false">V106*V19/1000000</f>
        <v>59.4418988704086</v>
      </c>
      <c r="W115" s="110" t="n">
        <f aca="false">W106*W19/1000000</f>
        <v>10.3335095000488</v>
      </c>
      <c r="X115" s="110" t="n">
        <f aca="false">X106*X19/1000000</f>
        <v>69.7144805266301</v>
      </c>
      <c r="Y115" s="110" t="n">
        <f aca="false">Y106*Y19/1000000</f>
        <v>6.99325521565751</v>
      </c>
      <c r="Z115" s="110" t="n">
        <f aca="false">Z106*Z19/1000000</f>
        <v>56.9255255714657</v>
      </c>
      <c r="AA115" s="110" t="n">
        <f aca="false">AA106*AA19/1000000</f>
        <v>15.4514502900925</v>
      </c>
      <c r="AB115" s="110" t="n">
        <f aca="false">AB106*AB19/1000000</f>
        <v>69.6128181831181</v>
      </c>
      <c r="AC115" s="110" t="n">
        <f aca="false">AC106*AC19/1000000</f>
        <v>9.8126535738025</v>
      </c>
      <c r="AD115" s="110" t="n">
        <f aca="false">AD106*AD19/1000000</f>
        <v>61.1546231086832</v>
      </c>
      <c r="AE115" s="110" t="n">
        <f aca="false">AE106*AE19/1000000</f>
        <v>9.8126535738025</v>
      </c>
      <c r="AF115" s="110" t="n">
        <f aca="false">AF106*AF19/1000000</f>
        <v>61.1546231086832</v>
      </c>
      <c r="AG115" s="110" t="n">
        <f aca="false">AG106*AG19/1000000</f>
        <v>10.5594464780826</v>
      </c>
      <c r="AH115" s="110" t="n">
        <f aca="false">AH106*AH19/1000000</f>
        <v>66.2169329987823</v>
      </c>
    </row>
    <row r="116" customFormat="false" ht="15" hidden="false" customHeight="false" outlineLevel="0" collapsed="false">
      <c r="A116" s="58" t="s">
        <v>1079</v>
      </c>
      <c r="B116" s="59" t="s">
        <v>861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8" t="s">
        <v>1080</v>
      </c>
      <c r="B117" s="59" t="s">
        <v>89</v>
      </c>
      <c r="C117" s="143" t="n">
        <f aca="false">C106/(C18*8760)</f>
        <v>0.000802640124877243</v>
      </c>
      <c r="D117" s="143" t="n">
        <f aca="false">D106/(D18*8760)</f>
        <v>0.00500223043232874</v>
      </c>
      <c r="E117" s="143" t="n">
        <f aca="false">E106/(E18*8760)</f>
        <v>0.00112842679501868</v>
      </c>
      <c r="F117" s="143" t="n">
        <f aca="false">F106/(F18*8760)</f>
        <v>0.00721065136518321</v>
      </c>
      <c r="G117" s="143" t="n">
        <f aca="false">G106/(G18*8760)</f>
        <v>0.000619385122922686</v>
      </c>
      <c r="H117" s="143" t="n">
        <f aca="false">H106/(H18*8760)</f>
        <v>0.00375999365759809</v>
      </c>
      <c r="I117" s="143" t="n">
        <f aca="false">I106/(I18*8760)</f>
        <v>0.000558300122271167</v>
      </c>
      <c r="J117" s="143" t="n">
        <f aca="false">J106/(J18*8760)</f>
        <v>0.00334591473268788</v>
      </c>
      <c r="K117" s="143" t="n">
        <f aca="false">K106/(K18*8760)</f>
        <v>0.000604134701839049</v>
      </c>
      <c r="L117" s="143" t="n">
        <f aca="false">L106/(L18*8760)</f>
        <v>0.00395291495944908</v>
      </c>
      <c r="M117" s="143" t="n">
        <f aca="false">M106/(M18*8760)</f>
        <v>0.00106863739174842</v>
      </c>
      <c r="N117" s="143" t="n">
        <f aca="false">N106/(N18*8760)</f>
        <v>0.00640831316598748</v>
      </c>
      <c r="O117" s="143" t="n">
        <f aca="false">O106/(O18*8760)</f>
        <v>0.000699425904746198</v>
      </c>
      <c r="P117" s="143" t="n">
        <f aca="false">P106/(P18*8760)</f>
        <v>0.00334636834762958</v>
      </c>
      <c r="Q117" s="143" t="n">
        <f aca="false">Q106/(Q18*8760)</f>
        <v>0.00109753789668023</v>
      </c>
      <c r="R117" s="143" t="n">
        <f aca="false">R106/(R18*8760)</f>
        <v>0.0097332649600406</v>
      </c>
      <c r="S117" s="143" t="n">
        <f aca="false">S106/(S18*8760)</f>
        <v>0.000836632830580224</v>
      </c>
      <c r="T117" s="143" t="n">
        <f aca="false">T106/(T18*8760)</f>
        <v>0.00555677212979201</v>
      </c>
      <c r="U117" s="143" t="n">
        <f aca="false">U106/(U18*8760)</f>
        <v>0.000794052493962806</v>
      </c>
      <c r="V117" s="143" t="n">
        <f aca="false">V106/(V18*8760)</f>
        <v>0.00486213568770643</v>
      </c>
      <c r="W117" s="143" t="n">
        <f aca="false">W106/(W18*8760)</f>
        <v>0.00084524428516285</v>
      </c>
      <c r="X117" s="143" t="n">
        <f aca="false">X106/(X18*8760)</f>
        <v>0.00570239629217473</v>
      </c>
      <c r="Y117" s="143" t="n">
        <f aca="false">Y106/(Y18*8760)</f>
        <v>0.000572023377507116</v>
      </c>
      <c r="Z117" s="143" t="n">
        <f aca="false">Z106/(Z18*8760)</f>
        <v>0.00465630531127355</v>
      </c>
      <c r="AA117" s="143" t="n">
        <f aca="false">AA106/(AA18*8760)</f>
        <v>0.0012638736196175</v>
      </c>
      <c r="AB117" s="143" t="n">
        <f aca="false">AB106/(AB18*8760)</f>
        <v>0.00569408067443912</v>
      </c>
      <c r="AC117" s="143" t="n">
        <f aca="false">AC106/(AC18*8760)</f>
        <v>0.000802640124877243</v>
      </c>
      <c r="AD117" s="143" t="n">
        <f aca="false">AD106/(AD18*8760)</f>
        <v>0.00500223043232874</v>
      </c>
      <c r="AE117" s="143" t="n">
        <f aca="false">AE106/(AE18*8760)</f>
        <v>0.000802640124877243</v>
      </c>
      <c r="AF117" s="143" t="n">
        <f aca="false">AF106/(AF18*8760)</f>
        <v>0.00500223043232874</v>
      </c>
      <c r="AG117" s="143" t="n">
        <f aca="false">AG106/(AG18*8760)</f>
        <v>0.000863725125528762</v>
      </c>
      <c r="AH117" s="143" t="n">
        <f aca="false">AH106/(AH18*8760)</f>
        <v>0.00541630935723895</v>
      </c>
    </row>
    <row r="118" customFormat="false" ht="15" hidden="false" customHeight="false" outlineLevel="0" collapsed="false">
      <c r="A118" s="73" t="s">
        <v>1081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1082</v>
      </c>
      <c r="B119" s="59" t="s">
        <v>93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1083</v>
      </c>
      <c r="B120" s="59" t="s">
        <v>1006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8" t="s">
        <v>1084</v>
      </c>
      <c r="B121" s="59" t="s">
        <v>1006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8" t="s">
        <v>1085</v>
      </c>
      <c r="B122" s="59" t="s">
        <v>861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8" t="s">
        <v>1086</v>
      </c>
      <c r="B123" s="59" t="s">
        <v>89</v>
      </c>
      <c r="C123" s="98" t="n">
        <f aca="false">C120/(C18*8760)</f>
        <v>0.00642112099901794</v>
      </c>
      <c r="D123" s="98" t="n">
        <f aca="false">D120/(D18*8760)</f>
        <v>0.0400178434586299</v>
      </c>
      <c r="E123" s="98" t="n">
        <f aca="false">E120/(E18*8760)</f>
        <v>0.00902741436014942</v>
      </c>
      <c r="F123" s="98" t="n">
        <f aca="false">F120/(F18*8760)</f>
        <v>0.0576852109214657</v>
      </c>
      <c r="G123" s="98" t="n">
        <f aca="false">G120/(G18*8760)</f>
        <v>0.00495508098338149</v>
      </c>
      <c r="H123" s="98" t="n">
        <f aca="false">H120/(H18*8760)</f>
        <v>0.0300799492607848</v>
      </c>
      <c r="I123" s="98" t="n">
        <f aca="false">I120/(I18*8760)</f>
        <v>0.00446640097816934</v>
      </c>
      <c r="J123" s="98" t="n">
        <f aca="false">J120/(J18*8760)</f>
        <v>0.0267673178615031</v>
      </c>
      <c r="K123" s="98" t="n">
        <f aca="false">K120/(K18*8760)</f>
        <v>0.0048330776147124</v>
      </c>
      <c r="L123" s="98" t="n">
        <f aca="false">L120/(L18*8760)</f>
        <v>0.0316233196755926</v>
      </c>
      <c r="M123" s="98" t="n">
        <f aca="false">M120/(M18*8760)</f>
        <v>0.00854909913398737</v>
      </c>
      <c r="N123" s="98" t="n">
        <f aca="false">N120/(N18*8760)</f>
        <v>0.0512665053278999</v>
      </c>
      <c r="O123" s="98" t="n">
        <f aca="false">O120/(O18*8760)</f>
        <v>0.00559540723796958</v>
      </c>
      <c r="P123" s="98" t="n">
        <f aca="false">P120/(P18*8760)</f>
        <v>0.0267709467810367</v>
      </c>
      <c r="Q123" s="98" t="n">
        <f aca="false">Q120/(Q18*8760)</f>
        <v>0.00878030317344182</v>
      </c>
      <c r="R123" s="98" t="n">
        <f aca="false">R120/(R18*8760)</f>
        <v>0.0778661196803248</v>
      </c>
      <c r="S123" s="98" t="n">
        <f aca="false">S120/(S18*8760)</f>
        <v>0.00669306264464179</v>
      </c>
      <c r="T123" s="98" t="n">
        <f aca="false">T120/(T18*8760)</f>
        <v>0.0444541770383361</v>
      </c>
      <c r="U123" s="98" t="n">
        <f aca="false">U120/(U18*8760)</f>
        <v>0.00635241995170244</v>
      </c>
      <c r="V123" s="98" t="n">
        <f aca="false">V120/(V18*8760)</f>
        <v>0.0388970855016515</v>
      </c>
      <c r="W123" s="98" t="n">
        <f aca="false">W120/(W18*8760)</f>
        <v>0.0067619542813028</v>
      </c>
      <c r="X123" s="98" t="n">
        <f aca="false">X120/(X18*8760)</f>
        <v>0.0456191703373979</v>
      </c>
      <c r="Y123" s="98" t="n">
        <f aca="false">Y120/(Y18*8760)</f>
        <v>0.00457618702005692</v>
      </c>
      <c r="Z123" s="98" t="n">
        <f aca="false">Z120/(Z18*8760)</f>
        <v>0.0372504424901884</v>
      </c>
      <c r="AA123" s="98" t="n">
        <f aca="false">AA120/(AA18*8760)</f>
        <v>0.01011098895694</v>
      </c>
      <c r="AB123" s="98" t="n">
        <f aca="false">AB120/(AB18*8760)</f>
        <v>0.0455526453955129</v>
      </c>
      <c r="AC123" s="98" t="n">
        <f aca="false">AC120/(AC18*8760)</f>
        <v>0.00353161654945987</v>
      </c>
      <c r="AD123" s="98" t="n">
        <f aca="false">AD120/(AD18*8760)</f>
        <v>0.0220098139022464</v>
      </c>
      <c r="AE123" s="98" t="n">
        <f aca="false">AE120/(AE18*8760)</f>
        <v>0.00834745729872333</v>
      </c>
      <c r="AF123" s="98" t="n">
        <f aca="false">AF120/(AF18*8760)</f>
        <v>0.0520231964962189</v>
      </c>
      <c r="AG123" s="98" t="n">
        <f aca="false">AG120/(AG18*8760)</f>
        <v>0.00690980100423009</v>
      </c>
      <c r="AH123" s="98" t="n">
        <f aca="false">AH120/(AH18*8760)</f>
        <v>0.0433304748579116</v>
      </c>
    </row>
    <row r="124" customFormat="false" ht="15" hidden="false" customHeight="false" outlineLevel="0" collapsed="false">
      <c r="A124" s="73" t="s">
        <v>1087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1088</v>
      </c>
      <c r="B125" s="59" t="s">
        <v>1006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1089</v>
      </c>
      <c r="B126" s="59" t="s">
        <v>1006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8" t="s">
        <v>1090</v>
      </c>
      <c r="B127" s="59" t="s">
        <v>1006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1091</v>
      </c>
      <c r="B128" s="59" t="s">
        <v>1006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8" t="s">
        <v>1092</v>
      </c>
      <c r="B129" s="59" t="s">
        <v>1006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1116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1117</v>
      </c>
      <c r="B131" s="59" t="s">
        <v>93</v>
      </c>
      <c r="C131" s="102" t="n">
        <f aca="false">C106/$C$106</f>
        <v>1</v>
      </c>
      <c r="D131" s="102" t="n">
        <f aca="false">D106/$D$106</f>
        <v>1</v>
      </c>
      <c r="E131" s="102" t="n">
        <f aca="false">E106/$C$106</f>
        <v>1.40589382469667</v>
      </c>
      <c r="F131" s="102" t="n">
        <f aca="false">F106/$D$106</f>
        <v>1.44148724508606</v>
      </c>
      <c r="G131" s="102" t="n">
        <f aca="false">G106/$C$106</f>
        <v>0.771684723608125</v>
      </c>
      <c r="H131" s="102" t="n">
        <f aca="false">H106/$D$106</f>
        <v>0.75166342463909</v>
      </c>
      <c r="I131" s="102" t="n">
        <f aca="false">I106/$C$106</f>
        <v>0.6955796314775</v>
      </c>
      <c r="J131" s="102" t="n">
        <f aca="false">J106/$D$106</f>
        <v>0.668884566185454</v>
      </c>
      <c r="K131" s="102" t="n">
        <f aca="false">K106/$C$106</f>
        <v>0.752684401283137</v>
      </c>
      <c r="L131" s="102" t="n">
        <f aca="false">L106/$D$106</f>
        <v>0.790230480767524</v>
      </c>
      <c r="M131" s="102" t="n">
        <f aca="false">M106/$C$106</f>
        <v>1.3314029022806</v>
      </c>
      <c r="N131" s="102" t="n">
        <f aca="false">N106/$D$106</f>
        <v>1.28109115577152</v>
      </c>
      <c r="O131" s="102" t="n">
        <f aca="false">O106/$C$106</f>
        <v>0.871406603118888</v>
      </c>
      <c r="P131" s="102" t="n">
        <f aca="false">P106/$D$106</f>
        <v>0.668975248721542</v>
      </c>
      <c r="Q131" s="102" t="n">
        <f aca="false">Q106/$C$106</f>
        <v>1.36740970537461</v>
      </c>
      <c r="R131" s="102" t="n">
        <f aca="false">R106/$D$106</f>
        <v>1.94578500365274</v>
      </c>
      <c r="S131" s="102" t="n">
        <f aca="false">S106/$C$106</f>
        <v>1.04235111683232</v>
      </c>
      <c r="T131" s="102" t="n">
        <f aca="false">T106/$D$106</f>
        <v>1.11085888684363</v>
      </c>
      <c r="U131" s="102" t="n">
        <f aca="false">U106/$C$106</f>
        <v>0.989300770484468</v>
      </c>
      <c r="V131" s="102" t="n">
        <f aca="false">V106/$D$106</f>
        <v>0.971993544376347</v>
      </c>
      <c r="W131" s="102" t="n">
        <f aca="false">W106/$C$106</f>
        <v>1.05308002797907</v>
      </c>
      <c r="X131" s="102" t="n">
        <f aca="false">X106/$D$106</f>
        <v>1.13997073291964</v>
      </c>
      <c r="Y131" s="102" t="n">
        <f aca="false">Y106/$C$106</f>
        <v>0.712677275627856</v>
      </c>
      <c r="Z131" s="102" t="n">
        <f aca="false">Z106/$D$106</f>
        <v>0.930845824530689</v>
      </c>
      <c r="AA131" s="102" t="n">
        <f aca="false">AA106/$C$106</f>
        <v>1.57464544874429</v>
      </c>
      <c r="AB131" s="102" t="n">
        <f aca="false">AB106/$D$106</f>
        <v>1.13830835093862</v>
      </c>
      <c r="AC131" s="102" t="n">
        <f aca="false">AC106/$C$106</f>
        <v>1</v>
      </c>
      <c r="AD131" s="102" t="n">
        <f aca="false">AD106/$D$106</f>
        <v>1</v>
      </c>
      <c r="AE131" s="102" t="n">
        <f aca="false">AE106/$C$106</f>
        <v>1</v>
      </c>
      <c r="AF131" s="102" t="n">
        <f aca="false">AF106/$D$106</f>
        <v>1</v>
      </c>
      <c r="AG131" s="102" t="n">
        <f aca="false">AG106/$C$106</f>
        <v>1.07610509213063</v>
      </c>
      <c r="AH131" s="102" t="n">
        <f aca="false">AH106/$D$106</f>
        <v>1.08277885845364</v>
      </c>
    </row>
    <row r="132" customFormat="false" ht="15" hidden="false" customHeight="false" outlineLevel="0" collapsed="false">
      <c r="A132" s="58" t="s">
        <v>1118</v>
      </c>
      <c r="B132" s="59" t="s">
        <v>93</v>
      </c>
      <c r="C132" s="102" t="n">
        <f aca="false">C120/$C$120</f>
        <v>1</v>
      </c>
      <c r="D132" s="102" t="n">
        <f aca="false">D120/$D$120</f>
        <v>1</v>
      </c>
      <c r="E132" s="102" t="n">
        <f aca="false">E120/$C$120</f>
        <v>1.40589382469667</v>
      </c>
      <c r="F132" s="102" t="n">
        <f aca="false">F120/$D$120</f>
        <v>1.44148724508606</v>
      </c>
      <c r="G132" s="102" t="n">
        <f aca="false">G120/$C$120</f>
        <v>0.771684723608125</v>
      </c>
      <c r="H132" s="102" t="n">
        <f aca="false">H120/$D$120</f>
        <v>0.75166342463909</v>
      </c>
      <c r="I132" s="102" t="n">
        <f aca="false">I120/$C$120</f>
        <v>0.6955796314775</v>
      </c>
      <c r="J132" s="102" t="n">
        <f aca="false">J120/$D$120</f>
        <v>0.668884566185454</v>
      </c>
      <c r="K132" s="102" t="n">
        <f aca="false">K120/$C$120</f>
        <v>0.752684401283137</v>
      </c>
      <c r="L132" s="102" t="n">
        <f aca="false">L120/$D$120</f>
        <v>0.790230480767524</v>
      </c>
      <c r="M132" s="102" t="n">
        <f aca="false">M120/$C$120</f>
        <v>1.3314029022806</v>
      </c>
      <c r="N132" s="102" t="n">
        <f aca="false">N120/$D$120</f>
        <v>1.28109115577152</v>
      </c>
      <c r="O132" s="102" t="n">
        <f aca="false">O120/$C$120</f>
        <v>0.871406603118888</v>
      </c>
      <c r="P132" s="102" t="n">
        <f aca="false">P120/$D$120</f>
        <v>0.668975248721542</v>
      </c>
      <c r="Q132" s="102" t="n">
        <f aca="false">Q120/$C$120</f>
        <v>1.36740970537461</v>
      </c>
      <c r="R132" s="102" t="n">
        <f aca="false">R120/$D$120</f>
        <v>1.94578500365274</v>
      </c>
      <c r="S132" s="102" t="n">
        <f aca="false">S120/$C$120</f>
        <v>1.04235111683232</v>
      </c>
      <c r="T132" s="102" t="n">
        <f aca="false">T120/$D$120</f>
        <v>1.11085888684363</v>
      </c>
      <c r="U132" s="102" t="n">
        <f aca="false">U120/$C$120</f>
        <v>0.989300770484468</v>
      </c>
      <c r="V132" s="102" t="n">
        <f aca="false">V120/$D$120</f>
        <v>0.971993544376347</v>
      </c>
      <c r="W132" s="102" t="n">
        <f aca="false">W120/$C$120</f>
        <v>1.05308002797907</v>
      </c>
      <c r="X132" s="102" t="n">
        <f aca="false">X120/$D$120</f>
        <v>1.13997073291964</v>
      </c>
      <c r="Y132" s="102" t="n">
        <f aca="false">Y120/$C$120</f>
        <v>0.712677275627856</v>
      </c>
      <c r="Z132" s="102" t="n">
        <f aca="false">Z120/$D$120</f>
        <v>0.930845824530689</v>
      </c>
      <c r="AA132" s="102" t="n">
        <f aca="false">AA120/$C$120</f>
        <v>1.57464544874429</v>
      </c>
      <c r="AB132" s="102" t="n">
        <f aca="false">AB120/$D$120</f>
        <v>1.13830835093862</v>
      </c>
      <c r="AC132" s="102" t="n">
        <f aca="false">AC120/$C$120</f>
        <v>0.55</v>
      </c>
      <c r="AD132" s="102" t="n">
        <f aca="false">AD120/$D$120</f>
        <v>0.55</v>
      </c>
      <c r="AE132" s="102" t="n">
        <f aca="false">AE120/$C$120</f>
        <v>1.3</v>
      </c>
      <c r="AF132" s="102" t="n">
        <f aca="false">AF120/$D$120</f>
        <v>1.3</v>
      </c>
      <c r="AG132" s="102" t="n">
        <f aca="false">AG120/$C$120</f>
        <v>1.07610509213063</v>
      </c>
      <c r="AH132" s="102" t="n">
        <f aca="false">AH120/$D$120</f>
        <v>1.08277885845364</v>
      </c>
    </row>
    <row r="133" customFormat="false" ht="15" hidden="false" customHeight="false" outlineLevel="0" collapsed="false">
      <c r="A133" s="58" t="s">
        <v>1119</v>
      </c>
      <c r="B133" s="59" t="s">
        <v>93</v>
      </c>
      <c r="C133" s="102" t="n">
        <f aca="false">C111/$C$111</f>
        <v>1</v>
      </c>
      <c r="D133" s="102" t="n">
        <f aca="false">D111/$D$111</f>
        <v>1</v>
      </c>
      <c r="E133" s="102" t="n">
        <f aca="false">E111/$C$111</f>
        <v>0.844992234997107</v>
      </c>
      <c r="F133" s="102" t="n">
        <f aca="false">F111/$D$111</f>
        <v>0.880928820082332</v>
      </c>
      <c r="G133" s="102" t="n">
        <f aca="false">G111/$C$111</f>
        <v>1.20175683436846</v>
      </c>
      <c r="H133" s="102" t="n">
        <f aca="false">H111/$D$111</f>
        <v>1.13490229974867</v>
      </c>
      <c r="I133" s="102" t="n">
        <f aca="false">I111/$C$111</f>
        <v>1.31936419636689</v>
      </c>
      <c r="J133" s="102" t="n">
        <f aca="false">J111/$D$111</f>
        <v>1.20479236746961</v>
      </c>
      <c r="K133" s="102" t="n">
        <f aca="false">K111/$C$111</f>
        <v>1.53337940528535</v>
      </c>
      <c r="L133" s="102" t="n">
        <f aca="false">L111/$D$111</f>
        <v>1.29184464975971</v>
      </c>
      <c r="M133" s="102" t="n">
        <f aca="false">M111/$C$111</f>
        <v>0.682075565761541</v>
      </c>
      <c r="N133" s="102" t="n">
        <f aca="false">N111/$D$111</f>
        <v>0.767622555709777</v>
      </c>
      <c r="O133" s="102" t="n">
        <f aca="false">O111/$C$111</f>
        <v>0.438684865576152</v>
      </c>
      <c r="P133" s="102" t="n">
        <f aca="false">P111/$D$111</f>
        <v>0.490960906566837</v>
      </c>
      <c r="Q133" s="102" t="n">
        <f aca="false">Q111/$C$111</f>
        <v>1.86612099544456</v>
      </c>
      <c r="R133" s="102" t="n">
        <f aca="false">R111/$D$111</f>
        <v>1.46364707688238</v>
      </c>
      <c r="S133" s="102" t="n">
        <f aca="false">S111/$C$111</f>
        <v>1.14291588411783</v>
      </c>
      <c r="T133" s="102" t="n">
        <f aca="false">T111/$D$111</f>
        <v>1.09800046576256</v>
      </c>
      <c r="U133" s="102" t="n">
        <f aca="false">U111/$C$111</f>
        <v>0.961159813585404</v>
      </c>
      <c r="V133" s="102" t="n">
        <f aca="false">V111/$D$111</f>
        <v>0.97142422058954</v>
      </c>
      <c r="W133" s="102" t="n">
        <f aca="false">W111/$C$111</f>
        <v>1.17392664831301</v>
      </c>
      <c r="X133" s="102" t="n">
        <f aca="false">X111/$D$111</f>
        <v>1.11946589729714</v>
      </c>
      <c r="Y133" s="102" t="n">
        <f aca="false">Y111/$C$111</f>
        <v>1</v>
      </c>
      <c r="Z133" s="102" t="n">
        <f aca="false">Z111/$D$111</f>
        <v>1</v>
      </c>
      <c r="AA133" s="102" t="n">
        <f aca="false">AA111/$C$111</f>
        <v>1</v>
      </c>
      <c r="AB133" s="102" t="n">
        <f aca="false">AB111/$D$111</f>
        <v>1</v>
      </c>
      <c r="AC133" s="102" t="n">
        <f aca="false">AC111/$C$111</f>
        <v>1</v>
      </c>
      <c r="AD133" s="102" t="n">
        <f aca="false">AD111/$D$111</f>
        <v>1</v>
      </c>
      <c r="AE133" s="102" t="n">
        <f aca="false">AE111/$C$111</f>
        <v>1</v>
      </c>
      <c r="AF133" s="102" t="n">
        <f aca="false">AF111/$D$111</f>
        <v>1</v>
      </c>
      <c r="AG133" s="102" t="n">
        <f aca="false">AG111/$C$111</f>
        <v>0.958758433781733</v>
      </c>
      <c r="AH133" s="102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1120</v>
      </c>
    </row>
    <row r="2" customFormat="false" ht="15" hidden="false" customHeight="false" outlineLevel="0" collapsed="false">
      <c r="A2" s="56" t="s">
        <v>1121</v>
      </c>
    </row>
    <row r="4" customFormat="false" ht="15" hidden="false" customHeight="false" outlineLevel="0" collapsed="false">
      <c r="A4" s="73" t="s">
        <v>1122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7" t="s">
        <v>353</v>
      </c>
      <c r="B5" s="57" t="s">
        <v>73</v>
      </c>
      <c r="C5" s="57" t="s">
        <v>1123</v>
      </c>
      <c r="D5" s="10" t="s">
        <v>1124</v>
      </c>
      <c r="E5" s="10" t="s">
        <v>1125</v>
      </c>
      <c r="F5" s="57" t="s">
        <v>77</v>
      </c>
      <c r="G5" s="57" t="s">
        <v>321</v>
      </c>
    </row>
    <row r="6" customFormat="false" ht="15" hidden="false" customHeight="false" outlineLevel="0" collapsed="false">
      <c r="A6" s="58" t="s">
        <v>1126</v>
      </c>
      <c r="B6" s="59" t="s">
        <v>791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125</v>
      </c>
      <c r="G6" s="85" t="s">
        <v>1127</v>
      </c>
    </row>
    <row r="7" customFormat="false" ht="15" hidden="false" customHeight="false" outlineLevel="0" collapsed="false">
      <c r="A7" s="58" t="s">
        <v>1128</v>
      </c>
      <c r="B7" s="59" t="s">
        <v>791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125</v>
      </c>
      <c r="G7" s="91" t="s">
        <v>1129</v>
      </c>
    </row>
    <row r="8" customFormat="false" ht="15" hidden="false" customHeight="false" outlineLevel="0" collapsed="false">
      <c r="A8" s="58" t="s">
        <v>1130</v>
      </c>
      <c r="B8" s="59" t="s">
        <v>791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125</v>
      </c>
      <c r="G8" s="91" t="s">
        <v>1131</v>
      </c>
    </row>
    <row r="10" customFormat="false" ht="15" hidden="false" customHeight="false" outlineLevel="0" collapsed="false">
      <c r="A10" s="73" t="s">
        <v>1132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57" t="s">
        <v>353</v>
      </c>
      <c r="B11" s="57" t="s">
        <v>73</v>
      </c>
      <c r="C11" s="57" t="s">
        <v>75</v>
      </c>
      <c r="D11" s="57" t="s">
        <v>1133</v>
      </c>
      <c r="E11" s="57" t="s">
        <v>1134</v>
      </c>
      <c r="F11" s="57" t="s">
        <v>77</v>
      </c>
      <c r="G11" s="57" t="s">
        <v>321</v>
      </c>
    </row>
    <row r="12" customFormat="false" ht="15" hidden="false" customHeight="false" outlineLevel="0" collapsed="false">
      <c r="A12" s="5" t="s">
        <v>1135</v>
      </c>
      <c r="B12" s="59" t="s">
        <v>89</v>
      </c>
      <c r="C12" s="63" t="n">
        <v>0.2</v>
      </c>
      <c r="D12" s="63" t="n">
        <v>0.1</v>
      </c>
      <c r="E12" s="63" t="n">
        <v>0.4</v>
      </c>
      <c r="F12" s="56" t="s">
        <v>90</v>
      </c>
      <c r="G12" s="91" t="s">
        <v>1136</v>
      </c>
    </row>
    <row r="13" customFormat="false" ht="15" hidden="false" customHeight="false" outlineLevel="0" collapsed="false">
      <c r="A13" s="5" t="s">
        <v>1137</v>
      </c>
      <c r="B13" s="59" t="s">
        <v>89</v>
      </c>
      <c r="C13" s="63" t="n">
        <v>0.55</v>
      </c>
      <c r="D13" s="63" t="n">
        <v>0.3</v>
      </c>
      <c r="E13" s="63" t="n">
        <v>0.75</v>
      </c>
      <c r="F13" s="56" t="s">
        <v>90</v>
      </c>
      <c r="G13" s="91" t="s">
        <v>1138</v>
      </c>
    </row>
    <row r="14" customFormat="false" ht="26.85" hidden="false" customHeight="false" outlineLevel="0" collapsed="false">
      <c r="A14" s="5" t="s">
        <v>1139</v>
      </c>
      <c r="B14" s="59" t="s">
        <v>93</v>
      </c>
      <c r="C14" s="76" t="n">
        <v>0</v>
      </c>
      <c r="D14" s="76" t="n">
        <v>0</v>
      </c>
      <c r="E14" s="76" t="n">
        <v>0.5</v>
      </c>
      <c r="F14" s="56" t="s">
        <v>90</v>
      </c>
      <c r="G14" s="85" t="s">
        <v>1140</v>
      </c>
    </row>
    <row r="15" customFormat="false" ht="15" hidden="false" customHeight="false" outlineLevel="0" collapsed="false">
      <c r="A15" s="5" t="s">
        <v>1141</v>
      </c>
      <c r="B15" s="59" t="s">
        <v>93</v>
      </c>
      <c r="C15" s="76" t="n">
        <v>1</v>
      </c>
      <c r="D15" s="76" t="n">
        <v>0.5</v>
      </c>
      <c r="E15" s="76" t="n">
        <v>7</v>
      </c>
      <c r="F15" s="56" t="s">
        <v>90</v>
      </c>
      <c r="G15" s="91" t="s">
        <v>1142</v>
      </c>
    </row>
    <row r="16" customFormat="false" ht="15" hidden="false" customHeight="false" outlineLevel="0" collapsed="false">
      <c r="A16" s="5" t="s">
        <v>1143</v>
      </c>
      <c r="B16" s="58" t="s">
        <v>85</v>
      </c>
      <c r="C16" s="64" t="n">
        <v>2</v>
      </c>
      <c r="D16" s="64" t="n">
        <v>1</v>
      </c>
      <c r="E16" s="64" t="n">
        <v>2</v>
      </c>
      <c r="F16" s="56" t="s">
        <v>82</v>
      </c>
      <c r="G16" s="85" t="s">
        <v>1144</v>
      </c>
    </row>
    <row r="17" customFormat="false" ht="15" hidden="false" customHeight="false" outlineLevel="0" collapsed="false">
      <c r="A17" s="5" t="s">
        <v>1145</v>
      </c>
      <c r="B17" s="59" t="s">
        <v>1146</v>
      </c>
      <c r="C17" s="87" t="n">
        <f aca="false">SRC_PRC_028</f>
        <v>35</v>
      </c>
      <c r="F17" s="56" t="s">
        <v>125</v>
      </c>
      <c r="G17" s="85" t="s">
        <v>1147</v>
      </c>
    </row>
    <row r="18" customFormat="false" ht="15" hidden="false" customHeight="false" outlineLevel="0" collapsed="false">
      <c r="A18" s="5" t="s">
        <v>1148</v>
      </c>
      <c r="B18" s="59" t="s">
        <v>93</v>
      </c>
      <c r="C18" s="95" t="n">
        <f aca="false">SRC_PRC_027</f>
        <v>0.5</v>
      </c>
      <c r="F18" s="56" t="s">
        <v>125</v>
      </c>
      <c r="G18" s="85" t="s">
        <v>1149</v>
      </c>
    </row>
    <row r="20" customFormat="false" ht="15" hidden="false" customHeight="false" outlineLevel="0" collapsed="false">
      <c r="A20" s="73" t="s">
        <v>1150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57" t="s">
        <v>353</v>
      </c>
      <c r="B21" s="57" t="s">
        <v>73</v>
      </c>
      <c r="C21" s="57" t="s">
        <v>1123</v>
      </c>
      <c r="D21" s="10" t="s">
        <v>1124</v>
      </c>
      <c r="E21" s="10" t="s">
        <v>1125</v>
      </c>
      <c r="F21" s="57" t="s">
        <v>77</v>
      </c>
      <c r="G21" s="57" t="s">
        <v>321</v>
      </c>
    </row>
    <row r="22" customFormat="false" ht="15" hidden="false" customHeight="false" outlineLevel="0" collapsed="false">
      <c r="A22" s="58" t="s">
        <v>1151</v>
      </c>
      <c r="B22" s="58" t="s">
        <v>1152</v>
      </c>
      <c r="C22" s="64" t="n">
        <v>12</v>
      </c>
      <c r="D22" s="64" t="n">
        <v>12</v>
      </c>
      <c r="E22" s="64" t="n">
        <v>9</v>
      </c>
      <c r="F22" s="56" t="s">
        <v>90</v>
      </c>
      <c r="G22" s="71" t="s">
        <v>1153</v>
      </c>
    </row>
    <row r="23" customFormat="false" ht="15" hidden="false" customHeight="false" outlineLevel="0" collapsed="false">
      <c r="A23" s="58" t="s">
        <v>1154</v>
      </c>
      <c r="B23" s="58" t="s">
        <v>1152</v>
      </c>
      <c r="C23" s="64" t="n">
        <v>6</v>
      </c>
      <c r="D23" s="64" t="n">
        <v>6</v>
      </c>
      <c r="E23" s="64" t="n">
        <v>6</v>
      </c>
      <c r="F23" s="56" t="s">
        <v>90</v>
      </c>
      <c r="G23" s="71"/>
    </row>
    <row r="24" customFormat="false" ht="15" hidden="false" customHeight="false" outlineLevel="0" collapsed="false">
      <c r="A24" s="58" t="s">
        <v>1155</v>
      </c>
      <c r="B24" s="58" t="s">
        <v>1152</v>
      </c>
      <c r="C24" s="64" t="n">
        <v>24</v>
      </c>
      <c r="D24" s="64" t="n">
        <v>24</v>
      </c>
      <c r="E24" s="64" t="n">
        <v>18</v>
      </c>
      <c r="F24" s="56" t="s">
        <v>90</v>
      </c>
      <c r="G24" s="71"/>
    </row>
    <row r="26" customFormat="false" ht="15" hidden="false" customHeight="false" outlineLevel="0" collapsed="false">
      <c r="A26" s="73" t="s">
        <v>1156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57" t="s">
        <v>353</v>
      </c>
      <c r="B27" s="57" t="s">
        <v>73</v>
      </c>
      <c r="C27" s="57" t="s">
        <v>75</v>
      </c>
      <c r="D27" s="57" t="s">
        <v>1133</v>
      </c>
      <c r="E27" s="57" t="s">
        <v>1134</v>
      </c>
      <c r="F27" s="57" t="s">
        <v>77</v>
      </c>
      <c r="G27" s="57" t="s">
        <v>321</v>
      </c>
    </row>
    <row r="28" customFormat="false" ht="26.85" hidden="false" customHeight="false" outlineLevel="0" collapsed="false">
      <c r="A28" s="58" t="s">
        <v>1157</v>
      </c>
      <c r="B28" s="59" t="s">
        <v>89</v>
      </c>
      <c r="C28" s="63" t="n">
        <v>0.41</v>
      </c>
      <c r="D28" s="63" t="n">
        <v>0.3</v>
      </c>
      <c r="E28" s="63" t="n">
        <v>0.6</v>
      </c>
      <c r="F28" s="56" t="s">
        <v>1158</v>
      </c>
      <c r="G28" s="85" t="s">
        <v>1159</v>
      </c>
    </row>
    <row r="29" customFormat="false" ht="15" hidden="false" customHeight="false" outlineLevel="0" collapsed="false">
      <c r="A29" s="58" t="s">
        <v>1160</v>
      </c>
      <c r="B29" s="59" t="s">
        <v>89</v>
      </c>
      <c r="C29" s="63" t="n">
        <v>0.46</v>
      </c>
      <c r="D29" s="63" t="n">
        <v>0.35</v>
      </c>
      <c r="E29" s="63" t="n">
        <v>0.6</v>
      </c>
      <c r="F29" s="56" t="s">
        <v>202</v>
      </c>
      <c r="G29" s="85" t="s">
        <v>1161</v>
      </c>
    </row>
    <row r="30" customFormat="false" ht="15" hidden="false" customHeight="false" outlineLevel="0" collapsed="false">
      <c r="A30" s="57" t="s">
        <v>353</v>
      </c>
      <c r="B30" s="57" t="s">
        <v>73</v>
      </c>
      <c r="C30" s="57" t="s">
        <v>1123</v>
      </c>
      <c r="D30" s="10" t="s">
        <v>1124</v>
      </c>
      <c r="E30" s="10" t="s">
        <v>1125</v>
      </c>
      <c r="F30" s="57" t="s">
        <v>77</v>
      </c>
      <c r="G30" s="57" t="s">
        <v>321</v>
      </c>
    </row>
    <row r="31" customFormat="false" ht="15" hidden="false" customHeight="false" outlineLevel="0" collapsed="false">
      <c r="A31" s="58" t="s">
        <v>1162</v>
      </c>
      <c r="B31" s="59" t="s">
        <v>89</v>
      </c>
      <c r="C31" s="63" t="n">
        <v>0.4</v>
      </c>
      <c r="D31" s="63" t="n">
        <v>0.45</v>
      </c>
      <c r="E31" s="63" t="n">
        <v>0.15</v>
      </c>
      <c r="F31" s="56" t="s">
        <v>90</v>
      </c>
      <c r="G31" s="85" t="s">
        <v>1163</v>
      </c>
    </row>
    <row r="32" customFormat="false" ht="15" hidden="false" customHeight="false" outlineLevel="0" collapsed="false">
      <c r="A32" s="58" t="s">
        <v>1164</v>
      </c>
      <c r="B32" s="59" t="s">
        <v>89</v>
      </c>
      <c r="C32" s="63" t="n">
        <v>0.9</v>
      </c>
      <c r="D32" s="63" t="n">
        <v>0.1</v>
      </c>
      <c r="E32" s="63" t="n">
        <v>0</v>
      </c>
      <c r="F32" s="56" t="s">
        <v>90</v>
      </c>
      <c r="G32" s="85" t="s">
        <v>1165</v>
      </c>
    </row>
    <row r="34" customFormat="false" ht="15" hidden="false" customHeight="false" outlineLevel="0" collapsed="false">
      <c r="A34" s="73" t="s">
        <v>1166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57" t="s">
        <v>353</v>
      </c>
      <c r="B35" s="57" t="s">
        <v>73</v>
      </c>
      <c r="C35" s="57" t="s">
        <v>75</v>
      </c>
      <c r="D35" s="57" t="s">
        <v>1133</v>
      </c>
      <c r="E35" s="57" t="s">
        <v>1134</v>
      </c>
      <c r="F35" s="57" t="s">
        <v>77</v>
      </c>
      <c r="G35" s="57" t="s">
        <v>321</v>
      </c>
    </row>
    <row r="36" customFormat="false" ht="15" hidden="false" customHeight="false" outlineLevel="0" collapsed="false">
      <c r="A36" s="5" t="s">
        <v>1167</v>
      </c>
      <c r="B36" s="58" t="s">
        <v>85</v>
      </c>
      <c r="C36" s="64" t="n">
        <v>2</v>
      </c>
      <c r="D36" s="64" t="n">
        <v>1</v>
      </c>
      <c r="E36" s="64" t="n">
        <v>3</v>
      </c>
      <c r="F36" s="56" t="s">
        <v>90</v>
      </c>
      <c r="G36" s="91" t="s">
        <v>1168</v>
      </c>
    </row>
    <row r="37" customFormat="false" ht="15" hidden="false" customHeight="false" outlineLevel="0" collapsed="false">
      <c r="A37" s="5" t="s">
        <v>1169</v>
      </c>
      <c r="B37" s="59" t="s">
        <v>1146</v>
      </c>
      <c r="C37" s="146" t="n">
        <v>0.0833333333333333</v>
      </c>
      <c r="D37" s="146" t="n">
        <v>0.0833333333333333</v>
      </c>
      <c r="E37" s="146" t="n">
        <v>1</v>
      </c>
      <c r="F37" s="56" t="s">
        <v>94</v>
      </c>
      <c r="G37" s="85" t="s">
        <v>1170</v>
      </c>
    </row>
    <row r="38" customFormat="false" ht="15" hidden="false" customHeight="false" outlineLevel="0" collapsed="false">
      <c r="A38" s="5" t="s">
        <v>1171</v>
      </c>
      <c r="B38" s="58" t="s">
        <v>1172</v>
      </c>
      <c r="C38" s="64" t="n">
        <v>5</v>
      </c>
      <c r="D38" s="64" t="n">
        <v>1</v>
      </c>
      <c r="E38" s="64" t="n">
        <v>20</v>
      </c>
      <c r="F38" s="56" t="s">
        <v>90</v>
      </c>
      <c r="G38" s="91" t="s">
        <v>1173</v>
      </c>
    </row>
    <row r="39" customFormat="false" ht="15" hidden="false" customHeight="false" outlineLevel="0" collapsed="false">
      <c r="A39" s="6" t="s">
        <v>1174</v>
      </c>
      <c r="B39" s="59" t="s">
        <v>1175</v>
      </c>
      <c r="C39" s="76" t="n">
        <v>10</v>
      </c>
      <c r="D39" s="76" t="n">
        <v>5</v>
      </c>
      <c r="E39" s="76" t="n">
        <v>20</v>
      </c>
      <c r="F39" s="56" t="s">
        <v>90</v>
      </c>
      <c r="G39" s="85" t="s">
        <v>1176</v>
      </c>
    </row>
    <row r="40" customFormat="false" ht="15" hidden="false" customHeight="false" outlineLevel="0" collapsed="false">
      <c r="A40" s="6" t="s">
        <v>1177</v>
      </c>
      <c r="B40" s="58" t="s">
        <v>124</v>
      </c>
      <c r="C40" s="64" t="n">
        <v>4</v>
      </c>
      <c r="D40" s="64" t="n">
        <v>3</v>
      </c>
      <c r="E40" s="64" t="n">
        <v>6</v>
      </c>
      <c r="F40" s="56" t="s">
        <v>90</v>
      </c>
      <c r="G40" s="91"/>
    </row>
    <row r="41" customFormat="false" ht="15" hidden="false" customHeight="false" outlineLevel="0" collapsed="false">
      <c r="A41" s="6" t="s">
        <v>1178</v>
      </c>
      <c r="B41" s="59" t="s">
        <v>1175</v>
      </c>
      <c r="C41" s="76" t="n">
        <v>0.1</v>
      </c>
      <c r="D41" s="76" t="n">
        <v>0.05</v>
      </c>
      <c r="E41" s="76" t="n">
        <v>0.3</v>
      </c>
      <c r="F41" s="56" t="s">
        <v>90</v>
      </c>
      <c r="G41" s="91" t="s">
        <v>1179</v>
      </c>
    </row>
    <row r="42" customFormat="false" ht="15" hidden="false" customHeight="false" outlineLevel="0" collapsed="false">
      <c r="A42" s="6" t="s">
        <v>1180</v>
      </c>
      <c r="B42" s="58" t="s">
        <v>124</v>
      </c>
      <c r="C42" s="64" t="n">
        <v>5</v>
      </c>
      <c r="D42" s="64" t="n">
        <v>3</v>
      </c>
      <c r="E42" s="64" t="n">
        <v>6</v>
      </c>
      <c r="F42" s="56" t="s">
        <v>90</v>
      </c>
      <c r="G42" s="91"/>
    </row>
    <row r="44" customFormat="false" ht="15" hidden="false" customHeight="false" outlineLevel="0" collapsed="false">
      <c r="A44" s="73" t="s">
        <v>1181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1182</v>
      </c>
      <c r="B45" s="81" t="s">
        <v>1183</v>
      </c>
      <c r="C45" s="81" t="s">
        <v>1184</v>
      </c>
      <c r="D45" s="81" t="s">
        <v>1185</v>
      </c>
      <c r="E45" s="81" t="s">
        <v>1186</v>
      </c>
      <c r="F45" s="81" t="s">
        <v>1187</v>
      </c>
      <c r="G45" s="81" t="s">
        <v>1188</v>
      </c>
      <c r="H45" s="81" t="s">
        <v>1189</v>
      </c>
      <c r="I45" s="81" t="s">
        <v>1190</v>
      </c>
      <c r="J45" s="81" t="s">
        <v>1191</v>
      </c>
      <c r="K45" s="81" t="s">
        <v>1192</v>
      </c>
      <c r="L45" s="81" t="s">
        <v>77</v>
      </c>
      <c r="M45" s="81" t="s">
        <v>447</v>
      </c>
      <c r="N45" s="81" t="s">
        <v>1193</v>
      </c>
    </row>
    <row r="46" customFormat="false" ht="15" hidden="false" customHeight="false" outlineLevel="0" collapsed="false">
      <c r="A46" s="134" t="s">
        <v>1194</v>
      </c>
      <c r="B46" s="134" t="s">
        <v>1195</v>
      </c>
      <c r="C46" s="103" t="s">
        <v>1196</v>
      </c>
      <c r="D46" s="103" t="s">
        <v>635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1197</v>
      </c>
      <c r="K46" s="134" t="s">
        <v>1198</v>
      </c>
      <c r="L46" s="134" t="s">
        <v>125</v>
      </c>
      <c r="M46" s="85" t="s">
        <v>1199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1200</v>
      </c>
      <c r="B47" s="134" t="s">
        <v>1195</v>
      </c>
      <c r="C47" s="103" t="s">
        <v>1196</v>
      </c>
      <c r="D47" s="103" t="s">
        <v>635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1197</v>
      </c>
      <c r="K47" s="134" t="s">
        <v>1198</v>
      </c>
      <c r="L47" s="134" t="s">
        <v>125</v>
      </c>
      <c r="M47" s="85" t="s">
        <v>1201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1202</v>
      </c>
      <c r="B48" s="134" t="s">
        <v>1195</v>
      </c>
      <c r="C48" s="103" t="s">
        <v>1196</v>
      </c>
      <c r="D48" s="103" t="s">
        <v>635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1203</v>
      </c>
      <c r="K48" s="134" t="s">
        <v>1198</v>
      </c>
      <c r="L48" s="134" t="s">
        <v>125</v>
      </c>
      <c r="M48" s="85" t="s">
        <v>1204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1205</v>
      </c>
      <c r="B49" s="134" t="s">
        <v>1206</v>
      </c>
      <c r="C49" s="103" t="s">
        <v>1196</v>
      </c>
      <c r="D49" s="103" t="s">
        <v>635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1203</v>
      </c>
      <c r="K49" s="134" t="s">
        <v>1207</v>
      </c>
      <c r="L49" s="134" t="s">
        <v>202</v>
      </c>
      <c r="M49" s="85" t="s">
        <v>1208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1209</v>
      </c>
      <c r="B50" s="134" t="s">
        <v>1206</v>
      </c>
      <c r="C50" s="103" t="s">
        <v>1196</v>
      </c>
      <c r="D50" s="103" t="s">
        <v>635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1203</v>
      </c>
      <c r="K50" s="134" t="s">
        <v>1210</v>
      </c>
      <c r="L50" s="134" t="s">
        <v>202</v>
      </c>
      <c r="M50" s="85" t="s">
        <v>1211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1212</v>
      </c>
      <c r="B51" s="134" t="s">
        <v>1206</v>
      </c>
      <c r="C51" s="103" t="s">
        <v>1196</v>
      </c>
      <c r="D51" s="103" t="s">
        <v>635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1213</v>
      </c>
      <c r="K51" s="134" t="s">
        <v>1214</v>
      </c>
      <c r="L51" s="134" t="s">
        <v>202</v>
      </c>
      <c r="M51" s="85" t="s">
        <v>1215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1216</v>
      </c>
      <c r="B52" s="134" t="s">
        <v>1217</v>
      </c>
      <c r="C52" s="103" t="s">
        <v>1218</v>
      </c>
      <c r="D52" s="103" t="s">
        <v>607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1197</v>
      </c>
      <c r="K52" s="134" t="s">
        <v>1219</v>
      </c>
      <c r="L52" s="134" t="s">
        <v>125</v>
      </c>
      <c r="M52" s="85" t="s">
        <v>1220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1221</v>
      </c>
      <c r="B53" s="134" t="s">
        <v>1217</v>
      </c>
      <c r="C53" s="103" t="s">
        <v>1218</v>
      </c>
      <c r="D53" s="103" t="s">
        <v>607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1203</v>
      </c>
      <c r="K53" s="134" t="s">
        <v>1219</v>
      </c>
      <c r="L53" s="134" t="s">
        <v>125</v>
      </c>
      <c r="M53" s="85" t="s">
        <v>1222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1223</v>
      </c>
      <c r="B54" s="134" t="s">
        <v>1224</v>
      </c>
      <c r="C54" s="103" t="s">
        <v>1218</v>
      </c>
      <c r="D54" s="103" t="s">
        <v>1225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1197</v>
      </c>
      <c r="K54" s="134" t="s">
        <v>1219</v>
      </c>
      <c r="L54" s="134" t="s">
        <v>125</v>
      </c>
      <c r="M54" s="85" t="s">
        <v>1226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1227</v>
      </c>
      <c r="B55" s="134" t="s">
        <v>1224</v>
      </c>
      <c r="C55" s="103" t="s">
        <v>1218</v>
      </c>
      <c r="D55" s="103" t="s">
        <v>607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1203</v>
      </c>
      <c r="K55" s="134" t="s">
        <v>1219</v>
      </c>
      <c r="L55" s="134" t="s">
        <v>125</v>
      </c>
      <c r="M55" s="85" t="s">
        <v>1228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1229</v>
      </c>
      <c r="B56" s="134" t="s">
        <v>1230</v>
      </c>
      <c r="C56" s="103" t="s">
        <v>1218</v>
      </c>
      <c r="D56" s="103" t="s">
        <v>1231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1203</v>
      </c>
      <c r="K56" s="134" t="s">
        <v>1207</v>
      </c>
      <c r="L56" s="134" t="s">
        <v>202</v>
      </c>
      <c r="M56" s="85" t="s">
        <v>1232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1233</v>
      </c>
      <c r="B57" s="134" t="s">
        <v>1234</v>
      </c>
      <c r="C57" s="103" t="s">
        <v>1218</v>
      </c>
      <c r="D57" s="103" t="s">
        <v>1235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1213</v>
      </c>
      <c r="K57" s="134" t="s">
        <v>1236</v>
      </c>
      <c r="L57" s="134" t="s">
        <v>202</v>
      </c>
      <c r="M57" s="85" t="s">
        <v>1237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1238</v>
      </c>
      <c r="B58" s="134" t="s">
        <v>1239</v>
      </c>
      <c r="C58" s="103" t="s">
        <v>1218</v>
      </c>
      <c r="D58" s="103" t="s">
        <v>635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1213</v>
      </c>
      <c r="K58" s="134" t="s">
        <v>1210</v>
      </c>
      <c r="L58" s="134" t="s">
        <v>202</v>
      </c>
      <c r="M58" s="85" t="s">
        <v>1240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1241</v>
      </c>
    </row>
    <row r="61" customFormat="false" ht="15" hidden="false" customHeight="false" outlineLevel="0" collapsed="false">
      <c r="A61" s="73" t="s">
        <v>1242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57" t="s">
        <v>353</v>
      </c>
      <c r="B62" s="57" t="s">
        <v>73</v>
      </c>
      <c r="C62" s="57" t="s">
        <v>320</v>
      </c>
      <c r="F62" s="57" t="s">
        <v>77</v>
      </c>
      <c r="G62" s="57" t="s">
        <v>321</v>
      </c>
    </row>
    <row r="63" customFormat="false" ht="52.2" hidden="false" customHeight="false" outlineLevel="0" collapsed="false">
      <c r="A63" s="5" t="s">
        <v>1243</v>
      </c>
      <c r="B63" s="59" t="s">
        <v>93</v>
      </c>
      <c r="C63" s="76" t="n">
        <v>1</v>
      </c>
      <c r="F63" s="56" t="s">
        <v>1244</v>
      </c>
      <c r="G63" s="91" t="s">
        <v>1245</v>
      </c>
    </row>
    <row r="64" customFormat="false" ht="39.55" hidden="false" customHeight="false" outlineLevel="0" collapsed="false">
      <c r="A64" s="5" t="s">
        <v>1246</v>
      </c>
      <c r="B64" s="59" t="s">
        <v>93</v>
      </c>
      <c r="C64" s="76" t="n">
        <v>1</v>
      </c>
      <c r="F64" s="56" t="s">
        <v>90</v>
      </c>
      <c r="G64" s="91" t="s">
        <v>1247</v>
      </c>
    </row>
    <row r="66" customFormat="false" ht="15" hidden="false" customHeight="false" outlineLevel="0" collapsed="false">
      <c r="A66" s="73" t="s">
        <v>1248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57" t="s">
        <v>353</v>
      </c>
      <c r="B67" s="57" t="s">
        <v>73</v>
      </c>
      <c r="C67" s="57" t="s">
        <v>75</v>
      </c>
      <c r="D67" s="10" t="s">
        <v>1249</v>
      </c>
      <c r="E67" s="10" t="s">
        <v>1250</v>
      </c>
      <c r="F67" s="57" t="s">
        <v>77</v>
      </c>
      <c r="G67" s="57" t="s">
        <v>321</v>
      </c>
    </row>
    <row r="68" customFormat="false" ht="15" hidden="false" customHeight="false" outlineLevel="0" collapsed="false">
      <c r="A68" s="10" t="s">
        <v>1251</v>
      </c>
    </row>
    <row r="69" customFormat="false" ht="15" hidden="false" customHeight="false" outlineLevel="0" collapsed="false">
      <c r="A69" s="6" t="s">
        <v>1252</v>
      </c>
      <c r="B69" s="59" t="s">
        <v>863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1253</v>
      </c>
      <c r="G69" s="85" t="s">
        <v>1254</v>
      </c>
    </row>
    <row r="70" customFormat="false" ht="39.55" hidden="false" customHeight="false" outlineLevel="0" collapsed="false">
      <c r="A70" s="5" t="s">
        <v>1255</v>
      </c>
      <c r="B70" s="59" t="s">
        <v>89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1256</v>
      </c>
      <c r="G70" s="91" t="s">
        <v>1257</v>
      </c>
    </row>
    <row r="71" customFormat="false" ht="29.85" hidden="false" customHeight="false" outlineLevel="0" collapsed="false">
      <c r="A71" s="6" t="s">
        <v>1258</v>
      </c>
      <c r="B71" s="59" t="s">
        <v>89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137</v>
      </c>
      <c r="G71" s="85" t="s">
        <v>1259</v>
      </c>
    </row>
    <row r="72" customFormat="false" ht="15" hidden="false" customHeight="false" outlineLevel="0" collapsed="false">
      <c r="A72" s="5" t="s">
        <v>1260</v>
      </c>
      <c r="B72" s="59" t="s">
        <v>863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137</v>
      </c>
      <c r="G72" s="91" t="s">
        <v>1261</v>
      </c>
    </row>
    <row r="73" customFormat="false" ht="15" hidden="false" customHeight="false" outlineLevel="0" collapsed="false">
      <c r="A73" s="6" t="s">
        <v>1262</v>
      </c>
      <c r="B73" s="59" t="s">
        <v>863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137</v>
      </c>
      <c r="G73" s="91" t="s">
        <v>1263</v>
      </c>
    </row>
    <row r="74" customFormat="false" ht="15" hidden="false" customHeight="false" outlineLevel="0" collapsed="false">
      <c r="A74" s="10" t="s">
        <v>1264</v>
      </c>
    </row>
    <row r="75" customFormat="false" ht="15" hidden="false" customHeight="false" outlineLevel="0" collapsed="false">
      <c r="A75" s="6" t="s">
        <v>1265</v>
      </c>
      <c r="B75" s="58" t="s">
        <v>1266</v>
      </c>
      <c r="C75" s="96" t="n">
        <f aca="false">SRC_DEM_024</f>
        <v>15.5</v>
      </c>
      <c r="D75" s="59" t="s">
        <v>604</v>
      </c>
      <c r="E75" s="59" t="s">
        <v>604</v>
      </c>
      <c r="F75" s="56" t="s">
        <v>1253</v>
      </c>
      <c r="G75" s="85" t="s">
        <v>1267</v>
      </c>
    </row>
    <row r="76" customFormat="false" ht="15" hidden="false" customHeight="false" outlineLevel="0" collapsed="false">
      <c r="A76" s="6" t="s">
        <v>1268</v>
      </c>
      <c r="B76" s="58" t="s">
        <v>1266</v>
      </c>
      <c r="C76" s="96" t="n">
        <f aca="false">SRC_DEM_025</f>
        <v>20</v>
      </c>
      <c r="D76" s="59" t="s">
        <v>604</v>
      </c>
      <c r="E76" s="59" t="s">
        <v>604</v>
      </c>
      <c r="F76" s="56" t="s">
        <v>1253</v>
      </c>
      <c r="G76" s="85" t="s">
        <v>1269</v>
      </c>
    </row>
    <row r="77" customFormat="false" ht="15" hidden="false" customHeight="false" outlineLevel="0" collapsed="false">
      <c r="A77" s="6" t="s">
        <v>1270</v>
      </c>
      <c r="B77" s="58" t="s">
        <v>1266</v>
      </c>
      <c r="C77" s="96" t="n">
        <f aca="false">SRC_DEM_026</f>
        <v>35</v>
      </c>
      <c r="D77" s="59" t="s">
        <v>604</v>
      </c>
      <c r="E77" s="59" t="s">
        <v>604</v>
      </c>
      <c r="F77" s="56" t="s">
        <v>1253</v>
      </c>
      <c r="G77" s="85" t="s">
        <v>1271</v>
      </c>
    </row>
    <row r="78" customFormat="false" ht="15" hidden="false" customHeight="false" outlineLevel="0" collapsed="false">
      <c r="A78" s="6" t="s">
        <v>1272</v>
      </c>
      <c r="B78" s="58" t="s">
        <v>1266</v>
      </c>
      <c r="C78" s="96" t="n">
        <f aca="false">SRC_DEM_019</f>
        <v>50</v>
      </c>
      <c r="D78" s="59" t="s">
        <v>604</v>
      </c>
      <c r="E78" s="59" t="s">
        <v>604</v>
      </c>
      <c r="F78" s="56" t="s">
        <v>1273</v>
      </c>
      <c r="G78" s="85" t="s">
        <v>1274</v>
      </c>
    </row>
    <row r="79" customFormat="false" ht="29.85" hidden="false" customHeight="false" outlineLevel="0" collapsed="false">
      <c r="A79" s="6" t="s">
        <v>1275</v>
      </c>
      <c r="B79" s="58" t="s">
        <v>1266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137</v>
      </c>
      <c r="G79" s="85" t="s">
        <v>1276</v>
      </c>
    </row>
    <row r="80" customFormat="false" ht="15" hidden="false" customHeight="false" outlineLevel="0" collapsed="false">
      <c r="A80" s="10" t="s">
        <v>1277</v>
      </c>
    </row>
    <row r="81" customFormat="false" ht="29.85" hidden="false" customHeight="false" outlineLevel="0" collapsed="false">
      <c r="A81" s="6" t="s">
        <v>1278</v>
      </c>
      <c r="B81" s="59" t="s">
        <v>783</v>
      </c>
      <c r="C81" s="65" t="n">
        <f aca="false">AL_DChatPaid</f>
        <v>1460000000</v>
      </c>
      <c r="D81" s="65" t="n">
        <f aca="false">SRC_DEM_012*1000000000*AL_TokPerPrompt_Hi*365/1000000*(1-AL_FreeShare_Lo)</f>
        <v>6022500000</v>
      </c>
      <c r="E81" s="65" t="n">
        <f aca="false">SRC_DEM_012*1000000000*AL_TokPerPrompt_Lo*365/1000000*(1-AL_FreeShare_Hi)</f>
        <v>365000000</v>
      </c>
      <c r="F81" s="56" t="s">
        <v>1279</v>
      </c>
      <c r="G81" s="91" t="s">
        <v>1280</v>
      </c>
    </row>
    <row r="82" customFormat="false" ht="29.85" hidden="false" customHeight="false" outlineLevel="0" collapsed="false">
      <c r="A82" s="6" t="s">
        <v>1281</v>
      </c>
      <c r="B82" s="59" t="s">
        <v>783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1279</v>
      </c>
      <c r="G82" s="91" t="s">
        <v>1282</v>
      </c>
    </row>
    <row r="83" customFormat="false" ht="15" hidden="false" customHeight="false" outlineLevel="0" collapsed="false">
      <c r="A83" s="6" t="s">
        <v>1283</v>
      </c>
      <c r="B83" s="59" t="s">
        <v>783</v>
      </c>
      <c r="C83" s="65" t="n">
        <f aca="false">C81+C82</f>
        <v>3825200000</v>
      </c>
      <c r="D83" s="65" t="n">
        <f aca="false">D81+D82</f>
        <v>8860740000</v>
      </c>
      <c r="E83" s="65" t="n">
        <f aca="false">E81+E82</f>
        <v>2257160000</v>
      </c>
      <c r="F83" s="56" t="s">
        <v>137</v>
      </c>
      <c r="G83" s="91" t="s">
        <v>1284</v>
      </c>
    </row>
    <row r="84" customFormat="false" ht="15" hidden="false" customHeight="false" outlineLevel="0" collapsed="false">
      <c r="A84" s="5" t="s">
        <v>1285</v>
      </c>
      <c r="B84" s="59" t="s">
        <v>1286</v>
      </c>
      <c r="C84" s="72" t="n">
        <f aca="false">C81/(C79*1000000)</f>
        <v>44.5801526717557</v>
      </c>
      <c r="D84" s="72" t="n">
        <f aca="false">D81/(D79*1000000)</f>
        <v>183.893129770992</v>
      </c>
      <c r="E84" s="72" t="n">
        <f aca="false">E81/(E79*1000000)</f>
        <v>11.1450381679389</v>
      </c>
      <c r="F84" s="56" t="s">
        <v>137</v>
      </c>
      <c r="G84" s="85" t="s">
        <v>1287</v>
      </c>
    </row>
    <row r="85" customFormat="false" ht="29.85" hidden="false" customHeight="false" outlineLevel="0" collapsed="false">
      <c r="A85" s="6" t="s">
        <v>1288</v>
      </c>
      <c r="B85" s="59" t="s">
        <v>783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1289</v>
      </c>
      <c r="G85" s="85" t="s">
        <v>1290</v>
      </c>
    </row>
    <row r="86" customFormat="false" ht="29.85" hidden="false" customHeight="false" outlineLevel="0" collapsed="false">
      <c r="A86" s="6" t="s">
        <v>1291</v>
      </c>
      <c r="B86" s="59" t="s">
        <v>1292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1273</v>
      </c>
      <c r="G86" s="85" t="s">
        <v>1293</v>
      </c>
    </row>
    <row r="87" customFormat="false" ht="15" hidden="false" customHeight="false" outlineLevel="0" collapsed="false">
      <c r="A87" s="5" t="s">
        <v>1294</v>
      </c>
      <c r="B87" s="59" t="s">
        <v>89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1158</v>
      </c>
      <c r="G87" s="85" t="s">
        <v>1295</v>
      </c>
    </row>
    <row r="88" customFormat="false" ht="15" hidden="false" customHeight="false" outlineLevel="0" collapsed="false">
      <c r="A88" s="6" t="s">
        <v>1296</v>
      </c>
      <c r="B88" s="59" t="s">
        <v>783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137</v>
      </c>
      <c r="G88" s="85" t="s">
        <v>1297</v>
      </c>
    </row>
    <row r="89" customFormat="false" ht="15" hidden="false" customHeight="false" outlineLevel="0" collapsed="false">
      <c r="A89" s="10" t="s">
        <v>1298</v>
      </c>
    </row>
    <row r="90" customFormat="false" ht="29.85" hidden="false" customHeight="false" outlineLevel="0" collapsed="false">
      <c r="A90" s="5" t="s">
        <v>1299</v>
      </c>
      <c r="B90" s="59" t="s">
        <v>791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137</v>
      </c>
      <c r="G90" s="91" t="s">
        <v>1300</v>
      </c>
    </row>
    <row r="91" customFormat="false" ht="15" hidden="false" customHeight="false" outlineLevel="0" collapsed="false">
      <c r="A91" s="10" t="s">
        <v>1301</v>
      </c>
    </row>
    <row r="92" customFormat="false" ht="15" hidden="false" customHeight="false" outlineLevel="0" collapsed="false">
      <c r="A92" s="5" t="s">
        <v>1302</v>
      </c>
      <c r="B92" s="59" t="s">
        <v>93</v>
      </c>
      <c r="C92" s="112" t="n">
        <f aca="false">C72*1000000000/(C81*C90)</f>
        <v>3.1960608364849</v>
      </c>
      <c r="D92" s="112" t="n">
        <f aca="false">D72*1000000000/(D81*D90)</f>
        <v>0.677497105280701</v>
      </c>
      <c r="E92" s="112" t="n">
        <f aca="false">E72*1000000000/(E81*E90)</f>
        <v>14.9758279195292</v>
      </c>
      <c r="F92" s="56" t="s">
        <v>137</v>
      </c>
      <c r="G92" s="85" t="s">
        <v>1303</v>
      </c>
    </row>
    <row r="93" customFormat="false" ht="15" hidden="false" customHeight="false" outlineLevel="0" collapsed="false">
      <c r="A93" s="5" t="s">
        <v>1304</v>
      </c>
      <c r="B93" s="59" t="s">
        <v>93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137</v>
      </c>
      <c r="G93" s="91"/>
    </row>
    <row r="94" customFormat="false" ht="15" hidden="false" customHeight="false" outlineLevel="0" collapsed="false">
      <c r="A94" s="5" t="s">
        <v>1305</v>
      </c>
      <c r="B94" s="59" t="s">
        <v>93</v>
      </c>
      <c r="C94" s="104" t="n">
        <f aca="false">C69*1000000000/(C83*C90)</f>
        <v>1.74267221182383</v>
      </c>
      <c r="D94" s="112" t="n">
        <f aca="false">D69*1000000000/(D83*D90)</f>
        <v>0.752315240563261</v>
      </c>
      <c r="E94" s="112" t="n">
        <f aca="false">E69*1000000000/(E83*E90)</f>
        <v>2.95329960865358</v>
      </c>
      <c r="F94" s="56" t="s">
        <v>137</v>
      </c>
      <c r="G94" s="91" t="s">
        <v>1306</v>
      </c>
    </row>
    <row r="95" customFormat="false" ht="15" hidden="false" customHeight="false" outlineLevel="0" collapsed="false">
      <c r="A95" s="5" t="s">
        <v>1307</v>
      </c>
      <c r="B95" s="59" t="s">
        <v>93</v>
      </c>
      <c r="C95" s="58" t="s">
        <v>1308</v>
      </c>
      <c r="D95" s="59" t="s">
        <v>604</v>
      </c>
      <c r="E95" s="59" t="s">
        <v>604</v>
      </c>
      <c r="F95" s="56" t="s">
        <v>604</v>
      </c>
      <c r="G95" s="91" t="s">
        <v>1309</v>
      </c>
    </row>
    <row r="96" customFormat="false" ht="29.85" hidden="false" customHeight="false" outlineLevel="0" collapsed="false">
      <c r="A96" s="5" t="s">
        <v>1310</v>
      </c>
      <c r="B96" s="59" t="s">
        <v>93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137</v>
      </c>
      <c r="G96" s="91" t="s">
        <v>1311</v>
      </c>
    </row>
    <row r="97" customFormat="false" ht="26.85" hidden="false" customHeight="false" outlineLevel="0" collapsed="false">
      <c r="A97" s="5" t="s">
        <v>1312</v>
      </c>
      <c r="B97" s="59" t="s">
        <v>93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137</v>
      </c>
      <c r="G97" s="85" t="s">
        <v>1313</v>
      </c>
    </row>
    <row r="98" customFormat="false" ht="15" hidden="false" customHeight="false" outlineLevel="0" collapsed="false">
      <c r="A98" s="10" t="s">
        <v>1314</v>
      </c>
    </row>
    <row r="99" customFormat="false" ht="15" hidden="false" customHeight="false" outlineLevel="0" collapsed="false">
      <c r="A99" s="6" t="s">
        <v>1315</v>
      </c>
      <c r="B99" s="59" t="s">
        <v>1316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1273</v>
      </c>
      <c r="G99" s="85" t="s">
        <v>1317</v>
      </c>
    </row>
    <row r="100" customFormat="false" ht="15" hidden="false" customHeight="false" outlineLevel="0" collapsed="false">
      <c r="A100" s="5" t="s">
        <v>1318</v>
      </c>
      <c r="B100" s="58" t="s">
        <v>1319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90</v>
      </c>
      <c r="G100" s="85" t="s">
        <v>1320</v>
      </c>
    </row>
    <row r="101" customFormat="false" ht="15" hidden="false" customHeight="false" outlineLevel="0" collapsed="false">
      <c r="A101" s="5" t="s">
        <v>1321</v>
      </c>
      <c r="B101" s="59" t="s">
        <v>1322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137</v>
      </c>
      <c r="G101" s="91"/>
    </row>
    <row r="102" customFormat="false" ht="29.85" hidden="false" customHeight="false" outlineLevel="0" collapsed="false">
      <c r="A102" s="5" t="s">
        <v>1323</v>
      </c>
      <c r="B102" s="59" t="s">
        <v>1324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90</v>
      </c>
      <c r="G102" s="85" t="s">
        <v>1325</v>
      </c>
    </row>
    <row r="103" customFormat="false" ht="29.85" hidden="false" customHeight="false" outlineLevel="0" collapsed="false">
      <c r="A103" s="5" t="s">
        <v>1326</v>
      </c>
      <c r="B103" s="59" t="s">
        <v>93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94</v>
      </c>
      <c r="G103" s="91" t="s">
        <v>1327</v>
      </c>
    </row>
    <row r="104" customFormat="false" ht="26.85" hidden="false" customHeight="false" outlineLevel="0" collapsed="false">
      <c r="A104" s="5" t="s">
        <v>1328</v>
      </c>
      <c r="B104" s="59" t="s">
        <v>89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1329</v>
      </c>
      <c r="G104" s="91" t="s">
        <v>1330</v>
      </c>
    </row>
    <row r="105" customFormat="false" ht="26.85" hidden="false" customHeight="false" outlineLevel="0" collapsed="false">
      <c r="A105" s="5" t="s">
        <v>1331</v>
      </c>
      <c r="B105" s="59" t="s">
        <v>89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1332</v>
      </c>
      <c r="G105" s="91" t="s">
        <v>1333</v>
      </c>
    </row>
    <row r="106" customFormat="false" ht="15" hidden="false" customHeight="false" outlineLevel="0" collapsed="false">
      <c r="A106" s="5" t="s">
        <v>1334</v>
      </c>
      <c r="B106" s="59" t="s">
        <v>791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137</v>
      </c>
      <c r="G106" s="85" t="s">
        <v>1335</v>
      </c>
    </row>
    <row r="107" customFormat="false" ht="29.85" hidden="false" customHeight="false" outlineLevel="0" collapsed="false">
      <c r="A107" s="5" t="s">
        <v>1336</v>
      </c>
      <c r="B107" s="59" t="s">
        <v>93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137</v>
      </c>
      <c r="G107" s="85" t="s">
        <v>1337</v>
      </c>
    </row>
    <row r="108" customFormat="false" ht="15" hidden="false" customHeight="false" outlineLevel="0" collapsed="false">
      <c r="A108" s="10" t="s">
        <v>1338</v>
      </c>
    </row>
    <row r="109" customFormat="false" ht="26.85" hidden="false" customHeight="false" outlineLevel="0" collapsed="false">
      <c r="A109" s="5" t="s">
        <v>1339</v>
      </c>
      <c r="B109" s="59" t="s">
        <v>81</v>
      </c>
      <c r="C109" s="70" t="n">
        <f aca="false">AL_ServeGWSpend/AL_SpendBasis</f>
        <v>0.673572128264205</v>
      </c>
      <c r="D109" s="70" t="n">
        <f aca="false">AL_ServeGWSpend/AL_SpendBasis_Lo</f>
        <v>0.898096171018939</v>
      </c>
      <c r="E109" s="70" t="n">
        <f aca="false">AL_ServeGWSpend/AL_SpendBasis_Hi</f>
        <v>0.44904808550947</v>
      </c>
      <c r="F109" s="56" t="s">
        <v>1279</v>
      </c>
      <c r="G109" s="85" t="s">
        <v>1340</v>
      </c>
    </row>
    <row r="110" customFormat="false" ht="29.85" hidden="false" customHeight="false" outlineLevel="0" collapsed="false">
      <c r="A110" s="5" t="s">
        <v>1341</v>
      </c>
      <c r="B110" s="59" t="s">
        <v>1342</v>
      </c>
      <c r="C110" s="60" t="n">
        <f aca="false">AL_BlendPaid</f>
        <v>24125625824.4492</v>
      </c>
      <c r="D110" s="60" t="n">
        <f aca="false">AL_BlendPaid</f>
        <v>24125625824.4492</v>
      </c>
      <c r="E110" s="60" t="n">
        <f aca="false">AL_BlendPaid</f>
        <v>24125625824.4492</v>
      </c>
      <c r="F110" s="56" t="s">
        <v>137</v>
      </c>
      <c r="G110" s="85" t="s">
        <v>1343</v>
      </c>
    </row>
    <row r="111" customFormat="false" ht="29.85" hidden="false" customHeight="false" outlineLevel="0" collapsed="false">
      <c r="A111" s="5" t="s">
        <v>1344</v>
      </c>
      <c r="B111" s="59" t="s">
        <v>1342</v>
      </c>
      <c r="C111" s="60" t="n">
        <f aca="false">AL_BlendFree</f>
        <v>91100077130.4794</v>
      </c>
      <c r="D111" s="60" t="n">
        <f aca="false">AL_BlendFree</f>
        <v>91100077130.4794</v>
      </c>
      <c r="E111" s="60" t="n">
        <f aca="false">AL_BlendFree</f>
        <v>91100077130.4794</v>
      </c>
      <c r="F111" s="56" t="s">
        <v>137</v>
      </c>
      <c r="G111" s="85" t="s">
        <v>1345</v>
      </c>
    </row>
    <row r="112" customFormat="false" ht="26.85" hidden="false" customHeight="false" outlineLevel="0" collapsed="false">
      <c r="A112" s="5" t="s">
        <v>1346</v>
      </c>
      <c r="B112" s="59" t="s">
        <v>93</v>
      </c>
      <c r="C112" s="112" t="n">
        <f aca="false">AL_DFree/AL_DPaid</f>
        <v>0.572519083969466</v>
      </c>
      <c r="D112" s="112" t="n">
        <f aca="false">AL_DFree/AL_DPaid</f>
        <v>0.572519083969466</v>
      </c>
      <c r="E112" s="112" t="n">
        <f aca="false">AL_DFree/AL_DPaid</f>
        <v>0.572519083969466</v>
      </c>
      <c r="F112" s="56" t="s">
        <v>137</v>
      </c>
      <c r="G112" s="85" t="s">
        <v>1347</v>
      </c>
    </row>
    <row r="113" customFormat="false" ht="29.85" hidden="false" customHeight="false" outlineLevel="0" collapsed="false">
      <c r="A113" s="5" t="s">
        <v>1348</v>
      </c>
      <c r="B113" s="59" t="s">
        <v>93</v>
      </c>
      <c r="C113" s="112" t="n">
        <f aca="false">IF(AND(ISNUMBER(C110),ISNUMBER(C111)),IF_FreeShare*(C111/C110)/(1-IF_FreeShare),"SLO 不可達")</f>
        <v>3.21665311284073</v>
      </c>
      <c r="D113" s="112" t="n">
        <f aca="false">IF(AND(ISNUMBER(D110),ISNUMBER(D111)),IF_FreeShare*(D111/D110)/(1-IF_FreeShare),"SLO 不可達")</f>
        <v>3.21665311284073</v>
      </c>
      <c r="E113" s="112" t="n">
        <f aca="false">IF(AND(ISNUMBER(E110),ISNUMBER(E111)),IF_FreeShare*(E111/E110)/(1-IF_FreeShare),"SLO 不可達")</f>
        <v>3.21665311284073</v>
      </c>
      <c r="F113" s="56" t="s">
        <v>1349</v>
      </c>
      <c r="G113" s="91" t="s">
        <v>1350</v>
      </c>
    </row>
    <row r="114" customFormat="false" ht="29.85" hidden="false" customHeight="false" outlineLevel="0" collapsed="false">
      <c r="A114" s="5" t="s">
        <v>1351</v>
      </c>
      <c r="B114" s="59" t="s">
        <v>93</v>
      </c>
      <c r="C114" s="112" t="n">
        <f aca="false">AL_UtilActual/IF_Util</f>
        <v>0.583333333333333</v>
      </c>
      <c r="D114" s="112" t="n">
        <f aca="false">AL_UtilActual_Hi/IF_Util</f>
        <v>0.666666666666667</v>
      </c>
      <c r="E114" s="112" t="n">
        <f aca="false">AL_UtilActual_Lo/IF_Util</f>
        <v>0.5</v>
      </c>
      <c r="F114" s="56" t="s">
        <v>1279</v>
      </c>
      <c r="G114" s="85" t="s">
        <v>1352</v>
      </c>
    </row>
    <row r="115" customFormat="false" ht="24.6" hidden="false" customHeight="false" outlineLevel="0" collapsed="false">
      <c r="A115" s="5" t="s">
        <v>1353</v>
      </c>
      <c r="B115" s="59" t="s">
        <v>93</v>
      </c>
      <c r="C115" s="115" t="n">
        <f aca="false">CTL_ProdDerate</f>
        <v>0.85</v>
      </c>
      <c r="D115" s="115" t="n">
        <f aca="false">CTL_ProdDerate</f>
        <v>0.85</v>
      </c>
      <c r="E115" s="115" t="n">
        <f aca="false">CTL_ProdDerate</f>
        <v>0.85</v>
      </c>
      <c r="F115" s="56" t="s">
        <v>137</v>
      </c>
      <c r="G115" s="91" t="s">
        <v>1354</v>
      </c>
    </row>
    <row r="116" customFormat="false" ht="29.85" hidden="false" customHeight="false" outlineLevel="0" collapsed="false">
      <c r="A116" s="5" t="s">
        <v>1355</v>
      </c>
      <c r="B116" s="59" t="s">
        <v>783</v>
      </c>
      <c r="C116" s="65" t="n">
        <f aca="false">IF(AND(ISNUMBER(C110),ISNUMBER(C111),ISNUMBER(C112)),C109*C114/(1/C110+C112/C111),"SLO 不可達")</f>
        <v>8231351945.4066</v>
      </c>
      <c r="D116" s="65" t="n">
        <f aca="false">IF(AND(ISNUMBER(D110),ISNUMBER(D111),ISNUMBER(D112)),D109*D114/(1/D110+D112/D111),"SLO 不可達")</f>
        <v>12543012488.2386</v>
      </c>
      <c r="E116" s="65" t="n">
        <f aca="false">IF(AND(ISNUMBER(E110),ISNUMBER(E111),ISNUMBER(E112)),E109*E114/(1/E110+E112/E111),"SLO 不可達")</f>
        <v>4703629683.08948</v>
      </c>
      <c r="F116" s="56" t="s">
        <v>137</v>
      </c>
      <c r="G116" s="85" t="s">
        <v>1356</v>
      </c>
    </row>
    <row r="117" customFormat="false" ht="15" hidden="false" customHeight="false" outlineLevel="0" collapsed="false">
      <c r="A117" s="5" t="s">
        <v>1357</v>
      </c>
      <c r="B117" s="59" t="s">
        <v>783</v>
      </c>
      <c r="C117" s="65" t="n">
        <f aca="false">IF(AND(ISNUMBER(C110),ISNUMBER(C111),ISNUMBER(C113)),C109*C114/(1/C110+C113/C111),"SLO 不可達")</f>
        <v>5118859976.66824</v>
      </c>
      <c r="D117" s="65" t="n">
        <f aca="false">IF(AND(ISNUMBER(D110),ISNUMBER(D111),ISNUMBER(D113)),D109*D114/(1/D110+D113/D111),"SLO 不可達")</f>
        <v>7800167583.49445</v>
      </c>
      <c r="E117" s="65" t="n">
        <f aca="false">IF(AND(ISNUMBER(E110),ISNUMBER(E111),ISNUMBER(E113)),E109*E114/(1/E110+E113/E111),"SLO 不可達")</f>
        <v>2925062843.81042</v>
      </c>
      <c r="F117" s="56" t="s">
        <v>137</v>
      </c>
      <c r="G117" s="91" t="s">
        <v>1358</v>
      </c>
    </row>
    <row r="118" customFormat="false" ht="44" hidden="false" customHeight="false" outlineLevel="0" collapsed="false">
      <c r="A118" s="5" t="s">
        <v>1359</v>
      </c>
      <c r="B118" s="59" t="s">
        <v>783</v>
      </c>
      <c r="C118" s="68" t="n">
        <f aca="false">IF(AND(ISNUMBER(C110),ISNUMBER(C111),ISNUMBER(C112)),C109*C115/(1/C110+C112/C111),"SLO 不可達")</f>
        <v>11994255691.8782</v>
      </c>
      <c r="D118" s="65" t="n">
        <f aca="false">IF(AND(ISNUMBER(D110),ISNUMBER(D111),ISNUMBER(D112)),D109*D115/(1/D110+D112/D111),"SLO 不可達")</f>
        <v>15992340922.5042</v>
      </c>
      <c r="E118" s="65" t="n">
        <f aca="false">IF(AND(ISNUMBER(E110),ISNUMBER(E111),ISNUMBER(E112)),E109*E115/(1/E110+E112/E111),"SLO 不可達")</f>
        <v>7996170461.25212</v>
      </c>
      <c r="F118" s="56" t="s">
        <v>137</v>
      </c>
      <c r="G118" s="85" t="s">
        <v>1360</v>
      </c>
    </row>
    <row r="119" customFormat="false" ht="29.85" hidden="false" customHeight="false" outlineLevel="0" collapsed="false">
      <c r="A119" s="5" t="s">
        <v>1361</v>
      </c>
      <c r="B119" s="59" t="s">
        <v>93</v>
      </c>
      <c r="C119" s="104" t="n">
        <f aca="false">IF(ISNUMBER(C116),SRC_DEM_007*1000000000/(C116*C90),"SLO 不可達")</f>
        <v>0.809838989862221</v>
      </c>
      <c r="D119" s="112" t="n">
        <f aca="false">IF(ISNUMBER(D116),SRC_DEM_007*1000000000/(D116*D90),"SLO 不可達")</f>
        <v>0.531456837097083</v>
      </c>
      <c r="E119" s="112" t="n">
        <f aca="false">IF(ISNUMBER(E116),SRC_DEM_007*1000000000/(E116*E90),"SLO 不可達")</f>
        <v>1.41721823225889</v>
      </c>
      <c r="F119" s="56" t="s">
        <v>137</v>
      </c>
      <c r="G119" s="91" t="s">
        <v>1362</v>
      </c>
    </row>
    <row r="120" customFormat="false" ht="15" hidden="false" customHeight="false" outlineLevel="0" collapsed="false">
      <c r="A120" s="5" t="s">
        <v>1363</v>
      </c>
      <c r="B120" s="59" t="s">
        <v>93</v>
      </c>
      <c r="C120" s="112" t="n">
        <f aca="false">IF(ISNUMBER(C117),SRC_DEM_007*1000000000/(C117*C90),"SLO 不可達")</f>
        <v>1.30225670853519</v>
      </c>
      <c r="D120" s="112" t="n">
        <f aca="false">IF(ISNUMBER(D117),SRC_DEM_007*1000000000/(D117*D90),"SLO 不可達")</f>
        <v>0.85460596497622</v>
      </c>
      <c r="E120" s="112" t="n">
        <f aca="false">IF(ISNUMBER(E117),SRC_DEM_007*1000000000/(E117*E90),"SLO 不可達")</f>
        <v>2.27894923993659</v>
      </c>
      <c r="F120" s="56" t="s">
        <v>137</v>
      </c>
      <c r="G120" s="91"/>
    </row>
    <row r="121" customFormat="false" ht="29.85" hidden="false" customHeight="false" outlineLevel="0" collapsed="false">
      <c r="A121" s="6" t="s">
        <v>1364</v>
      </c>
      <c r="B121" s="59" t="s">
        <v>93</v>
      </c>
      <c r="C121" s="104" t="n">
        <f aca="false">IF(ISNUMBER(C118),SRC_DEM_007*1000000000/(C118*C90),"SLO 不可達")</f>
        <v>0.555771855787799</v>
      </c>
      <c r="D121" s="112" t="n">
        <f aca="false">IF(ISNUMBER(D118),SRC_DEM_007*1000000000/(D118*D90),"SLO 不可達")</f>
        <v>0.416828891840849</v>
      </c>
      <c r="E121" s="112" t="n">
        <f aca="false">IF(ISNUMBER(E118),SRC_DEM_007*1000000000/(E118*E90),"SLO 不可達")</f>
        <v>0.833657783681698</v>
      </c>
      <c r="F121" s="56" t="s">
        <v>137</v>
      </c>
      <c r="G121" s="85" t="s">
        <v>1365</v>
      </c>
    </row>
    <row r="122" customFormat="false" ht="15" hidden="false" customHeight="false" outlineLevel="0" collapsed="false">
      <c r="A122" s="57" t="s">
        <v>1366</v>
      </c>
    </row>
    <row r="123" customFormat="false" ht="15" hidden="false" customHeight="false" outlineLevel="0" collapsed="false">
      <c r="A123" s="6" t="s">
        <v>1367</v>
      </c>
      <c r="B123" s="59" t="s">
        <v>783</v>
      </c>
      <c r="C123" s="65" t="n">
        <f aca="false">SRC_DEM_007*1000000000/(1*C90)</f>
        <v>6666069744.66851</v>
      </c>
      <c r="D123" s="74" t="n">
        <f aca="false">C123/AL_DPaid</f>
        <v>1.74267221182383</v>
      </c>
      <c r="E123" s="65" t="str">
        <f aca="false">IF(ISNUMBER(C118),IF(C123&lt;=C118,"低於上限（m＝1 未被排除）","高於上限（m＝1 被物理上限排除）"),"SLO 不可達")</f>
        <v>低於上限（m＝1 未被排除）</v>
      </c>
      <c r="F123" s="56" t="s">
        <v>137</v>
      </c>
      <c r="G123" s="85" t="s">
        <v>1368</v>
      </c>
    </row>
    <row r="124" customFormat="false" ht="15" hidden="false" customHeight="false" outlineLevel="0" collapsed="false">
      <c r="A124" s="6" t="s">
        <v>1369</v>
      </c>
      <c r="B124" s="59" t="s">
        <v>783</v>
      </c>
      <c r="C124" s="65" t="n">
        <f aca="false">SRC_DEM_007*1000000000/(0.6*C90)</f>
        <v>11110116241.1142</v>
      </c>
      <c r="D124" s="74" t="n">
        <f aca="false">C124/AL_DPaid</f>
        <v>2.90445368637305</v>
      </c>
      <c r="E124" s="65" t="str">
        <f aca="false">IF(ISNUMBER(C118),IF(C124&lt;=C118,"低於上限（m＝0.6 未被排除）","高於上限（m＝0.6 被物理上限排除）"),"SLO 不可達")</f>
        <v>低於上限（m＝0.6 未被排除）</v>
      </c>
      <c r="F124" s="56" t="s">
        <v>137</v>
      </c>
      <c r="G124" s="85" t="s">
        <v>1368</v>
      </c>
    </row>
    <row r="125" customFormat="false" ht="15" hidden="false" customHeight="false" outlineLevel="0" collapsed="false">
      <c r="A125" s="6" t="s">
        <v>1370</v>
      </c>
      <c r="B125" s="59" t="s">
        <v>783</v>
      </c>
      <c r="C125" s="65" t="n">
        <f aca="false">SRC_DEM_007*1000000000/(0.3*C90)</f>
        <v>22220232482.2283</v>
      </c>
      <c r="D125" s="74" t="n">
        <f aca="false">C125/AL_DPaid</f>
        <v>5.80890737274609</v>
      </c>
      <c r="E125" s="65" t="str">
        <f aca="false">IF(ISNUMBER(C118),IF(C125&lt;=C118,"低於上限（m＝0.3 未被排除）","高於上限（m＝0.3 被物理上限排除）"),"SLO 不可達")</f>
        <v>高於上限（m＝0.3 被物理上限排除）</v>
      </c>
      <c r="F125" s="56" t="s">
        <v>137</v>
      </c>
      <c r="G125" s="85" t="s">
        <v>1368</v>
      </c>
    </row>
    <row r="126" customFormat="false" ht="15" hidden="false" customHeight="false" outlineLevel="0" collapsed="false">
      <c r="A126" s="57" t="s">
        <v>1371</v>
      </c>
    </row>
    <row r="127" customFormat="false" ht="39.55" hidden="false" customHeight="false" outlineLevel="0" collapsed="false">
      <c r="A127" s="5" t="s">
        <v>1372</v>
      </c>
      <c r="B127" s="59" t="s">
        <v>89</v>
      </c>
      <c r="C127" s="148" t="n">
        <v>0.1</v>
      </c>
      <c r="D127" s="148" t="n">
        <v>0.2</v>
      </c>
      <c r="E127" s="148" t="n">
        <v>0.05</v>
      </c>
      <c r="F127" s="56" t="s">
        <v>90</v>
      </c>
      <c r="G127" s="91" t="s">
        <v>1373</v>
      </c>
    </row>
    <row r="128" customFormat="false" ht="15" hidden="false" customHeight="false" outlineLevel="0" collapsed="false">
      <c r="A128" s="5" t="s">
        <v>1374</v>
      </c>
      <c r="B128" s="59" t="s">
        <v>93</v>
      </c>
      <c r="C128" s="112" t="n">
        <f aca="false">C72*(1-C127)*1000000000/(C81*C90)</f>
        <v>2.87645475283641</v>
      </c>
      <c r="D128" s="112" t="n">
        <f aca="false">D72*(1-D127)*1000000000/(D81*D90)</f>
        <v>0.541997684224561</v>
      </c>
      <c r="E128" s="112" t="n">
        <f aca="false">E72*(1-E127)*1000000000/(E81*E90)</f>
        <v>14.2270365235528</v>
      </c>
      <c r="F128" s="56" t="s">
        <v>137</v>
      </c>
      <c r="G128" s="85" t="s">
        <v>1375</v>
      </c>
    </row>
    <row r="129" customFormat="false" ht="15" hidden="false" customHeight="false" outlineLevel="0" collapsed="false">
      <c r="A129" s="5" t="s">
        <v>1376</v>
      </c>
      <c r="B129" s="59" t="s">
        <v>93</v>
      </c>
      <c r="C129" s="112" t="n">
        <f aca="false">(C72*(1-C127)+C73)*1000000000/(C83*C90)</f>
        <v>1.62068515699616</v>
      </c>
      <c r="D129" s="112" t="n">
        <f aca="false">(D72*(1-D127)+D73)*1000000000/(D83*D90)</f>
        <v>0.503803701190053</v>
      </c>
      <c r="E129" s="112" t="n">
        <f aca="false">(E72*(1-E127)+E73)*1000000000/(E83*E90)</f>
        <v>3.44623852948495</v>
      </c>
      <c r="F129" s="56" t="s">
        <v>137</v>
      </c>
      <c r="G129" s="85" t="s">
        <v>1377</v>
      </c>
    </row>
    <row r="130" customFormat="false" ht="15" hidden="false" customHeight="false" outlineLevel="0" collapsed="false">
      <c r="A130" s="10" t="s">
        <v>1378</v>
      </c>
    </row>
    <row r="131" customFormat="false" ht="39.55" hidden="false" customHeight="false" outlineLevel="0" collapsed="false">
      <c r="A131" s="6" t="s">
        <v>1379</v>
      </c>
      <c r="B131" s="59" t="s">
        <v>89</v>
      </c>
      <c r="C131" s="148" t="n">
        <v>0.1</v>
      </c>
      <c r="D131" s="148" t="n">
        <v>0.05</v>
      </c>
      <c r="E131" s="148" t="n">
        <v>0.15</v>
      </c>
      <c r="F131" s="56" t="s">
        <v>90</v>
      </c>
      <c r="G131" s="91" t="s">
        <v>1380</v>
      </c>
    </row>
    <row r="132" customFormat="false" ht="29.85" hidden="false" customHeight="false" outlineLevel="0" collapsed="false">
      <c r="A132" s="5" t="s">
        <v>1381</v>
      </c>
      <c r="B132" s="59" t="s">
        <v>89</v>
      </c>
      <c r="C132" s="148" t="n">
        <v>0.75</v>
      </c>
      <c r="D132" s="148" t="n">
        <v>0.9</v>
      </c>
      <c r="E132" s="148" t="n">
        <v>0.6</v>
      </c>
      <c r="F132" s="56" t="s">
        <v>90</v>
      </c>
      <c r="G132" s="91" t="s">
        <v>1382</v>
      </c>
    </row>
    <row r="133" customFormat="false" ht="29.85" hidden="false" customHeight="false" outlineLevel="0" collapsed="false">
      <c r="A133" s="6" t="s">
        <v>1383</v>
      </c>
      <c r="B133" s="59" t="s">
        <v>863</v>
      </c>
      <c r="C133" s="147" t="n">
        <v>0.5</v>
      </c>
      <c r="D133" s="147" t="n">
        <v>0</v>
      </c>
      <c r="E133" s="147" t="n">
        <v>1</v>
      </c>
      <c r="F133" s="56" t="s">
        <v>90</v>
      </c>
      <c r="G133" s="91" t="s">
        <v>1384</v>
      </c>
    </row>
    <row r="134" customFormat="false" ht="15" hidden="false" customHeight="false" outlineLevel="0" collapsed="false">
      <c r="A134" s="10" t="s">
        <v>1385</v>
      </c>
    </row>
    <row r="135" customFormat="false" ht="15" hidden="false" customHeight="false" outlineLevel="0" collapsed="false">
      <c r="A135" s="5" t="s">
        <v>1386</v>
      </c>
      <c r="B135" s="59" t="s">
        <v>863</v>
      </c>
      <c r="C135" s="113" t="n">
        <f aca="false">C69*C70</f>
        <v>9.149</v>
      </c>
      <c r="D135" s="113" t="n">
        <f aca="false">D69*D70</f>
        <v>8</v>
      </c>
      <c r="E135" s="113" t="n">
        <f aca="false">E69*E70</f>
        <v>10.7174</v>
      </c>
      <c r="F135" s="56" t="s">
        <v>137</v>
      </c>
      <c r="G135" s="91" t="s">
        <v>1387</v>
      </c>
    </row>
    <row r="136" customFormat="false" ht="15" hidden="false" customHeight="false" outlineLevel="0" collapsed="false">
      <c r="A136" s="5" t="s">
        <v>1388</v>
      </c>
      <c r="B136" s="59" t="s">
        <v>863</v>
      </c>
      <c r="C136" s="113" t="n">
        <f aca="false">C69*C131</f>
        <v>1.307</v>
      </c>
      <c r="D136" s="113" t="n">
        <f aca="false">D69*D131</f>
        <v>0.6535</v>
      </c>
      <c r="E136" s="113" t="n">
        <f aca="false">E69*E131</f>
        <v>1.9605</v>
      </c>
      <c r="F136" s="56" t="s">
        <v>137</v>
      </c>
      <c r="G136" s="91"/>
    </row>
    <row r="137" customFormat="false" ht="26.85" hidden="false" customHeight="false" outlineLevel="0" collapsed="false">
      <c r="A137" s="6" t="s">
        <v>1389</v>
      </c>
      <c r="B137" s="59" t="s">
        <v>863</v>
      </c>
      <c r="C137" s="113" t="n">
        <f aca="false">C69-C135-C136</f>
        <v>2.614</v>
      </c>
      <c r="D137" s="113" t="n">
        <f aca="false">D69-D135-D136</f>
        <v>4.4165</v>
      </c>
      <c r="E137" s="113" t="n">
        <f aca="false">E69-E135-E136</f>
        <v>0.392100000000001</v>
      </c>
      <c r="F137" s="56" t="s">
        <v>137</v>
      </c>
      <c r="G137" s="91" t="s">
        <v>1390</v>
      </c>
    </row>
    <row r="138" customFormat="false" ht="15" hidden="false" customHeight="false" outlineLevel="0" collapsed="false">
      <c r="A138" s="6" t="s">
        <v>1391</v>
      </c>
      <c r="B138" s="59" t="s">
        <v>89</v>
      </c>
      <c r="C138" s="101" t="n">
        <f aca="false">C137/C69</f>
        <v>0.2</v>
      </c>
      <c r="D138" s="101" t="n">
        <f aca="false">D137/D69</f>
        <v>0.337911247130834</v>
      </c>
      <c r="E138" s="101" t="n">
        <f aca="false">E137/E69</f>
        <v>0.0300000000000001</v>
      </c>
      <c r="F138" s="56" t="s">
        <v>137</v>
      </c>
      <c r="G138" s="91" t="s">
        <v>1392</v>
      </c>
    </row>
    <row r="139" customFormat="false" ht="15" hidden="false" customHeight="false" outlineLevel="0" collapsed="false">
      <c r="A139" s="10" t="s">
        <v>1393</v>
      </c>
    </row>
    <row r="140" customFormat="false" ht="15" hidden="false" customHeight="false" outlineLevel="0" collapsed="false">
      <c r="A140" s="6" t="s">
        <v>1394</v>
      </c>
      <c r="B140" s="59" t="s">
        <v>783</v>
      </c>
      <c r="C140" s="65" t="n">
        <f aca="false">C82</f>
        <v>2365200000</v>
      </c>
      <c r="D140" s="65" t="n">
        <f aca="false">D82</f>
        <v>2838240000</v>
      </c>
      <c r="E140" s="65" t="n">
        <f aca="false">E82</f>
        <v>1892160000</v>
      </c>
      <c r="F140" s="56" t="s">
        <v>1279</v>
      </c>
      <c r="G140" s="85" t="s">
        <v>1395</v>
      </c>
    </row>
    <row r="141" customFormat="false" ht="29.85" hidden="false" customHeight="false" outlineLevel="0" collapsed="false">
      <c r="A141" s="5" t="s">
        <v>1396</v>
      </c>
      <c r="B141" s="59" t="s">
        <v>783</v>
      </c>
      <c r="C141" s="65" t="n">
        <f aca="false">C81*C132</f>
        <v>1095000000</v>
      </c>
      <c r="D141" s="65" t="n">
        <f aca="false">D81*D132</f>
        <v>5420250000</v>
      </c>
      <c r="E141" s="65" t="n">
        <f aca="false">E81*E132</f>
        <v>219000000</v>
      </c>
      <c r="F141" s="56" t="s">
        <v>1279</v>
      </c>
      <c r="G141" s="91"/>
    </row>
    <row r="142" customFormat="false" ht="29.85" hidden="false" customHeight="false" outlineLevel="0" collapsed="false">
      <c r="A142" s="5" t="s">
        <v>1397</v>
      </c>
      <c r="B142" s="59" t="s">
        <v>783</v>
      </c>
      <c r="C142" s="65" t="n">
        <f aca="false">C81*(1-C132)</f>
        <v>365000000</v>
      </c>
      <c r="D142" s="65" t="n">
        <f aca="false">D81*(1-D132)</f>
        <v>602250000</v>
      </c>
      <c r="E142" s="65" t="n">
        <f aca="false">E81*(1-E132)</f>
        <v>146000000</v>
      </c>
      <c r="F142" s="56" t="s">
        <v>1279</v>
      </c>
      <c r="G142" s="91"/>
    </row>
    <row r="143" customFormat="false" ht="15" hidden="false" customHeight="false" outlineLevel="0" collapsed="false">
      <c r="A143" s="10" t="s">
        <v>1398</v>
      </c>
    </row>
    <row r="144" customFormat="false" ht="15" hidden="false" customHeight="false" outlineLevel="0" collapsed="false">
      <c r="A144" s="6" t="s">
        <v>1399</v>
      </c>
      <c r="B144" s="59" t="s">
        <v>93</v>
      </c>
      <c r="C144" s="104" t="n">
        <f aca="false">C137*1000000000/(C140*C90)</f>
        <v>0.56367915987388</v>
      </c>
      <c r="D144" s="112" t="n">
        <f aca="false">D137*1000000000/(D140*D90)</f>
        <v>0.793639699561015</v>
      </c>
      <c r="E144" s="112" t="n">
        <f aca="false">E137*1000000000/(E140*E90)</f>
        <v>0.105689842476353</v>
      </c>
      <c r="F144" s="56" t="s">
        <v>137</v>
      </c>
      <c r="G144" s="91" t="s">
        <v>1400</v>
      </c>
    </row>
    <row r="145" customFormat="false" ht="15" hidden="false" customHeight="false" outlineLevel="0" collapsed="false">
      <c r="A145" s="6" t="s">
        <v>1401</v>
      </c>
      <c r="B145" s="59" t="s">
        <v>93</v>
      </c>
      <c r="C145" s="104" t="n">
        <f aca="false">C135*1000000000/(C141*C90)</f>
        <v>4.26141444864653</v>
      </c>
      <c r="D145" s="112" t="n">
        <f aca="false">D135*1000000000/(D141*D90)</f>
        <v>0.752774561423002</v>
      </c>
      <c r="E145" s="112" t="n">
        <f aca="false">E135*1000000000/(E141*E90)</f>
        <v>24.9597131992154</v>
      </c>
      <c r="F145" s="56" t="s">
        <v>137</v>
      </c>
      <c r="G145" s="85" t="s">
        <v>1402</v>
      </c>
    </row>
    <row r="146" customFormat="false" ht="15" hidden="false" customHeight="false" outlineLevel="0" collapsed="false">
      <c r="A146" s="6" t="s">
        <v>1403</v>
      </c>
      <c r="B146" s="59" t="s">
        <v>93</v>
      </c>
      <c r="C146" s="104" t="n">
        <f aca="false">C136*1000000000/(C142*C90)</f>
        <v>1.82632047799137</v>
      </c>
      <c r="D146" s="112" t="n">
        <f aca="false">D136*1000000000/(D142*D90)</f>
        <v>0.553430447876173</v>
      </c>
      <c r="E146" s="112" t="n">
        <f aca="false">E136*1000000000/(E142*E90)</f>
        <v>6.84870179246764</v>
      </c>
      <c r="F146" s="56" t="s">
        <v>137</v>
      </c>
      <c r="G146" s="91" t="s">
        <v>1404</v>
      </c>
    </row>
    <row r="147" customFormat="false" ht="15" hidden="false" customHeight="false" outlineLevel="0" collapsed="false">
      <c r="A147" s="6" t="s">
        <v>1405</v>
      </c>
      <c r="B147" s="59" t="s">
        <v>93</v>
      </c>
      <c r="C147" s="104" t="n">
        <f aca="false">(C135+C136+C137)*1000000000/((C140+C141+C142)*C90)</f>
        <v>1.74267221182383</v>
      </c>
      <c r="D147" s="112" t="n">
        <f aca="false">(D135+D136+D137)*1000000000/((D140+D141+D142)*D90)</f>
        <v>0.752315240563261</v>
      </c>
      <c r="E147" s="112" t="n">
        <f aca="false">(E135+E136+E137)*1000000000/((E140+E141+E142)*E90)</f>
        <v>2.95329960865358</v>
      </c>
      <c r="F147" s="56" t="s">
        <v>137</v>
      </c>
      <c r="G147" s="91" t="s">
        <v>1406</v>
      </c>
    </row>
    <row r="148" customFormat="false" ht="29.85" hidden="false" customHeight="false" outlineLevel="0" collapsed="false">
      <c r="A148" s="5" t="s">
        <v>1407</v>
      </c>
      <c r="B148" s="59" t="s">
        <v>93</v>
      </c>
      <c r="C148" s="112" t="n">
        <f aca="false">ABS(C147-C94)</f>
        <v>0</v>
      </c>
      <c r="D148" s="112" t="n">
        <f aca="false">ABS(D147-D94)</f>
        <v>0</v>
      </c>
      <c r="E148" s="112" t="n">
        <f aca="false">ABS(E147-E94)</f>
        <v>0</v>
      </c>
      <c r="F148" s="56" t="s">
        <v>137</v>
      </c>
      <c r="G148" s="91" t="s">
        <v>1408</v>
      </c>
    </row>
    <row r="149" customFormat="false" ht="15" hidden="false" customHeight="false" outlineLevel="0" collapsed="false">
      <c r="A149" s="10" t="s">
        <v>1409</v>
      </c>
    </row>
    <row r="150" customFormat="false" ht="26.85" hidden="false" customHeight="false" outlineLevel="0" collapsed="false">
      <c r="A150" s="5" t="s">
        <v>1410</v>
      </c>
      <c r="B150" s="59" t="s">
        <v>93</v>
      </c>
      <c r="C150" s="112" t="n">
        <f aca="false">(1-B4_Disc)/(1-B4_Disc)</f>
        <v>1</v>
      </c>
      <c r="D150" s="112" t="n">
        <f aca="false">(1-B4_Disc_Hi)/(1-B4_Disc)</f>
        <v>0.75</v>
      </c>
      <c r="E150" s="112" t="n">
        <f aca="false">(1-B4_Disc_Lo)/(1-B4_Disc)</f>
        <v>1.125</v>
      </c>
      <c r="F150" s="56" t="s">
        <v>1279</v>
      </c>
      <c r="G150" s="91" t="s">
        <v>1411</v>
      </c>
    </row>
    <row r="151" customFormat="false" ht="26.85" hidden="false" customHeight="false" outlineLevel="0" collapsed="false">
      <c r="A151" s="5" t="s">
        <v>1412</v>
      </c>
      <c r="B151" s="59" t="s">
        <v>93</v>
      </c>
      <c r="C151" s="104" t="n">
        <f aca="false">C144/C150</f>
        <v>0.56367915987388</v>
      </c>
      <c r="D151" s="112" t="n">
        <f aca="false">D144/D150</f>
        <v>1.05818626608135</v>
      </c>
      <c r="E151" s="112" t="n">
        <f aca="false">E144/E150</f>
        <v>0.0939465266456468</v>
      </c>
      <c r="F151" s="56" t="s">
        <v>137</v>
      </c>
      <c r="G151" s="85" t="s">
        <v>1413</v>
      </c>
    </row>
    <row r="152" customFormat="false" ht="29.85" hidden="false" customHeight="false" outlineLevel="0" collapsed="false">
      <c r="A152" s="5" t="s">
        <v>1414</v>
      </c>
      <c r="B152" s="59" t="s">
        <v>93</v>
      </c>
      <c r="C152" s="112" t="n">
        <f aca="false">C107</f>
        <v>0.196163661504425</v>
      </c>
      <c r="D152" s="112" t="n">
        <f aca="false">D107</f>
        <v>0.112163306415929</v>
      </c>
      <c r="E152" s="112" t="n">
        <f aca="false">E107</f>
        <v>0.196163661504425</v>
      </c>
      <c r="F152" s="56" t="s">
        <v>137</v>
      </c>
      <c r="G152" s="85" t="s">
        <v>1415</v>
      </c>
    </row>
    <row r="153" customFormat="false" ht="15" hidden="false" customHeight="false" outlineLevel="0" collapsed="false">
      <c r="A153" s="10" t="s">
        <v>1416</v>
      </c>
    </row>
    <row r="154" customFormat="false" ht="15" hidden="false" customHeight="false" outlineLevel="0" collapsed="false">
      <c r="A154" s="5" t="s">
        <v>1417</v>
      </c>
      <c r="B154" s="59" t="s">
        <v>1324</v>
      </c>
      <c r="C154" s="61" t="n">
        <v>20</v>
      </c>
      <c r="D154" s="65" t="n">
        <f aca="false">C154</f>
        <v>20</v>
      </c>
      <c r="E154" s="65" t="n">
        <f aca="false">C154</f>
        <v>20</v>
      </c>
      <c r="F154" s="56" t="s">
        <v>90</v>
      </c>
      <c r="G154" s="91" t="s">
        <v>1418</v>
      </c>
    </row>
    <row r="155" customFormat="false" ht="29.85" hidden="false" customHeight="false" outlineLevel="0" collapsed="false">
      <c r="A155" s="5" t="s">
        <v>1419</v>
      </c>
      <c r="B155" s="59" t="s">
        <v>1324</v>
      </c>
      <c r="C155" s="61" t="n">
        <v>700</v>
      </c>
      <c r="D155" s="65" t="n">
        <f aca="false">C155</f>
        <v>700</v>
      </c>
      <c r="E155" s="65" t="n">
        <f aca="false">C155</f>
        <v>700</v>
      </c>
      <c r="F155" s="56" t="s">
        <v>90</v>
      </c>
      <c r="G155" s="91" t="s">
        <v>1420</v>
      </c>
    </row>
    <row r="156" customFormat="false" ht="15" hidden="false" customHeight="false" outlineLevel="0" collapsed="false">
      <c r="A156" s="5" t="s">
        <v>1421</v>
      </c>
      <c r="B156" s="59" t="s">
        <v>1324</v>
      </c>
      <c r="C156" s="61" t="n">
        <v>200</v>
      </c>
      <c r="D156" s="65" t="n">
        <f aca="false">C156</f>
        <v>200</v>
      </c>
      <c r="E156" s="65" t="n">
        <f aca="false">C156</f>
        <v>200</v>
      </c>
      <c r="F156" s="56" t="s">
        <v>90</v>
      </c>
      <c r="G156" s="91" t="s">
        <v>1422</v>
      </c>
    </row>
    <row r="157" customFormat="false" ht="29.85" hidden="false" customHeight="false" outlineLevel="0" collapsed="false">
      <c r="A157" s="5" t="s">
        <v>1423</v>
      </c>
      <c r="B157" s="59" t="s">
        <v>1324</v>
      </c>
      <c r="C157" s="61" t="n">
        <v>14000</v>
      </c>
      <c r="D157" s="65" t="n">
        <f aca="false">C157</f>
        <v>14000</v>
      </c>
      <c r="E157" s="65" t="n">
        <f aca="false">C157</f>
        <v>14000</v>
      </c>
      <c r="F157" s="56" t="s">
        <v>90</v>
      </c>
      <c r="G157" s="91" t="s">
        <v>1424</v>
      </c>
    </row>
    <row r="158" customFormat="false" ht="29.85" hidden="false" customHeight="false" outlineLevel="0" collapsed="false">
      <c r="A158" s="5" t="s">
        <v>1425</v>
      </c>
      <c r="B158" s="59" t="s">
        <v>93</v>
      </c>
      <c r="C158" s="112" t="n">
        <f aca="false">C154/C155</f>
        <v>0.0285714285714286</v>
      </c>
      <c r="D158" s="112" t="n">
        <f aca="false">D154/D155</f>
        <v>0.0285714285714286</v>
      </c>
      <c r="E158" s="112" t="n">
        <f aca="false">E154/E155</f>
        <v>0.0285714285714286</v>
      </c>
      <c r="F158" s="56" t="s">
        <v>94</v>
      </c>
      <c r="G158" s="85" t="s">
        <v>1426</v>
      </c>
    </row>
    <row r="159" customFormat="false" ht="29.85" hidden="false" customHeight="false" outlineLevel="0" collapsed="false">
      <c r="A159" s="5" t="s">
        <v>1427</v>
      </c>
      <c r="B159" s="59" t="s">
        <v>93</v>
      </c>
      <c r="C159" s="112" t="n">
        <f aca="false">C156/C157</f>
        <v>0.0142857142857143</v>
      </c>
      <c r="D159" s="112" t="n">
        <f aca="false">D156/D157</f>
        <v>0.0142857142857143</v>
      </c>
      <c r="E159" s="112" t="n">
        <f aca="false">E156/E157</f>
        <v>0.0142857142857143</v>
      </c>
      <c r="F159" s="56" t="s">
        <v>94</v>
      </c>
      <c r="G159" s="85" t="s">
        <v>1428</v>
      </c>
    </row>
    <row r="160" customFormat="false" ht="15" hidden="false" customHeight="false" outlineLevel="0" collapsed="false">
      <c r="A160" s="10" t="s">
        <v>1429</v>
      </c>
    </row>
    <row r="161" customFormat="false" ht="29.85" hidden="false" customHeight="false" outlineLevel="0" collapsed="false">
      <c r="A161" s="5" t="s">
        <v>1430</v>
      </c>
      <c r="B161" s="59" t="s">
        <v>1431</v>
      </c>
      <c r="C161" s="65" t="n">
        <f aca="false">C135*1000000000/(C79*1000000)</f>
        <v>279.358778625954</v>
      </c>
      <c r="D161" s="65" t="n">
        <f aca="false">D135*1000000000/(D79*1000000)</f>
        <v>244.274809160305</v>
      </c>
      <c r="E161" s="65" t="n">
        <f aca="false">E135*1000000000/(E79*1000000)</f>
        <v>327.248854961832</v>
      </c>
      <c r="F161" s="56" t="s">
        <v>137</v>
      </c>
      <c r="G161" s="91" t="s">
        <v>1432</v>
      </c>
    </row>
    <row r="162" customFormat="false" ht="15" hidden="false" customHeight="false" outlineLevel="0" collapsed="false">
      <c r="A162" s="6" t="s">
        <v>1433</v>
      </c>
      <c r="B162" s="59" t="s">
        <v>1286</v>
      </c>
      <c r="C162" s="72" t="n">
        <f aca="false">C161/C90</f>
        <v>142.480880038716</v>
      </c>
      <c r="D162" s="72" t="n">
        <f aca="false">D161/D90</f>
        <v>124.587063100856</v>
      </c>
      <c r="E162" s="72" t="n">
        <f aca="false">E161/E90</f>
        <v>166.906173759639</v>
      </c>
      <c r="F162" s="56" t="s">
        <v>137</v>
      </c>
      <c r="G162" s="85" t="s">
        <v>1434</v>
      </c>
    </row>
    <row r="163" customFormat="false" ht="29.85" hidden="false" customHeight="false" outlineLevel="0" collapsed="false">
      <c r="A163" s="5" t="s">
        <v>1435</v>
      </c>
      <c r="B163" s="59" t="s">
        <v>1286</v>
      </c>
      <c r="C163" s="72" t="n">
        <f aca="false">C155*12/C90</f>
        <v>4284.23763238068</v>
      </c>
      <c r="D163" s="72" t="n">
        <f aca="false">D155*12/D90</f>
        <v>4284.23763238068</v>
      </c>
      <c r="E163" s="72" t="n">
        <f aca="false">E155*12/E90</f>
        <v>4284.23763238068</v>
      </c>
      <c r="F163" s="56" t="s">
        <v>94</v>
      </c>
      <c r="G163" s="85" t="s">
        <v>1436</v>
      </c>
    </row>
    <row r="164" customFormat="false" ht="29.85" hidden="false" customHeight="false" outlineLevel="0" collapsed="false">
      <c r="A164" s="5" t="s">
        <v>1437</v>
      </c>
      <c r="B164" s="59" t="s">
        <v>1286</v>
      </c>
      <c r="C164" s="72" t="n">
        <f aca="false">C84</f>
        <v>44.5801526717557</v>
      </c>
      <c r="D164" s="72" t="n">
        <f aca="false">D84</f>
        <v>183.893129770992</v>
      </c>
      <c r="E164" s="72" t="n">
        <f aca="false">E84</f>
        <v>11.1450381679389</v>
      </c>
      <c r="F164" s="56" t="s">
        <v>137</v>
      </c>
      <c r="G164" s="91" t="s">
        <v>1438</v>
      </c>
    </row>
    <row r="165" customFormat="false" ht="15" hidden="false" customHeight="false" outlineLevel="0" collapsed="false">
      <c r="A165" s="5" t="s">
        <v>1439</v>
      </c>
      <c r="B165" s="59" t="s">
        <v>93</v>
      </c>
      <c r="C165" s="112" t="str">
        <f aca="false">"所需＝現值 × "&amp;TEXT(C162/C164,"0.00")&amp;"；＝Plus 上限 × "&amp;TEXT(C162/C163,"0.00")</f>
        <v>所需＝現值 × 3.20；＝Plus 上限 × 0.03</v>
      </c>
      <c r="D165" s="112" t="str">
        <f aca="false">"所需＝現值 × "&amp;TEXT(D162/D164,"0.00")&amp;"；＝Plus 上限 × "&amp;TEXT(D162/D163,"0.00")</f>
        <v>所需＝現值 × 0.68；＝Plus 上限 × 0.03</v>
      </c>
      <c r="E165" s="112" t="str">
        <f aca="false">"所需＝現值 × "&amp;TEXT(E162/E164,"0.00")&amp;"；＝Plus 上限 × "&amp;TEXT(E162/E163,"0.00")</f>
        <v>所需＝現值 × 14.98；＝Plus 上限 × 0.04</v>
      </c>
      <c r="F165" s="56" t="s">
        <v>137</v>
      </c>
      <c r="G165" s="91" t="s">
        <v>1440</v>
      </c>
    </row>
    <row r="166" customFormat="false" ht="15" hidden="false" customHeight="false" outlineLevel="0" collapsed="false">
      <c r="A166" s="10" t="s">
        <v>1441</v>
      </c>
    </row>
    <row r="167" customFormat="false" ht="29.85" hidden="false" customHeight="false" outlineLevel="0" collapsed="false">
      <c r="A167" s="6" t="s">
        <v>1442</v>
      </c>
      <c r="B167" s="59" t="s">
        <v>89</v>
      </c>
      <c r="C167" s="101" t="n">
        <f aca="false">SRC_DEM_034/(SRC_DEM_034+SRC_DEM_035)</f>
        <v>0.828067117018958</v>
      </c>
      <c r="D167" s="101" t="n">
        <f aca="false">SRC_DEM_034/(SRC_DEM_034+SRC_DEM_035)</f>
        <v>0.828067117018958</v>
      </c>
      <c r="E167" s="101" t="n">
        <f aca="false">SRC_DEM_034/(SRC_DEM_034+SRC_DEM_035)</f>
        <v>0.828067117018958</v>
      </c>
      <c r="F167" s="56" t="s">
        <v>1443</v>
      </c>
      <c r="G167" s="85" t="s">
        <v>1444</v>
      </c>
    </row>
    <row r="168" customFormat="false" ht="26.85" hidden="false" customHeight="false" outlineLevel="0" collapsed="false">
      <c r="A168" s="6" t="s">
        <v>1445</v>
      </c>
      <c r="B168" s="59" t="s">
        <v>89</v>
      </c>
      <c r="C168" s="101" t="n">
        <f aca="false">SRC_DEM_037/SRC_DEM_036</f>
        <v>0.1625</v>
      </c>
      <c r="D168" s="101" t="n">
        <f aca="false">SRC_DEM_037/SRC_DEM_036</f>
        <v>0.1625</v>
      </c>
      <c r="E168" s="101" t="n">
        <f aca="false">SRC_DEM_037/SRC_DEM_036</f>
        <v>0.1625</v>
      </c>
      <c r="F168" s="56" t="s">
        <v>1443</v>
      </c>
      <c r="G168" s="85" t="s">
        <v>1446</v>
      </c>
    </row>
    <row r="169" customFormat="false" ht="26.85" hidden="false" customHeight="false" outlineLevel="0" collapsed="false">
      <c r="A169" s="6" t="s">
        <v>1447</v>
      </c>
      <c r="B169" s="59" t="s">
        <v>93</v>
      </c>
      <c r="C169" s="112" t="str">
        <f aca="false">"缺分母（需 Anthropic 年 API token）"</f>
        <v>缺分母（需 Anthropic 年 API token）</v>
      </c>
      <c r="D169" s="112" t="str">
        <f aca="false">"缺分母（需 Anthropic 年 API token）"</f>
        <v>缺分母（需 Anthropic 年 API token）</v>
      </c>
      <c r="E169" s="112" t="str">
        <f aca="false">"缺分母（需 Anthropic 年 API token）"</f>
        <v>缺分母（需 Anthropic 年 API token）</v>
      </c>
      <c r="F169" s="71" t="s">
        <v>1448</v>
      </c>
      <c r="G169" s="91" t="s">
        <v>1449</v>
      </c>
    </row>
    <row r="170" customFormat="false" ht="15" hidden="false" customHeight="false" outlineLevel="0" collapsed="false">
      <c r="A170" s="10" t="s">
        <v>1450</v>
      </c>
    </row>
    <row r="171" customFormat="false" ht="15" hidden="false" customHeight="false" outlineLevel="0" collapsed="false">
      <c r="A171" s="5" t="s">
        <v>1451</v>
      </c>
      <c r="B171" s="59" t="s">
        <v>783</v>
      </c>
      <c r="C171" s="65" t="n">
        <f aca="false">C83</f>
        <v>3825200000</v>
      </c>
      <c r="D171" s="65" t="n">
        <f aca="false">D83</f>
        <v>8860740000</v>
      </c>
      <c r="E171" s="65" t="n">
        <f aca="false">E83</f>
        <v>2257160000</v>
      </c>
      <c r="F171" s="56" t="s">
        <v>1279</v>
      </c>
      <c r="G171" s="85" t="s">
        <v>1452</v>
      </c>
    </row>
    <row r="172" customFormat="false" ht="15" hidden="false" customHeight="false" outlineLevel="0" collapsed="false">
      <c r="A172" s="5" t="s">
        <v>1453</v>
      </c>
      <c r="B172" s="59" t="s">
        <v>783</v>
      </c>
      <c r="C172" s="65" t="n">
        <f aca="false">C116</f>
        <v>8231351945.4066</v>
      </c>
      <c r="D172" s="65" t="n">
        <f aca="false">D116</f>
        <v>12543012488.2386</v>
      </c>
      <c r="E172" s="65" t="n">
        <f aca="false">E116</f>
        <v>4703629683.08948</v>
      </c>
      <c r="F172" s="56" t="s">
        <v>137</v>
      </c>
      <c r="G172" s="85" t="s">
        <v>1454</v>
      </c>
    </row>
    <row r="173" customFormat="false" ht="29.85" hidden="false" customHeight="false" outlineLevel="0" collapsed="false">
      <c r="A173" s="5" t="s">
        <v>1455</v>
      </c>
      <c r="B173" s="59" t="s">
        <v>783</v>
      </c>
      <c r="C173" s="65" t="n">
        <f aca="false">C118</f>
        <v>11994255691.8782</v>
      </c>
      <c r="D173" s="65" t="n">
        <f aca="false">D118</f>
        <v>15992340922.5042</v>
      </c>
      <c r="E173" s="65" t="n">
        <f aca="false">E118</f>
        <v>7996170461.25212</v>
      </c>
      <c r="F173" s="56" t="s">
        <v>137</v>
      </c>
      <c r="G173" s="85" t="s">
        <v>1456</v>
      </c>
    </row>
    <row r="174" customFormat="false" ht="29.85" hidden="false" customHeight="false" outlineLevel="0" collapsed="false">
      <c r="A174" s="5" t="s">
        <v>1457</v>
      </c>
      <c r="B174" s="59" t="s">
        <v>93</v>
      </c>
      <c r="C174" s="112" t="n">
        <f aca="false">IF(ISNUMBER(C172),C171/C172,"SLO 不可達")</f>
        <v>0.46471102503819</v>
      </c>
      <c r="D174" s="112" t="n">
        <f aca="false">IF(ISNUMBER(D172),D171/D172,"SLO 不可達")</f>
        <v>0.706428380607017</v>
      </c>
      <c r="E174" s="112" t="n">
        <f aca="false">IF(ISNUMBER(E172),E171/E172,"SLO 不可達")</f>
        <v>0.479876213069017</v>
      </c>
      <c r="F174" s="56" t="s">
        <v>137</v>
      </c>
      <c r="G174" s="91" t="s">
        <v>1458</v>
      </c>
    </row>
    <row r="175" customFormat="false" ht="15" hidden="false" customHeight="false" outlineLevel="0" collapsed="false">
      <c r="A175" s="5" t="s">
        <v>1459</v>
      </c>
      <c r="B175" s="59" t="s">
        <v>93</v>
      </c>
      <c r="C175" s="112" t="n">
        <f aca="false">IF(ISNUMBER(C173),C171/C173,"SLO 不可達")</f>
        <v>0.318919330908562</v>
      </c>
      <c r="D175" s="112" t="n">
        <f aca="false">IF(ISNUMBER(D173),D171/D173,"SLO 不可達")</f>
        <v>0.554061474985896</v>
      </c>
      <c r="E175" s="112" t="n">
        <f aca="false">IF(ISNUMBER(E173),E171/E173,"SLO 不可達")</f>
        <v>0.282280125334716</v>
      </c>
      <c r="F175" s="56" t="s">
        <v>137</v>
      </c>
      <c r="G175" s="91" t="s">
        <v>1460</v>
      </c>
    </row>
    <row r="176" customFormat="false" ht="15" hidden="false" customHeight="false" outlineLevel="0" collapsed="false">
      <c r="A176" s="57" t="s">
        <v>1461</v>
      </c>
    </row>
    <row r="177" customFormat="false" ht="29.85" hidden="false" customHeight="false" outlineLevel="0" collapsed="false">
      <c r="A177" s="6" t="s">
        <v>1462</v>
      </c>
      <c r="B177" s="59" t="s">
        <v>81</v>
      </c>
      <c r="C177" s="70" t="n">
        <f aca="false">C109*C114</f>
        <v>0.392917074820786</v>
      </c>
      <c r="D177" s="70" t="n">
        <f aca="false">D109*D114</f>
        <v>0.598730780679293</v>
      </c>
      <c r="E177" s="70" t="n">
        <f aca="false">E109*E114</f>
        <v>0.224524042754735</v>
      </c>
      <c r="F177" s="56" t="s">
        <v>137</v>
      </c>
      <c r="G177" s="85" t="s">
        <v>1463</v>
      </c>
    </row>
    <row r="178" customFormat="false" ht="44" hidden="false" customHeight="false" outlineLevel="0" collapsed="false">
      <c r="A178" s="6" t="s">
        <v>1464</v>
      </c>
      <c r="B178" s="59" t="s">
        <v>783</v>
      </c>
      <c r="C178" s="65" t="n">
        <f aca="false">IF(AND(ISNUMBER(C110),ISNUMBER(C111)),(C177-C140/C110)/((1-AL_FreeShare)/C110+AL_FreeShare/C111),"SLO 不可達")</f>
        <v>12728985429.4545</v>
      </c>
      <c r="D178" s="65" t="n">
        <f aca="false">IF(AND(ISNUMBER(D110),ISNUMBER(D111)),(D177-D140/D110)/((1-AL_FreeShare)/D110+AL_FreeShare/D111),"SLO 不可達")</f>
        <v>20766885073.2115</v>
      </c>
      <c r="E178" s="65" t="n">
        <f aca="false">IF(AND(ISNUMBER(E110),ISNUMBER(E111)),(E177-E140/E110)/((1-AL_FreeShare)/E110+AL_FreeShare/E111),"SLO 不可達")</f>
        <v>6306410067.42284</v>
      </c>
      <c r="F178" s="56" t="s">
        <v>137</v>
      </c>
      <c r="G178" s="91" t="s">
        <v>1465</v>
      </c>
    </row>
    <row r="179" customFormat="false" ht="29.85" hidden="false" customHeight="false" outlineLevel="0" collapsed="false">
      <c r="A179" s="6" t="s">
        <v>1466</v>
      </c>
      <c r="B179" s="59" t="s">
        <v>275</v>
      </c>
      <c r="C179" s="68" t="n">
        <f aca="false">IF(ISNUMBER(C178),C178*1000000/(SRC_DEM_012*1000000000*365),"SLO 不可達")</f>
        <v>13949.5730733748</v>
      </c>
      <c r="D179" s="65" t="n">
        <f aca="false">IF(ISNUMBER(D178),D178*1000000/(SRC_DEM_012*1000000000*365),"SLO 不可達")</f>
        <v>22758.2302172181</v>
      </c>
      <c r="E179" s="65" t="n">
        <f aca="false">IF(ISNUMBER(E178),E178*1000000/(SRC_DEM_012*1000000000*365),"SLO 不可達")</f>
        <v>6911.13432046339</v>
      </c>
      <c r="F179" s="56" t="s">
        <v>137</v>
      </c>
      <c r="G179" s="91" t="s">
        <v>1467</v>
      </c>
    </row>
    <row r="180" customFormat="false" ht="29.85" hidden="false" customHeight="false" outlineLevel="0" collapsed="false">
      <c r="A180" s="6" t="s">
        <v>1468</v>
      </c>
      <c r="B180" s="59" t="s">
        <v>93</v>
      </c>
      <c r="C180" s="112" t="str">
        <f aca="false">IF(ISNUMBER(C179),IF(C179&gt;AL_TokPerPrompt_Hi,"高於區間（"&amp;TEXT(AL_TokPerPrompt_Lo,"#,##0")&amp;"–"&amp;TEXT(AL_TokPerPrompt_Hi,"#,##0")&amp;"）",IF(C179&lt;AL_TokPerPrompt_Lo,"低於區間","區間內")),"SLO 不可達")</f>
        <v>高於區間（2,000–11,000）</v>
      </c>
      <c r="D180" s="112" t="str">
        <f aca="false">IF(ISNUMBER(D179),IF(D179&gt;AL_TokPerPrompt_Hi,"高於區間（"&amp;TEXT(AL_TokPerPrompt_Lo,"#,##0")&amp;"–"&amp;TEXT(AL_TokPerPrompt_Hi,"#,##0")&amp;"）",IF(D179&lt;AL_TokPerPrompt_Lo,"低於區間","區間內")),"SLO 不可達")</f>
        <v>高於區間（2,000–11,000）</v>
      </c>
      <c r="E180" s="112" t="str">
        <f aca="false">IF(ISNUMBER(E179),IF(E179&gt;AL_TokPerPrompt_Hi,"高於區間（"&amp;TEXT(AL_TokPerPrompt_Lo,"#,##0")&amp;"–"&amp;TEXT(AL_TokPerPrompt_Hi,"#,##0")&amp;"）",IF(E179&lt;AL_TokPerPrompt_Lo,"低於區間","區間內")),"SLO 不可達")</f>
        <v>區間內</v>
      </c>
      <c r="F180" s="56" t="s">
        <v>137</v>
      </c>
      <c r="G180" s="91" t="s">
        <v>1440</v>
      </c>
    </row>
    <row r="181" customFormat="false" ht="29.85" hidden="false" customHeight="false" outlineLevel="0" collapsed="false">
      <c r="A181" s="5" t="s">
        <v>1469</v>
      </c>
      <c r="B181" s="59" t="s">
        <v>89</v>
      </c>
      <c r="C181" s="101" t="n">
        <f aca="false">IF(ISNUMBER(C178),(C178*AL_FreeShare/C111)/C177,"SLO 不可達")</f>
        <v>0.213366087153051</v>
      </c>
      <c r="D181" s="101" t="n">
        <f aca="false">IF(ISNUMBER(D178),(D178*AL_FreeShare/D111)/D177,"SLO 不可達")</f>
        <v>0.228440067294361</v>
      </c>
      <c r="E181" s="101" t="n">
        <f aca="false">IF(ISNUMBER(E178),(E178*AL_FreeShare/E111)/E177,"SLO 不可達")</f>
        <v>0.18499153629882</v>
      </c>
      <c r="F181" s="56" t="s">
        <v>137</v>
      </c>
      <c r="G181" s="91" t="s">
        <v>1470</v>
      </c>
    </row>
    <row r="182" customFormat="false" ht="15" hidden="false" customHeight="false" outlineLevel="0" collapsed="false">
      <c r="A182" s="10" t="s">
        <v>1471</v>
      </c>
    </row>
    <row r="183" customFormat="false" ht="15" hidden="false" customHeight="false" outlineLevel="0" collapsed="false">
      <c r="A183" s="57" t="s">
        <v>353</v>
      </c>
      <c r="B183" s="57" t="s">
        <v>73</v>
      </c>
      <c r="C183" s="10" t="s">
        <v>1472</v>
      </c>
      <c r="D183" s="10" t="s">
        <v>1473</v>
      </c>
      <c r="E183" s="10" t="s">
        <v>1474</v>
      </c>
      <c r="F183" s="10" t="s">
        <v>1475</v>
      </c>
      <c r="G183" s="57" t="s">
        <v>77</v>
      </c>
      <c r="H183" s="57" t="s">
        <v>321</v>
      </c>
    </row>
    <row r="184" customFormat="false" ht="15" hidden="false" customHeight="false" outlineLevel="0" collapsed="false">
      <c r="A184" s="10" t="s">
        <v>1476</v>
      </c>
    </row>
    <row r="185" customFormat="false" ht="167.9" hidden="false" customHeight="false" outlineLevel="0" collapsed="false">
      <c r="A185" s="5" t="s">
        <v>1477</v>
      </c>
      <c r="B185" s="59" t="s">
        <v>863</v>
      </c>
      <c r="C185" s="92" t="n">
        <f aca="false">SRC_DEM_007</f>
        <v>13.07</v>
      </c>
      <c r="D185" s="113" t="n">
        <f aca="false">SRC_DEM_069*4</f>
        <v>22.8</v>
      </c>
      <c r="E185" s="113" t="n">
        <f aca="false">SRC_DEM_042*4</f>
        <v>26.8</v>
      </c>
      <c r="F185" s="147" t="n">
        <v>36</v>
      </c>
      <c r="G185" s="56" t="s">
        <v>1478</v>
      </c>
      <c r="H185" s="85" t="s">
        <v>1479</v>
      </c>
    </row>
    <row r="186" customFormat="false" ht="314.15" hidden="false" customHeight="false" outlineLevel="0" collapsed="false">
      <c r="A186" s="5" t="s">
        <v>1480</v>
      </c>
      <c r="B186" s="59" t="s">
        <v>863</v>
      </c>
      <c r="C186" s="113" t="n">
        <v>0</v>
      </c>
      <c r="D186" s="147" t="n">
        <v>0</v>
      </c>
      <c r="E186" s="147" t="n">
        <v>0.5</v>
      </c>
      <c r="F186" s="147" t="n">
        <v>1</v>
      </c>
      <c r="G186" s="56" t="s">
        <v>1481</v>
      </c>
      <c r="H186" s="85" t="s">
        <v>1482</v>
      </c>
    </row>
    <row r="187" customFormat="false" ht="179.1" hidden="false" customHeight="false" outlineLevel="0" collapsed="false">
      <c r="A187" s="6" t="s">
        <v>1483</v>
      </c>
      <c r="B187" s="59" t="s">
        <v>863</v>
      </c>
      <c r="C187" s="113" t="n">
        <f aca="false">C185-C186</f>
        <v>13.07</v>
      </c>
      <c r="D187" s="113" t="n">
        <f aca="false">D185-D186</f>
        <v>22.8</v>
      </c>
      <c r="E187" s="113" t="n">
        <f aca="false">E185-E186</f>
        <v>26.3</v>
      </c>
      <c r="F187" s="113" t="n">
        <f aca="false">F185-F186</f>
        <v>35</v>
      </c>
      <c r="G187" s="56" t="s">
        <v>137</v>
      </c>
      <c r="H187" s="85" t="s">
        <v>1484</v>
      </c>
    </row>
    <row r="188" customFormat="false" ht="208.2" hidden="false" customHeight="false" outlineLevel="0" collapsed="false">
      <c r="A188" s="5" t="s">
        <v>1485</v>
      </c>
      <c r="B188" s="59" t="s">
        <v>89</v>
      </c>
      <c r="C188" s="101" t="n">
        <f aca="false">C70</f>
        <v>0.7</v>
      </c>
      <c r="D188" s="148" t="n">
        <v>0.6</v>
      </c>
      <c r="E188" s="148" t="n">
        <v>0.55</v>
      </c>
      <c r="F188" s="148" t="n">
        <v>0.45</v>
      </c>
      <c r="G188" s="56" t="s">
        <v>1486</v>
      </c>
      <c r="H188" s="85" t="s">
        <v>1487</v>
      </c>
    </row>
    <row r="189" customFormat="false" ht="242.5" hidden="false" customHeight="false" outlineLevel="0" collapsed="false">
      <c r="A189" s="5" t="s">
        <v>1488</v>
      </c>
      <c r="B189" s="59" t="s">
        <v>89</v>
      </c>
      <c r="C189" s="101" t="n">
        <f aca="false">C131</f>
        <v>0.1</v>
      </c>
      <c r="D189" s="148" t="n">
        <v>0.2</v>
      </c>
      <c r="E189" s="148" t="n">
        <v>0.25</v>
      </c>
      <c r="F189" s="148" t="n">
        <v>0.35</v>
      </c>
      <c r="G189" s="56" t="s">
        <v>90</v>
      </c>
      <c r="H189" s="85" t="s">
        <v>1489</v>
      </c>
    </row>
    <row r="190" customFormat="false" ht="15" hidden="false" customHeight="false" outlineLevel="0" collapsed="false">
      <c r="A190" s="5" t="s">
        <v>1490</v>
      </c>
      <c r="B190" s="59" t="s">
        <v>89</v>
      </c>
      <c r="C190" s="101" t="n">
        <f aca="false">1-C188-C189</f>
        <v>0.2</v>
      </c>
      <c r="D190" s="101" t="n">
        <f aca="false">1-D188-D189</f>
        <v>0.2</v>
      </c>
      <c r="E190" s="101" t="n">
        <f aca="false">1-E188-E189</f>
        <v>0.2</v>
      </c>
      <c r="F190" s="101" t="n">
        <f aca="false">1-F188-F189</f>
        <v>0.2</v>
      </c>
      <c r="G190" s="56" t="s">
        <v>137</v>
      </c>
      <c r="H190" s="91" t="s">
        <v>1491</v>
      </c>
    </row>
    <row r="191" customFormat="false" ht="64.9" hidden="false" customHeight="false" outlineLevel="0" collapsed="false">
      <c r="A191" s="5" t="s">
        <v>1492</v>
      </c>
      <c r="B191" s="59" t="s">
        <v>863</v>
      </c>
      <c r="C191" s="113" t="n">
        <f aca="false">C187*C188</f>
        <v>9.149</v>
      </c>
      <c r="D191" s="113" t="n">
        <f aca="false">D187*D188</f>
        <v>13.68</v>
      </c>
      <c r="E191" s="113" t="n">
        <f aca="false">E187*E188</f>
        <v>14.465</v>
      </c>
      <c r="F191" s="113" t="n">
        <f aca="false">F187*F188</f>
        <v>15.75</v>
      </c>
      <c r="G191" s="56" t="s">
        <v>137</v>
      </c>
      <c r="H191" s="85" t="s">
        <v>1493</v>
      </c>
    </row>
    <row r="192" customFormat="false" ht="39.55" hidden="false" customHeight="false" outlineLevel="0" collapsed="false">
      <c r="A192" s="5" t="s">
        <v>1494</v>
      </c>
      <c r="B192" s="59" t="s">
        <v>863</v>
      </c>
      <c r="C192" s="113" t="n">
        <f aca="false">C187*C189</f>
        <v>1.307</v>
      </c>
      <c r="D192" s="113" t="n">
        <f aca="false">D187*D189</f>
        <v>4.56</v>
      </c>
      <c r="E192" s="113" t="n">
        <f aca="false">E187*E189</f>
        <v>6.575</v>
      </c>
      <c r="F192" s="113" t="n">
        <f aca="false">F187*F189</f>
        <v>12.25</v>
      </c>
      <c r="G192" s="56" t="s">
        <v>137</v>
      </c>
      <c r="H192" s="85" t="s">
        <v>1495</v>
      </c>
    </row>
    <row r="193" customFormat="false" ht="77.6" hidden="false" customHeight="false" outlineLevel="0" collapsed="false">
      <c r="A193" s="6" t="s">
        <v>1496</v>
      </c>
      <c r="B193" s="59" t="s">
        <v>863</v>
      </c>
      <c r="C193" s="113" t="n">
        <f aca="false">C187*C190</f>
        <v>2.614</v>
      </c>
      <c r="D193" s="113" t="n">
        <f aca="false">D187*D190</f>
        <v>4.56</v>
      </c>
      <c r="E193" s="113" t="n">
        <f aca="false">E187*E190</f>
        <v>5.26</v>
      </c>
      <c r="F193" s="113" t="n">
        <f aca="false">F187*F190</f>
        <v>7</v>
      </c>
      <c r="G193" s="56" t="s">
        <v>137</v>
      </c>
      <c r="H193" s="85" t="s">
        <v>1497</v>
      </c>
    </row>
    <row r="194" customFormat="false" ht="15" hidden="false" customHeight="false" outlineLevel="0" collapsed="false">
      <c r="A194" s="10" t="s">
        <v>1498</v>
      </c>
    </row>
    <row r="195" customFormat="false" ht="88.05" hidden="false" customHeight="false" outlineLevel="0" collapsed="false">
      <c r="A195" s="6" t="s">
        <v>1499</v>
      </c>
      <c r="B195" s="59" t="s">
        <v>93</v>
      </c>
      <c r="C195" s="59" t="s">
        <v>604</v>
      </c>
      <c r="D195" s="59" t="s">
        <v>604</v>
      </c>
      <c r="E195" s="59" t="s">
        <v>604</v>
      </c>
      <c r="F195" s="146" t="n">
        <v>1.3</v>
      </c>
      <c r="G195" s="56" t="s">
        <v>90</v>
      </c>
      <c r="H195" s="91" t="s">
        <v>1500</v>
      </c>
    </row>
    <row r="196" customFormat="false" ht="73.1" hidden="false" customHeight="false" outlineLevel="0" collapsed="false">
      <c r="A196" s="6" t="s">
        <v>1501</v>
      </c>
      <c r="B196" s="59" t="s">
        <v>783</v>
      </c>
      <c r="C196" s="60" t="n">
        <f aca="false">AL_DAPI</f>
        <v>2365200000</v>
      </c>
      <c r="D196" s="65" t="n">
        <f aca="false">SRC_DEM_011*1000000000*525600/1000000</f>
        <v>7884000000</v>
      </c>
      <c r="E196" s="65" t="n">
        <f aca="false">SRC_DEM_011*1000000000*525600/1000000</f>
        <v>7884000000</v>
      </c>
      <c r="F196" s="65" t="n">
        <f aca="false">E196*F195</f>
        <v>10249200000</v>
      </c>
      <c r="G196" s="56" t="s">
        <v>1443</v>
      </c>
      <c r="H196" s="85" t="s">
        <v>1502</v>
      </c>
    </row>
    <row r="197" customFormat="false" ht="121.6" hidden="false" customHeight="false" outlineLevel="0" collapsed="false">
      <c r="A197" s="6" t="s">
        <v>1503</v>
      </c>
      <c r="B197" s="59" t="s">
        <v>1504</v>
      </c>
      <c r="C197" s="95" t="n">
        <f aca="false">SRC_DEM_012</f>
        <v>2.5</v>
      </c>
      <c r="D197" s="76" t="n">
        <v>3.2</v>
      </c>
      <c r="E197" s="76" t="n">
        <v>3.6</v>
      </c>
      <c r="F197" s="76" t="n">
        <v>3.8</v>
      </c>
      <c r="G197" s="56" t="s">
        <v>1505</v>
      </c>
      <c r="H197" s="85" t="s">
        <v>1506</v>
      </c>
    </row>
    <row r="198" customFormat="false" ht="100.7" hidden="false" customHeight="false" outlineLevel="0" collapsed="false">
      <c r="A198" s="6" t="s">
        <v>1507</v>
      </c>
      <c r="B198" s="59" t="s">
        <v>783</v>
      </c>
      <c r="C198" s="65" t="n">
        <f aca="false">C197*1000000000*AL_TokPerPrompt*365/1000000*(1-AL_FreeShare)</f>
        <v>1460000000</v>
      </c>
      <c r="D198" s="65" t="n">
        <f aca="false">D197*1000000000*AL_TokPerPrompt*365/1000000*(1-AL_FreeShare)</f>
        <v>1868800000</v>
      </c>
      <c r="E198" s="65" t="n">
        <f aca="false">E197*1000000000*AL_TokPerPrompt*365/1000000*(1-AL_FreeShare)</f>
        <v>2102400000</v>
      </c>
      <c r="F198" s="65" t="n">
        <f aca="false">F197*1000000000*AL_TokPerPrompt*365/1000000*(1-AL_FreeShare)</f>
        <v>2219200000</v>
      </c>
      <c r="G198" s="56" t="s">
        <v>1279</v>
      </c>
      <c r="H198" s="85" t="s">
        <v>1508</v>
      </c>
    </row>
    <row r="199" customFormat="false" ht="26.85" hidden="false" customHeight="false" outlineLevel="0" collapsed="false">
      <c r="A199" s="6" t="s">
        <v>1509</v>
      </c>
      <c r="B199" s="59" t="s">
        <v>783</v>
      </c>
      <c r="C199" s="65" t="n">
        <f aca="false">C197*1000000000*AL_TokPerPrompt*365/1000000*AL_FreeShare</f>
        <v>2190000000</v>
      </c>
      <c r="D199" s="65" t="n">
        <f aca="false">D197*1000000000*AL_TokPerPrompt*365/1000000*AL_FreeShare</f>
        <v>2803200000</v>
      </c>
      <c r="E199" s="65" t="n">
        <f aca="false">E197*1000000000*AL_TokPerPrompt*365/1000000*AL_FreeShare</f>
        <v>3153600000</v>
      </c>
      <c r="F199" s="65" t="n">
        <f aca="false">F197*1000000000*AL_TokPerPrompt*365/1000000*AL_FreeShare</f>
        <v>3328800000</v>
      </c>
      <c r="G199" s="56" t="s">
        <v>1279</v>
      </c>
      <c r="H199" s="85" t="s">
        <v>1510</v>
      </c>
    </row>
    <row r="200" customFormat="false" ht="204.45" hidden="false" customHeight="false" outlineLevel="0" collapsed="false">
      <c r="A200" s="6" t="s">
        <v>1511</v>
      </c>
      <c r="B200" s="59" t="s">
        <v>89</v>
      </c>
      <c r="C200" s="101" t="n">
        <f aca="false">$C$132</f>
        <v>0.75</v>
      </c>
      <c r="D200" s="148" t="n">
        <v>0.65</v>
      </c>
      <c r="E200" s="101" t="n">
        <f aca="false">D200</f>
        <v>0.65</v>
      </c>
      <c r="F200" s="101" t="n">
        <f aca="false">D200</f>
        <v>0.65</v>
      </c>
      <c r="G200" s="56" t="s">
        <v>1512</v>
      </c>
      <c r="H200" s="91" t="s">
        <v>1513</v>
      </c>
    </row>
    <row r="201" customFormat="false" ht="64.9" hidden="false" customHeight="false" outlineLevel="0" collapsed="false">
      <c r="A201" s="5" t="s">
        <v>1514</v>
      </c>
      <c r="B201" s="59" t="s">
        <v>783</v>
      </c>
      <c r="C201" s="65" t="n">
        <f aca="false">C198*C200</f>
        <v>1095000000</v>
      </c>
      <c r="D201" s="65" t="n">
        <f aca="false">D198*D200</f>
        <v>1214720000</v>
      </c>
      <c r="E201" s="65" t="n">
        <f aca="false">E198*E200</f>
        <v>1366560000</v>
      </c>
      <c r="F201" s="65" t="n">
        <f aca="false">F198*F200</f>
        <v>1442480000</v>
      </c>
      <c r="G201" s="56" t="s">
        <v>1279</v>
      </c>
      <c r="H201" s="85" t="s">
        <v>1515</v>
      </c>
    </row>
    <row r="202" customFormat="false" ht="29.85" hidden="false" customHeight="false" outlineLevel="0" collapsed="false">
      <c r="A202" s="5" t="s">
        <v>1397</v>
      </c>
      <c r="B202" s="59" t="s">
        <v>783</v>
      </c>
      <c r="C202" s="65" t="n">
        <f aca="false">C198*(1-C200)</f>
        <v>365000000</v>
      </c>
      <c r="D202" s="65" t="n">
        <f aca="false">D198*(1-D200)</f>
        <v>654080000</v>
      </c>
      <c r="E202" s="65" t="n">
        <f aca="false">E198*(1-E200)</f>
        <v>735840000</v>
      </c>
      <c r="F202" s="65" t="n">
        <f aca="false">F198*(1-F200)</f>
        <v>776720000</v>
      </c>
      <c r="G202" s="56" t="s">
        <v>1279</v>
      </c>
      <c r="H202" s="91"/>
    </row>
    <row r="203" customFormat="false" ht="15" hidden="false" customHeight="false" outlineLevel="0" collapsed="false">
      <c r="A203" s="10" t="s">
        <v>1516</v>
      </c>
    </row>
    <row r="204" customFormat="false" ht="141" hidden="false" customHeight="false" outlineLevel="0" collapsed="false">
      <c r="A204" s="6" t="s">
        <v>1517</v>
      </c>
      <c r="B204" s="59" t="s">
        <v>93</v>
      </c>
      <c r="C204" s="112" t="n">
        <f aca="false">$C$232</f>
        <v>0.741199548797632</v>
      </c>
      <c r="D204" s="112" t="n">
        <f aca="false">C204</f>
        <v>0.741199548797632</v>
      </c>
      <c r="E204" s="112" t="n">
        <f aca="false">C204</f>
        <v>0.741199548797632</v>
      </c>
      <c r="F204" s="112" t="n">
        <f aca="false">C204</f>
        <v>0.741199548797632</v>
      </c>
      <c r="G204" s="56" t="s">
        <v>1518</v>
      </c>
      <c r="H204" s="85" t="s">
        <v>1519</v>
      </c>
    </row>
    <row r="205" customFormat="false" ht="39.55" hidden="false" customHeight="false" outlineLevel="0" collapsed="false">
      <c r="A205" s="5" t="s">
        <v>1520</v>
      </c>
      <c r="B205" s="59" t="s">
        <v>791</v>
      </c>
      <c r="C205" s="124" t="n">
        <f aca="false">$C$90</f>
        <v>1.96067555555556</v>
      </c>
      <c r="D205" s="124" t="n">
        <f aca="false">$C$90</f>
        <v>1.96067555555556</v>
      </c>
      <c r="E205" s="124" t="n">
        <f aca="false">$C$90</f>
        <v>1.96067555555556</v>
      </c>
      <c r="F205" s="124" t="n">
        <f aca="false">$C$90</f>
        <v>1.96067555555556</v>
      </c>
      <c r="G205" s="56" t="s">
        <v>137</v>
      </c>
      <c r="H205" s="91" t="s">
        <v>1521</v>
      </c>
    </row>
    <row r="206" customFormat="false" ht="88.05" hidden="false" customHeight="false" outlineLevel="0" collapsed="false">
      <c r="A206" s="6" t="s">
        <v>1522</v>
      </c>
      <c r="B206" s="59" t="s">
        <v>93</v>
      </c>
      <c r="C206" s="104" t="n">
        <f aca="false">C193*1000000000/(C196*C205)</f>
        <v>0.56367915987388</v>
      </c>
      <c r="D206" s="112" t="n">
        <f aca="false">D193*1000000000/(D196*D205)</f>
        <v>0.294993531257639</v>
      </c>
      <c r="E206" s="112" t="n">
        <f aca="false">E193*1000000000/(E196*E205)</f>
        <v>0.340277625968241</v>
      </c>
      <c r="F206" s="112" t="n">
        <f aca="false">F193*1000000000/(F196*F205)</f>
        <v>0.348339190081557</v>
      </c>
      <c r="G206" s="56" t="s">
        <v>137</v>
      </c>
      <c r="H206" s="91" t="s">
        <v>1523</v>
      </c>
    </row>
    <row r="207" customFormat="false" ht="88.05" hidden="false" customHeight="false" outlineLevel="0" collapsed="false">
      <c r="A207" s="6" t="s">
        <v>1524</v>
      </c>
      <c r="B207" s="59" t="s">
        <v>93</v>
      </c>
      <c r="C207" s="112" t="n">
        <f aca="false">C191*1000000000/(C201*C205)</f>
        <v>4.26141444864653</v>
      </c>
      <c r="D207" s="112" t="n">
        <f aca="false">D191*1000000000/(D201*D205)</f>
        <v>5.74386443073768</v>
      </c>
      <c r="E207" s="112" t="n">
        <f aca="false">E191*1000000000/(E201*E205)</f>
        <v>5.39863541199614</v>
      </c>
      <c r="F207" s="112" t="n">
        <f aca="false">F191*1000000000/(F201*F205)</f>
        <v>5.56884363090911</v>
      </c>
      <c r="G207" s="56" t="s">
        <v>137</v>
      </c>
      <c r="H207" s="91" t="s">
        <v>1525</v>
      </c>
    </row>
    <row r="208" customFormat="false" ht="88.05" hidden="false" customHeight="false" outlineLevel="0" collapsed="false">
      <c r="A208" s="6" t="s">
        <v>1526</v>
      </c>
      <c r="B208" s="59" t="s">
        <v>93</v>
      </c>
      <c r="C208" s="112" t="n">
        <f aca="false">C192*1000000000/(C202*C205)</f>
        <v>1.82632047799137</v>
      </c>
      <c r="D208" s="112" t="n">
        <f aca="false">D192*1000000000/(D202*D205)</f>
        <v>3.55572559998047</v>
      </c>
      <c r="E208" s="112" t="n">
        <f aca="false">E192*1000000000/(E202*E205)</f>
        <v>4.55728963350323</v>
      </c>
      <c r="F208" s="112" t="n">
        <f aca="false">F192*1000000000/(F202*F205)</f>
        <v>8.04388524464649</v>
      </c>
      <c r="G208" s="56" t="s">
        <v>137</v>
      </c>
      <c r="H208" s="91" t="s">
        <v>1527</v>
      </c>
    </row>
    <row r="209" customFormat="false" ht="123.85" hidden="false" customHeight="false" outlineLevel="0" collapsed="false">
      <c r="A209" s="6" t="s">
        <v>1528</v>
      </c>
      <c r="B209" s="59" t="s">
        <v>93</v>
      </c>
      <c r="C209" s="104" t="n">
        <f aca="false">C187*1000000000/((C196+C198)*C205)</f>
        <v>1.74267221182383</v>
      </c>
      <c r="D209" s="112" t="n">
        <f aca="false">D187*1000000000/((D196+D198)*D205)</f>
        <v>1.19233912334674</v>
      </c>
      <c r="E209" s="112" t="n">
        <f aca="false">E187*1000000000/((E196+E198)*E205)</f>
        <v>1.34320115513779</v>
      </c>
      <c r="F209" s="112" t="n">
        <f aca="false">F187*1000000000/((F196+F198)*F205)</f>
        <v>1.4316985447146</v>
      </c>
      <c r="G209" s="56" t="s">
        <v>137</v>
      </c>
      <c r="H209" s="91" t="s">
        <v>1529</v>
      </c>
    </row>
    <row r="210" customFormat="false" ht="15" hidden="false" customHeight="false" outlineLevel="0" collapsed="false">
      <c r="A210" s="10" t="s">
        <v>1530</v>
      </c>
    </row>
    <row r="211" customFormat="false" ht="88.05" hidden="false" customHeight="false" outlineLevel="0" collapsed="false">
      <c r="A211" s="6" t="s">
        <v>1531</v>
      </c>
      <c r="B211" s="59" t="s">
        <v>89</v>
      </c>
      <c r="C211" s="107" t="n">
        <f aca="false">AL_MixHopper</f>
        <v>0.6</v>
      </c>
      <c r="D211" s="148" t="n">
        <v>0.25</v>
      </c>
      <c r="E211" s="101" t="n">
        <f aca="false">D211</f>
        <v>0.25</v>
      </c>
      <c r="F211" s="101" t="n">
        <f aca="false">D211</f>
        <v>0.25</v>
      </c>
      <c r="G211" s="56" t="s">
        <v>90</v>
      </c>
      <c r="H211" s="91" t="s">
        <v>1532</v>
      </c>
    </row>
    <row r="212" customFormat="false" ht="62.65" hidden="false" customHeight="false" outlineLevel="0" collapsed="false">
      <c r="A212" s="6" t="s">
        <v>1533</v>
      </c>
      <c r="B212" s="59" t="s">
        <v>89</v>
      </c>
      <c r="C212" s="107" t="n">
        <f aca="false">AL_MixGB200</f>
        <v>0.4</v>
      </c>
      <c r="D212" s="148" t="n">
        <v>0.45</v>
      </c>
      <c r="E212" s="101" t="n">
        <f aca="false">D212</f>
        <v>0.45</v>
      </c>
      <c r="F212" s="101" t="n">
        <f aca="false">D212</f>
        <v>0.45</v>
      </c>
      <c r="G212" s="56" t="s">
        <v>90</v>
      </c>
      <c r="H212" s="91" t="s">
        <v>1534</v>
      </c>
    </row>
    <row r="213" customFormat="false" ht="62.65" hidden="false" customHeight="false" outlineLevel="0" collapsed="false">
      <c r="A213" s="6" t="s">
        <v>1535</v>
      </c>
      <c r="B213" s="59" t="s">
        <v>89</v>
      </c>
      <c r="C213" s="107" t="n">
        <f aca="false">AL_MixGB300</f>
        <v>0</v>
      </c>
      <c r="D213" s="148" t="n">
        <v>0.25</v>
      </c>
      <c r="E213" s="101" t="n">
        <f aca="false">D213</f>
        <v>0.25</v>
      </c>
      <c r="F213" s="101" t="n">
        <f aca="false">D213</f>
        <v>0.25</v>
      </c>
      <c r="G213" s="56" t="s">
        <v>90</v>
      </c>
      <c r="H213" s="91" t="s">
        <v>1536</v>
      </c>
    </row>
    <row r="214" customFormat="false" ht="113.4" hidden="false" customHeight="false" outlineLevel="0" collapsed="false">
      <c r="A214" s="6" t="s">
        <v>1537</v>
      </c>
      <c r="B214" s="59" t="s">
        <v>89</v>
      </c>
      <c r="C214" s="107" t="n">
        <f aca="false">AL_MixVR200</f>
        <v>0</v>
      </c>
      <c r="D214" s="148" t="n">
        <v>0.05</v>
      </c>
      <c r="E214" s="101" t="n">
        <f aca="false">D214</f>
        <v>0.05</v>
      </c>
      <c r="F214" s="101" t="n">
        <f aca="false">D214</f>
        <v>0.05</v>
      </c>
      <c r="G214" s="56" t="s">
        <v>90</v>
      </c>
      <c r="H214" s="91" t="s">
        <v>1538</v>
      </c>
    </row>
    <row r="215" customFormat="false" ht="15" hidden="false" customHeight="false" outlineLevel="0" collapsed="false">
      <c r="A215" s="5" t="s">
        <v>1539</v>
      </c>
      <c r="B215" s="59" t="s">
        <v>89</v>
      </c>
      <c r="C215" s="101" t="n">
        <f aca="false">C211+C212+C213+C214</f>
        <v>1</v>
      </c>
      <c r="D215" s="101" t="n">
        <f aca="false">D211+D212+D213+D214</f>
        <v>1</v>
      </c>
      <c r="E215" s="101" t="n">
        <f aca="false">E211+E212+E213+E214</f>
        <v>1</v>
      </c>
      <c r="F215" s="101" t="n">
        <f aca="false">F211+F212+F213+F214</f>
        <v>1</v>
      </c>
      <c r="G215" s="56" t="s">
        <v>137</v>
      </c>
      <c r="H215" s="91"/>
    </row>
    <row r="216" customFormat="false" ht="96.25" hidden="false" customHeight="false" outlineLevel="0" collapsed="false">
      <c r="A216" s="5" t="s">
        <v>1540</v>
      </c>
      <c r="B216" s="59" t="s">
        <v>863</v>
      </c>
      <c r="C216" s="92" t="n">
        <f aca="false">SRC_DEM_018</f>
        <v>12.6</v>
      </c>
      <c r="D216" s="92" t="n">
        <f aca="false">SRC_DEM_070</f>
        <v>14.1</v>
      </c>
      <c r="E216" s="92" t="n">
        <f aca="false">SRC_DEM_070</f>
        <v>14.1</v>
      </c>
      <c r="F216" s="92" t="n">
        <f aca="false">SRC_DEM_070</f>
        <v>14.1</v>
      </c>
      <c r="G216" s="56" t="s">
        <v>1253</v>
      </c>
      <c r="H216" s="85" t="s">
        <v>1541</v>
      </c>
    </row>
    <row r="217" customFormat="false" ht="39.55" hidden="false" customHeight="false" outlineLevel="0" collapsed="false">
      <c r="A217" s="5" t="s">
        <v>1542</v>
      </c>
      <c r="B217" s="59" t="s">
        <v>1543</v>
      </c>
      <c r="C217" s="112" t="n">
        <f aca="false">SUMPRODUCT(AL_ShareGen,AL_HoldGen)</f>
        <v>9.35311859805586</v>
      </c>
      <c r="D217" s="112" t="n">
        <f aca="false">D211*INDEX(AL_HoldGen,1,1)+D212*INDEX(AL_HoldGen,1,2)+D213*INDEX(AL_HoldGen,1,3)+D214*INDEX(AL_HoldGen,1,4)</f>
        <v>9.73132262697082</v>
      </c>
      <c r="E217" s="112" t="n">
        <f aca="false">E211*INDEX(AL_HoldGen,1,1)+E212*INDEX(AL_HoldGen,1,2)+E213*INDEX(AL_HoldGen,1,3)+E214*INDEX(AL_HoldGen,1,4)</f>
        <v>9.73132262697082</v>
      </c>
      <c r="F217" s="112" t="n">
        <f aca="false">F211*INDEX(AL_HoldGen,1,1)+F212*INDEX(AL_HoldGen,1,2)+F213*INDEX(AL_HoldGen,1,3)+F214*INDEX(AL_HoldGen,1,4)</f>
        <v>9.73132262697082</v>
      </c>
      <c r="G217" s="56" t="s">
        <v>137</v>
      </c>
      <c r="H217" s="85" t="s">
        <v>1544</v>
      </c>
    </row>
    <row r="218" customFormat="false" ht="49.95" hidden="false" customHeight="false" outlineLevel="0" collapsed="false">
      <c r="A218" s="5" t="s">
        <v>1545</v>
      </c>
      <c r="B218" s="59" t="s">
        <v>81</v>
      </c>
      <c r="C218" s="70" t="n">
        <f aca="false">C216/C217/AL_SpendBasis*AL_UtilActual/IF_Util</f>
        <v>0.392917074820786</v>
      </c>
      <c r="D218" s="70" t="n">
        <f aca="false">D216/D217/AL_SpendBasis*AL_UtilActual/IF_Util</f>
        <v>0.422604424664949</v>
      </c>
      <c r="E218" s="70" t="n">
        <f aca="false">E216/E217/AL_SpendBasis*AL_UtilActual/IF_Util</f>
        <v>0.422604424664949</v>
      </c>
      <c r="F218" s="70" t="n">
        <f aca="false">F216/F217/AL_SpendBasis*AL_UtilActual/IF_Util</f>
        <v>0.422604424664949</v>
      </c>
      <c r="G218" s="56" t="s">
        <v>1279</v>
      </c>
      <c r="H218" s="85" t="s">
        <v>1546</v>
      </c>
    </row>
    <row r="219" customFormat="false" ht="64.9" hidden="false" customHeight="false" outlineLevel="0" collapsed="false">
      <c r="A219" s="5" t="s">
        <v>1547</v>
      </c>
      <c r="B219" s="59" t="s">
        <v>1342</v>
      </c>
      <c r="C219" s="60" t="n">
        <f aca="false">AL_BlendPaid</f>
        <v>24125625824.4492</v>
      </c>
      <c r="D219" s="65" t="n">
        <f aca="false">IF(OR(AND(D211&gt;0,NOT(ISNUMBER(INDEX(AL_CapPaid,1,1)))),AND(D212&gt;0,NOT(ISNUMBER(INDEX(AL_CapPaid,1,2)))),AND(D213&gt;0,NOT(ISNUMBER(INDEX(AL_CapPaid,1,3)))),AND(D214&gt;0,NOT(ISNUMBER(INDEX(AL_CapPaid,1,4))))),"SLO 不可達",IF(D211&gt;0,D211*INDEX(AL_CapPaid,1,1),0)+IF(D212&gt;0,D212*INDEX(AL_CapPaid,1,2),0)+IF(D213&gt;0,D213*INDEX(AL_CapPaid,1,3),0)+IF(D214&gt;0,D214*INDEX(AL_CapPaid,1,4),0))</f>
        <v>43958939972.3322</v>
      </c>
      <c r="E219" s="65" t="n">
        <f aca="false">IF(OR(AND(E211&gt;0,NOT(ISNUMBER(INDEX(AL_CapPaid,1,1)))),AND(E212&gt;0,NOT(ISNUMBER(INDEX(AL_CapPaid,1,2)))),AND(E213&gt;0,NOT(ISNUMBER(INDEX(AL_CapPaid,1,3)))),AND(E214&gt;0,NOT(ISNUMBER(INDEX(AL_CapPaid,1,4))))),"SLO 不可達",IF(E211&gt;0,E211*INDEX(AL_CapPaid,1,1),0)+IF(E212&gt;0,E212*INDEX(AL_CapPaid,1,2),0)+IF(E213&gt;0,E213*INDEX(AL_CapPaid,1,3),0)+IF(E214&gt;0,E214*INDEX(AL_CapPaid,1,4),0))</f>
        <v>43958939972.3322</v>
      </c>
      <c r="F219" s="65" t="n">
        <f aca="false">IF(OR(AND(F211&gt;0,NOT(ISNUMBER(INDEX(AL_CapPaid,1,1)))),AND(F212&gt;0,NOT(ISNUMBER(INDEX(AL_CapPaid,1,2)))),AND(F213&gt;0,NOT(ISNUMBER(INDEX(AL_CapPaid,1,3)))),AND(F214&gt;0,NOT(ISNUMBER(INDEX(AL_CapPaid,1,4))))),"SLO 不可達",IF(F211&gt;0,F211*INDEX(AL_CapPaid,1,1),0)+IF(F212&gt;0,F212*INDEX(AL_CapPaid,1,2),0)+IF(F213&gt;0,F213*INDEX(AL_CapPaid,1,3),0)+IF(F214&gt;0,F214*INDEX(AL_CapPaid,1,4),0))</f>
        <v>43958939972.3322</v>
      </c>
      <c r="G219" s="56" t="s">
        <v>137</v>
      </c>
      <c r="H219" s="85" t="s">
        <v>1548</v>
      </c>
    </row>
    <row r="220" customFormat="false" ht="26.85" hidden="false" customHeight="false" outlineLevel="0" collapsed="false">
      <c r="A220" s="5" t="s">
        <v>1549</v>
      </c>
      <c r="B220" s="59" t="s">
        <v>1342</v>
      </c>
      <c r="C220" s="60" t="n">
        <f aca="false">AL_BlendFree</f>
        <v>91100077130.4794</v>
      </c>
      <c r="D220" s="65" t="n">
        <f aca="false">IF(OR(AND(D211&gt;0,NOT(ISNUMBER(INDEX(AL_CapFree,1,1)))),AND(D212&gt;0,NOT(ISNUMBER(INDEX(AL_CapFree,1,2)))),AND(D213&gt;0,NOT(ISNUMBER(INDEX(AL_CapFree,1,3)))),AND(D214&gt;0,NOT(ISNUMBER(INDEX(AL_CapFree,1,4))))),"SLO 不可達",IF(D211&gt;0,D211*INDEX(AL_CapFree,1,1),0)+IF(D212&gt;0,D212*INDEX(AL_CapFree,1,2),0)+IF(D213&gt;0,D213*INDEX(AL_CapFree,1,3),0)+IF(D214&gt;0,D214*INDEX(AL_CapFree,1,4),0))</f>
        <v>169628479627.103</v>
      </c>
      <c r="E220" s="65" t="n">
        <f aca="false">IF(OR(AND(E211&gt;0,NOT(ISNUMBER(INDEX(AL_CapFree,1,1)))),AND(E212&gt;0,NOT(ISNUMBER(INDEX(AL_CapFree,1,2)))),AND(E213&gt;0,NOT(ISNUMBER(INDEX(AL_CapFree,1,3)))),AND(E214&gt;0,NOT(ISNUMBER(INDEX(AL_CapFree,1,4))))),"SLO 不可達",IF(E211&gt;0,E211*INDEX(AL_CapFree,1,1),0)+IF(E212&gt;0,E212*INDEX(AL_CapFree,1,2),0)+IF(E213&gt;0,E213*INDEX(AL_CapFree,1,3),0)+IF(E214&gt;0,E214*INDEX(AL_CapFree,1,4),0))</f>
        <v>169628479627.103</v>
      </c>
      <c r="F220" s="65" t="n">
        <f aca="false">IF(OR(AND(F211&gt;0,NOT(ISNUMBER(INDEX(AL_CapFree,1,1)))),AND(F212&gt;0,NOT(ISNUMBER(INDEX(AL_CapFree,1,2)))),AND(F213&gt;0,NOT(ISNUMBER(INDEX(AL_CapFree,1,3)))),AND(F214&gt;0,NOT(ISNUMBER(INDEX(AL_CapFree,1,4))))),"SLO 不可達",IF(F211&gt;0,F211*INDEX(AL_CapFree,1,1),0)+IF(F212&gt;0,F212*INDEX(AL_CapFree,1,2),0)+IF(F213&gt;0,F213*INDEX(AL_CapFree,1,3),0)+IF(F214&gt;0,F214*INDEX(AL_CapFree,1,4),0))</f>
        <v>169628479627.103</v>
      </c>
      <c r="G220" s="56" t="s">
        <v>137</v>
      </c>
      <c r="H220" s="85" t="s">
        <v>1550</v>
      </c>
    </row>
    <row r="221" customFormat="false" ht="37.3" hidden="false" customHeight="false" outlineLevel="0" collapsed="false">
      <c r="A221" s="5" t="s">
        <v>1551</v>
      </c>
      <c r="B221" s="59" t="s">
        <v>93</v>
      </c>
      <c r="C221" s="112" t="n">
        <f aca="false">C199/(C196+C198)</f>
        <v>0.572519083969466</v>
      </c>
      <c r="D221" s="112" t="n">
        <f aca="false">D199/(D196+D198)</f>
        <v>0.287425149700599</v>
      </c>
      <c r="E221" s="112" t="n">
        <f aca="false">E199/(E196+E198)</f>
        <v>0.315789473684211</v>
      </c>
      <c r="F221" s="112" t="n">
        <f aca="false">F199/(F196+F198)</f>
        <v>0.266978922716628</v>
      </c>
      <c r="G221" s="56" t="s">
        <v>137</v>
      </c>
      <c r="H221" s="85" t="s">
        <v>1552</v>
      </c>
    </row>
    <row r="222" customFormat="false" ht="29.85" hidden="false" customHeight="false" outlineLevel="0" collapsed="false">
      <c r="A222" s="5" t="s">
        <v>1355</v>
      </c>
      <c r="B222" s="59" t="s">
        <v>783</v>
      </c>
      <c r="C222" s="65" t="n">
        <f aca="false">IF(AND(ISNUMBER(C219),ISNUMBER(C220)),C218/(1/C219+C221/C220),"SLO 不可達")</f>
        <v>8231351945.4066</v>
      </c>
      <c r="D222" s="65" t="n">
        <f aca="false">IF(AND(ISNUMBER(D219),ISNUMBER(D220)),D218/(1/D219+D221/D220),"SLO 不可達")</f>
        <v>17289426590.8883</v>
      </c>
      <c r="E222" s="65" t="n">
        <f aca="false">IF(AND(ISNUMBER(E219),ISNUMBER(E220)),E218/(1/E219+E221/E220),"SLO 不可達")</f>
        <v>17171953090.044</v>
      </c>
      <c r="F222" s="65" t="n">
        <f aca="false">IF(AND(ISNUMBER(F219),ISNUMBER(F220)),F218/(1/F219+F221/F220),"SLO 不可達")</f>
        <v>17375108370.9497</v>
      </c>
      <c r="G222" s="56" t="s">
        <v>137</v>
      </c>
      <c r="H222" s="85" t="s">
        <v>1553</v>
      </c>
    </row>
    <row r="223" customFormat="false" ht="60.4" hidden="false" customHeight="false" outlineLevel="0" collapsed="false">
      <c r="A223" s="6" t="s">
        <v>1554</v>
      </c>
      <c r="B223" s="59" t="s">
        <v>93</v>
      </c>
      <c r="C223" s="104" t="n">
        <f aca="false">IF(ISNUMBER(C222),C187*1000000000/(C222*C205),"SLO 不可達")</f>
        <v>0.809838989862221</v>
      </c>
      <c r="D223" s="112" t="n">
        <f aca="false">IF(ISNUMBER(D222),D187*1000000000/(D222*D205),"SLO 不可達")</f>
        <v>0.672587083269986</v>
      </c>
      <c r="E223" s="112" t="n">
        <f aca="false">IF(ISNUMBER(E222),E187*1000000000/(E222*E205),"SLO 不可達")</f>
        <v>0.781142596030334</v>
      </c>
      <c r="F223" s="112" t="n">
        <f aca="false">IF(ISNUMBER(F222),F187*1000000000/(F222*F205),"SLO 不可達")</f>
        <v>1.02738870767364</v>
      </c>
      <c r="G223" s="56" t="s">
        <v>137</v>
      </c>
      <c r="H223" s="91" t="s">
        <v>1555</v>
      </c>
    </row>
    <row r="224" customFormat="false" ht="39.55" hidden="false" customHeight="false" outlineLevel="0" collapsed="false">
      <c r="A224" s="5" t="s">
        <v>1556</v>
      </c>
      <c r="B224" s="59" t="s">
        <v>93</v>
      </c>
      <c r="C224" s="112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59" t="s">
        <v>604</v>
      </c>
      <c r="E224" s="59" t="s">
        <v>604</v>
      </c>
      <c r="F224" s="59" t="s">
        <v>604</v>
      </c>
      <c r="G224" s="56" t="s">
        <v>137</v>
      </c>
      <c r="H224" s="85" t="s">
        <v>1557</v>
      </c>
    </row>
    <row r="225" customFormat="false" ht="15" hidden="false" customHeight="false" outlineLevel="0" collapsed="false">
      <c r="A225" s="10" t="s">
        <v>1558</v>
      </c>
    </row>
    <row r="226" customFormat="false" ht="64.9" hidden="false" customHeight="false" outlineLevel="0" collapsed="false">
      <c r="A226" s="5" t="s">
        <v>1559</v>
      </c>
      <c r="B226" s="59" t="s">
        <v>89</v>
      </c>
      <c r="C226" s="148" t="n">
        <v>-0.1</v>
      </c>
      <c r="D226" s="148" t="n">
        <v>-0.25</v>
      </c>
      <c r="E226" s="148" t="n">
        <v>0.05</v>
      </c>
      <c r="F226" s="56" t="s">
        <v>90</v>
      </c>
      <c r="G226" s="91" t="s">
        <v>1560</v>
      </c>
    </row>
    <row r="227" customFormat="false" ht="26.85" hidden="false" customHeight="false" outlineLevel="0" collapsed="false">
      <c r="A227" s="5" t="s">
        <v>1561</v>
      </c>
      <c r="B227" s="58" t="s">
        <v>124</v>
      </c>
      <c r="C227" s="64" t="n">
        <v>4</v>
      </c>
      <c r="D227" s="64" t="n">
        <v>3</v>
      </c>
      <c r="E227" s="64" t="n">
        <v>5</v>
      </c>
      <c r="F227" s="56" t="s">
        <v>90</v>
      </c>
      <c r="G227" s="91" t="s">
        <v>1562</v>
      </c>
    </row>
    <row r="228" customFormat="false" ht="29.85" hidden="false" customHeight="false" outlineLevel="0" collapsed="false">
      <c r="A228" s="5" t="s">
        <v>1563</v>
      </c>
      <c r="B228" s="59" t="s">
        <v>93</v>
      </c>
      <c r="C228" s="146" t="n">
        <v>0.5</v>
      </c>
      <c r="D228" s="112" t="n">
        <f aca="false">IF_PriceRef_Luna/IF_PriceRef_Sol</f>
        <v>0.05</v>
      </c>
      <c r="E228" s="146" t="n">
        <v>1</v>
      </c>
      <c r="F228" s="56" t="s">
        <v>1564</v>
      </c>
      <c r="G228" s="91" t="s">
        <v>1565</v>
      </c>
    </row>
    <row r="229" customFormat="false" ht="29.85" hidden="false" customHeight="false" outlineLevel="0" collapsed="false">
      <c r="A229" s="5" t="s">
        <v>1566</v>
      </c>
      <c r="B229" s="58" t="s">
        <v>124</v>
      </c>
      <c r="C229" s="109" t="n">
        <f aca="false">INDEX(IF_DeprLifeIT,1,2)</f>
        <v>6</v>
      </c>
      <c r="D229" s="109" t="n">
        <f aca="false">INDEX(IF_DeprLifeIT,1,2)</f>
        <v>6</v>
      </c>
      <c r="E229" s="109" t="n">
        <f aca="false">INDEX(IF_DeprLifeIT,1,2)</f>
        <v>6</v>
      </c>
      <c r="F229" s="56" t="s">
        <v>1567</v>
      </c>
      <c r="G229" s="85" t="s">
        <v>1568</v>
      </c>
    </row>
    <row r="230" customFormat="false" ht="15" hidden="false" customHeight="false" outlineLevel="0" collapsed="false">
      <c r="A230" s="10" t="s">
        <v>1569</v>
      </c>
    </row>
    <row r="231" customFormat="false" ht="15" hidden="false" customHeight="false" outlineLevel="0" collapsed="false">
      <c r="A231" s="6" t="s">
        <v>1570</v>
      </c>
      <c r="B231" s="59" t="s">
        <v>93</v>
      </c>
      <c r="C231" s="112" t="n">
        <f aca="false">LN(1+C226)</f>
        <v>-0.105360515657826</v>
      </c>
      <c r="D231" s="112" t="n">
        <f aca="false">LN(1+D226)</f>
        <v>-0.287682072451781</v>
      </c>
      <c r="E231" s="112" t="n">
        <f aca="false">LN(1+E226)</f>
        <v>0.0487901641694321</v>
      </c>
      <c r="F231" s="56" t="s">
        <v>137</v>
      </c>
      <c r="G231" s="91" t="s">
        <v>1571</v>
      </c>
    </row>
    <row r="232" customFormat="false" ht="15" hidden="false" customHeight="false" outlineLevel="0" collapsed="false">
      <c r="A232" s="6" t="s">
        <v>1572</v>
      </c>
      <c r="B232" s="59" t="s">
        <v>93</v>
      </c>
      <c r="C232" s="104" t="n">
        <f aca="false">IF(ABS(LN(1+C226))&lt;0.000000000001,1,((1+C226)^C229-1)/(C229*LN(1+C226)))</f>
        <v>0.741199548797632</v>
      </c>
      <c r="D232" s="112" t="n">
        <f aca="false">IF(ABS(LN(1+D226))&lt;0.000000000001,1,((1+D226)^D229-1)/(D229*LN(1+D226)))</f>
        <v>0.476232597886788</v>
      </c>
      <c r="E232" s="112" t="n">
        <f aca="false">IF(ABS(LN(1+E226))&lt;0.000000000001,1,((1+E226)^E229-1)/(E229*LN(1+E226)))</f>
        <v>1.16176298513761</v>
      </c>
      <c r="F232" s="56" t="s">
        <v>137</v>
      </c>
      <c r="G232" s="91" t="s">
        <v>1573</v>
      </c>
    </row>
    <row r="233" customFormat="false" ht="29.85" hidden="false" customHeight="false" outlineLevel="0" collapsed="false">
      <c r="A233" s="6" t="s">
        <v>1574</v>
      </c>
      <c r="B233" s="59" t="s">
        <v>93</v>
      </c>
      <c r="C233" s="104" t="n">
        <f aca="false">IF(ABS(LN(1+C226))&lt;0.000000000001,(C227+C228*(C229-C227))/C229,(((1+C226)^C227-1)+C228*((1+C226)^C229-(1+C226)^C227))/(C229*LN(1+C226)))</f>
        <v>0.642602366208498</v>
      </c>
      <c r="D233" s="112" t="n">
        <f aca="false">IF(ABS(LN(1+D226))&lt;0.000000000001,(D227+D228*(D229-D227))/D229,(((1+D226)^D227-1)+D228*((1+D226)^D229-(1+D226)^D227))/(D229*LN(1+D226)))</f>
        <v>0.341997805185732</v>
      </c>
      <c r="E233" s="112" t="n">
        <f aca="false">IF(ABS(LN(1+E226))&lt;0.000000000001,(E227+E228*(E229-E227))/E229,(((1+E226)^E227-1)+E228*((1+E226)^E229-(1+E226)^E227))/(E229*LN(1+E226)))</f>
        <v>1.16176298513761</v>
      </c>
      <c r="F233" s="56" t="s">
        <v>137</v>
      </c>
      <c r="G233" s="91" t="s">
        <v>1575</v>
      </c>
    </row>
    <row r="234" customFormat="false" ht="15" hidden="false" customHeight="false" outlineLevel="0" collapsed="false">
      <c r="A234" s="6" t="s">
        <v>1576</v>
      </c>
      <c r="B234" s="59" t="s">
        <v>93</v>
      </c>
      <c r="C234" s="104" t="n">
        <f aca="false">C233/C232</f>
        <v>0.8669761972345</v>
      </c>
      <c r="D234" s="112" t="n">
        <f aca="false">D233/D232</f>
        <v>0.718131868131868</v>
      </c>
      <c r="E234" s="112" t="n">
        <f aca="false">E233/E232</f>
        <v>1</v>
      </c>
      <c r="F234" s="56" t="s">
        <v>137</v>
      </c>
      <c r="G234" s="91" t="s">
        <v>1577</v>
      </c>
    </row>
    <row r="235" customFormat="false" ht="15" hidden="false" customHeight="false" outlineLevel="0" collapsed="false">
      <c r="A235" s="10" t="s">
        <v>1578</v>
      </c>
    </row>
    <row r="236" customFormat="false" ht="29.85" hidden="false" customHeight="false" outlineLevel="0" collapsed="false">
      <c r="A236" s="5" t="s">
        <v>1579</v>
      </c>
      <c r="B236" s="59" t="s">
        <v>93</v>
      </c>
      <c r="C236" s="112" t="n">
        <f aca="false">CTL_PriceLife</f>
        <v>1</v>
      </c>
      <c r="D236" s="112" t="n">
        <f aca="false">CTL_PriceLife</f>
        <v>1</v>
      </c>
      <c r="E236" s="112" t="n">
        <f aca="false">CTL_PriceLife</f>
        <v>1</v>
      </c>
      <c r="F236" s="56" t="s">
        <v>1580</v>
      </c>
      <c r="G236" s="85" t="s">
        <v>1581</v>
      </c>
    </row>
    <row r="237" customFormat="false" ht="29.85" hidden="false" customHeight="false" outlineLevel="0" collapsed="false">
      <c r="A237" s="5" t="s">
        <v>1582</v>
      </c>
      <c r="B237" s="59" t="s">
        <v>93</v>
      </c>
      <c r="C237" s="59" t="s">
        <v>1583</v>
      </c>
      <c r="D237" s="59" t="s">
        <v>604</v>
      </c>
      <c r="E237" s="59" t="s">
        <v>604</v>
      </c>
      <c r="F237" s="56" t="s">
        <v>1584</v>
      </c>
      <c r="G237" s="85" t="s">
        <v>1585</v>
      </c>
    </row>
    <row r="238" customFormat="false" ht="29.85" hidden="false" customHeight="false" outlineLevel="0" collapsed="false">
      <c r="A238" s="5" t="s">
        <v>1586</v>
      </c>
      <c r="B238" s="59" t="s">
        <v>93</v>
      </c>
      <c r="C238" s="112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2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2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6" t="s">
        <v>137</v>
      </c>
      <c r="G238" s="91" t="s">
        <v>1587</v>
      </c>
    </row>
    <row r="239" customFormat="false" ht="15" hidden="false" customHeight="false" outlineLevel="0" collapsed="false">
      <c r="A239" s="10" t="s">
        <v>1588</v>
      </c>
    </row>
    <row r="240" customFormat="false" ht="41" hidden="false" customHeight="false" outlineLevel="0" collapsed="false">
      <c r="A240" s="5" t="s">
        <v>1589</v>
      </c>
      <c r="B240" s="59" t="s">
        <v>93</v>
      </c>
      <c r="C240" s="104" t="n">
        <f aca="false">IF(AND(ISNUMBER(L1_FleetBreakeven),ISNUMBER(L1_MFleet)),L1_FleetBreakeven/(IF_Util*CTL_ProdDerate*L1_MFleet),"m 非數字（本情境）")</f>
        <v>0.364508545313209</v>
      </c>
      <c r="D240" s="112" t="n">
        <f aca="false">IF(AND(ISNUMBER(L1_FleetBreakeven),ISNUMBER(L1_MFleet_Hi)),L1_FleetBreakeven/(IF_Util*CTL_ProdDerate*L1_MFleet_Hi),"m 非數字（本情境）")</f>
        <v>0.208290597321834</v>
      </c>
      <c r="E240" s="112" t="n">
        <f aca="false">IF(AND(ISNUMBER(L1_FleetBreakeven),ISNUMBER(L1_MFleet_Lo)),L1_FleetBreakeven/(IF_Util*CTL_ProdDerate*L1_MFleet_Lo),"m 非數字（本情境）")</f>
        <v>0.555441592858224</v>
      </c>
      <c r="F240" s="56" t="s">
        <v>137</v>
      </c>
      <c r="G240" s="91" t="s">
        <v>1590</v>
      </c>
    </row>
    <row r="241" customFormat="false" ht="29.85" hidden="false" customHeight="false" outlineLevel="0" collapsed="false">
      <c r="A241" s="5" t="s">
        <v>1591</v>
      </c>
      <c r="B241" s="59" t="s">
        <v>93</v>
      </c>
      <c r="C241" s="112" t="n">
        <f aca="false">IF(AND(ISNUMBER(L1_FleetBreakeven),ISNUMBER(L1_MAPI)),L1_FleetBreakeven/(IF_Util*CTL_ProdDerate*L1_MAPI),"m 非數字（本情境）")</f>
        <v>0.523690164806953</v>
      </c>
      <c r="D241" s="112" t="n">
        <f aca="false">IF(AND(ISNUMBER(L1_FleetBreakeven),ISNUMBER(L1_MAPI_Hi)),L1_FleetBreakeven/(IF_Util*CTL_ProdDerate*L1_MAPI_Hi),"m 非數字（本情境）")</f>
        <v>0.371948671791339</v>
      </c>
      <c r="E241" s="112" t="n">
        <f aca="false">IF(AND(ISNUMBER(L1_FleetBreakeven),ISNUMBER(L1_MAPI_Lo)),L1_FleetBreakeven/(IF_Util*CTL_ProdDerate*L1_MAPI_Lo),"m 非數字（本情境）")</f>
        <v>2.79301421230374</v>
      </c>
      <c r="F241" s="56" t="s">
        <v>137</v>
      </c>
      <c r="G241" s="91" t="s">
        <v>1592</v>
      </c>
    </row>
    <row r="242" customFormat="false" ht="15" hidden="false" customHeight="false" outlineLevel="0" collapsed="false">
      <c r="A242" s="5" t="s">
        <v>1593</v>
      </c>
      <c r="B242" s="59" t="s">
        <v>93</v>
      </c>
      <c r="C242" s="112" t="str">
        <f aca="false">IF(ISNUMBER(C240),IF(C233&gt;=C240,"回本（L_total 口徑）：L_total ≥ 所需 L","未回本（L_total 口徑）：L_total &lt; 所需 L"),"m 非數字（本情境）")</f>
        <v>回本（L_total 口徑）：L_total ≥ 所需 L</v>
      </c>
      <c r="D242" s="112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2" t="str">
        <f aca="false">IF(ISNUMBER(E240),IF(E233&gt;=E240,"回本（L_total 口徑）：L_total ≥ 所需 L","未回本（L_total 口徑）：L_total &lt; 所需 L"),"m 非數字（本情境）")</f>
        <v>回本（L_total 口徑）：L_total ≥ 所需 L</v>
      </c>
      <c r="F242" s="56" t="s">
        <v>137</v>
      </c>
      <c r="G242" s="91" t="s">
        <v>1594</v>
      </c>
    </row>
    <row r="243" customFormat="false" ht="15" hidden="false" customHeight="false" outlineLevel="0" collapsed="false">
      <c r="A243" s="5" t="s">
        <v>1595</v>
      </c>
      <c r="B243" s="59" t="s">
        <v>93</v>
      </c>
      <c r="C243" s="112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2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2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6" t="s">
        <v>137</v>
      </c>
      <c r="G243" s="91" t="s">
        <v>1596</v>
      </c>
    </row>
    <row r="244" customFormat="false" ht="15" hidden="false" customHeight="false" outlineLevel="0" collapsed="false">
      <c r="A244" s="71" t="s">
        <v>1597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1598</v>
      </c>
    </row>
    <row r="2" customFormat="false" ht="15" hidden="false" customHeight="false" outlineLevel="0" collapsed="false">
      <c r="A2" s="71" t="s">
        <v>1599</v>
      </c>
    </row>
    <row r="4" customFormat="false" ht="15" hidden="false" customHeight="false" outlineLevel="0" collapsed="false">
      <c r="A4" s="73" t="s">
        <v>1600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7" t="s">
        <v>353</v>
      </c>
      <c r="B5" s="57" t="s">
        <v>73</v>
      </c>
      <c r="C5" s="10" t="s">
        <v>245</v>
      </c>
      <c r="D5" s="10" t="s">
        <v>246</v>
      </c>
      <c r="E5" s="10" t="s">
        <v>247</v>
      </c>
      <c r="G5" s="57" t="s">
        <v>321</v>
      </c>
    </row>
    <row r="6" customFormat="false" ht="15" hidden="false" customHeight="false" outlineLevel="0" collapsed="false">
      <c r="A6" s="5" t="s">
        <v>1601</v>
      </c>
      <c r="B6" s="59" t="s">
        <v>297</v>
      </c>
      <c r="C6" s="149" t="n">
        <f aca="false">Training!L109</f>
        <v>4.80829842560294E+024</v>
      </c>
      <c r="D6" s="149" t="n">
        <f aca="false">Training!M109</f>
        <v>1.6345355852516E+025</v>
      </c>
      <c r="E6" s="149" t="n">
        <f aca="false">Training!N109</f>
        <v>1.0080164477952E+026</v>
      </c>
      <c r="G6" s="85" t="s">
        <v>1602</v>
      </c>
    </row>
    <row r="7" customFormat="false" ht="15" hidden="false" customHeight="false" outlineLevel="0" collapsed="false">
      <c r="A7" s="6" t="s">
        <v>1603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1604</v>
      </c>
      <c r="B8" s="58" t="s">
        <v>1605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1606</v>
      </c>
    </row>
    <row r="9" customFormat="false" ht="15" hidden="false" customHeight="false" outlineLevel="0" collapsed="false">
      <c r="A9" s="5" t="s">
        <v>1607</v>
      </c>
      <c r="B9" s="58" t="s">
        <v>1608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1609</v>
      </c>
    </row>
    <row r="10" customFormat="false" ht="15" hidden="false" customHeight="false" outlineLevel="0" collapsed="false">
      <c r="A10" s="5" t="s">
        <v>1610</v>
      </c>
      <c r="B10" s="59" t="s">
        <v>93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1611</v>
      </c>
    </row>
    <row r="11" customFormat="false" ht="15" hidden="false" customHeight="false" outlineLevel="0" collapsed="false">
      <c r="A11" s="5" t="s">
        <v>1612</v>
      </c>
      <c r="B11" s="59" t="s">
        <v>93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1613</v>
      </c>
    </row>
    <row r="13" customFormat="false" ht="15" hidden="false" customHeight="false" outlineLevel="0" collapsed="false">
      <c r="A13" s="73" t="s">
        <v>1614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1615</v>
      </c>
      <c r="B14" s="59" t="s">
        <v>93</v>
      </c>
      <c r="C14" s="150" t="n">
        <f aca="false">Train_In!$C$47/E6</f>
        <v>4.96023652286263</v>
      </c>
      <c r="G14" s="91" t="s">
        <v>1616</v>
      </c>
    </row>
    <row r="16" customFormat="false" ht="15" hidden="false" customHeight="false" outlineLevel="0" collapsed="false">
      <c r="A16" s="73" t="s">
        <v>1617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1618</v>
      </c>
    </row>
    <row r="18" customFormat="false" ht="15" hidden="false" customHeight="false" outlineLevel="0" collapsed="false">
      <c r="A18" s="56" t="s">
        <v>1619</v>
      </c>
    </row>
    <row r="19" customFormat="false" ht="15" hidden="false" customHeight="false" outlineLevel="0" collapsed="false">
      <c r="A19" s="56" t="s">
        <v>1620</v>
      </c>
    </row>
    <row r="20" customFormat="false" ht="15" hidden="false" customHeight="false" outlineLevel="0" collapsed="false">
      <c r="A20" s="56" t="s">
        <v>1621</v>
      </c>
    </row>
    <row r="21" customFormat="false" ht="15" hidden="false" customHeight="false" outlineLevel="0" collapsed="false">
      <c r="A21" s="56" t="s">
        <v>1622</v>
      </c>
    </row>
    <row r="22" customFormat="false" ht="15" hidden="false" customHeight="false" outlineLevel="0" collapsed="false">
      <c r="A22" s="56" t="s">
        <v>1623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1624</v>
      </c>
    </row>
    <row r="2" customFormat="false" ht="15" hidden="false" customHeight="false" outlineLevel="0" collapsed="false">
      <c r="A2" s="71" t="s">
        <v>1625</v>
      </c>
    </row>
    <row r="4" customFormat="false" ht="15" hidden="false" customHeight="false" outlineLevel="0" collapsed="false">
      <c r="A4" s="73" t="s">
        <v>1626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1182</v>
      </c>
      <c r="B5" s="81" t="s">
        <v>1184</v>
      </c>
      <c r="C5" s="81" t="s">
        <v>1190</v>
      </c>
      <c r="D5" s="81" t="s">
        <v>1627</v>
      </c>
      <c r="E5" s="81" t="s">
        <v>1126</v>
      </c>
      <c r="F5" s="81" t="s">
        <v>1128</v>
      </c>
      <c r="G5" s="81" t="s">
        <v>1628</v>
      </c>
      <c r="H5" s="81" t="s">
        <v>1629</v>
      </c>
      <c r="I5" s="81" t="s">
        <v>1630</v>
      </c>
      <c r="J5" s="81" t="s">
        <v>1631</v>
      </c>
      <c r="K5" s="81" t="s">
        <v>1632</v>
      </c>
      <c r="L5" s="81" t="s">
        <v>1633</v>
      </c>
      <c r="M5" s="81" t="s">
        <v>1634</v>
      </c>
      <c r="N5" s="81" t="s">
        <v>1635</v>
      </c>
      <c r="O5" s="81" t="s">
        <v>1636</v>
      </c>
      <c r="P5" s="81" t="s">
        <v>1637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1638</v>
      </c>
    </row>
    <row r="21" customFormat="false" ht="15" hidden="false" customHeight="false" outlineLevel="0" collapsed="false">
      <c r="A21" s="73" t="s">
        <v>1639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57" t="s">
        <v>353</v>
      </c>
      <c r="B22" s="57" t="s">
        <v>73</v>
      </c>
      <c r="C22" s="10" t="s">
        <v>245</v>
      </c>
      <c r="D22" s="10" t="s">
        <v>246</v>
      </c>
      <c r="E22" s="10" t="s">
        <v>247</v>
      </c>
    </row>
    <row r="23" customFormat="false" ht="29.85" hidden="false" customHeight="false" outlineLevel="0" collapsed="false">
      <c r="A23" s="5" t="s">
        <v>1640</v>
      </c>
      <c r="B23" s="58" t="s">
        <v>1605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1641</v>
      </c>
      <c r="B24" s="59" t="s">
        <v>791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1642</v>
      </c>
      <c r="B25" s="59" t="s">
        <v>791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1643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1644</v>
      </c>
      <c r="B27" s="59" t="s">
        <v>791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1645</v>
      </c>
      <c r="B28" s="59" t="s">
        <v>791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1646</v>
      </c>
      <c r="B29" s="59" t="s">
        <v>791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1647</v>
      </c>
      <c r="B30" s="59" t="s">
        <v>93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1648</v>
      </c>
      <c r="B31" s="59" t="s">
        <v>791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1649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1650</v>
      </c>
      <c r="B33" s="59" t="s">
        <v>93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1651</v>
      </c>
      <c r="B34" s="58" t="s">
        <v>312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1652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1653</v>
      </c>
      <c r="B37" s="59" t="s">
        <v>93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1654</v>
      </c>
      <c r="B38" s="59" t="s">
        <v>93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1655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1656</v>
      </c>
      <c r="B41" s="59" t="s">
        <v>791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1657</v>
      </c>
      <c r="B42" s="59" t="s">
        <v>791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1658</v>
      </c>
      <c r="B43" s="59" t="s">
        <v>791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1659</v>
      </c>
      <c r="B44" s="59" t="s">
        <v>791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1660</v>
      </c>
      <c r="B45" s="59" t="s">
        <v>791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1661</v>
      </c>
      <c r="B46" s="59" t="s">
        <v>791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1662</v>
      </c>
    </row>
    <row r="2" customFormat="false" ht="15" hidden="false" customHeight="false" outlineLevel="0" collapsed="false">
      <c r="A2" s="71" t="s">
        <v>1663</v>
      </c>
    </row>
    <row r="4" customFormat="false" ht="15" hidden="false" customHeight="false" outlineLevel="0" collapsed="false">
      <c r="A4" s="57" t="s">
        <v>161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436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1664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1665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1666</v>
      </c>
      <c r="B10" s="59" t="s">
        <v>1667</v>
      </c>
      <c r="C10" s="151" t="n">
        <f aca="false">B4_SSDcost/(B4_SSDlife*8760)</f>
        <v>2.28310502283105E-006</v>
      </c>
      <c r="D10" s="151" t="n">
        <f aca="false">B4_SSDcost/(B4_SSDlife*8760)</f>
        <v>2.28310502283105E-006</v>
      </c>
      <c r="E10" s="151" t="n">
        <f aca="false">B4_SSDcost/(B4_SSDlife*8760)</f>
        <v>2.28310502283105E-006</v>
      </c>
      <c r="F10" s="151" t="n">
        <f aca="false">B4_SSDcost/(B4_SSDlife*8760)</f>
        <v>2.28310502283105E-006</v>
      </c>
      <c r="G10" s="151" t="n">
        <f aca="false">B4_SSDcost/(B4_SSDlife*8760)</f>
        <v>2.28310502283105E-006</v>
      </c>
      <c r="H10" s="151" t="n">
        <f aca="false">B4_SSDcost/(B4_SSDlife*8760)</f>
        <v>2.28310502283105E-006</v>
      </c>
      <c r="I10" s="151" t="n">
        <f aca="false">B4_SSDcost/(B4_SSDlife*8760)</f>
        <v>2.28310502283105E-006</v>
      </c>
      <c r="J10" s="151" t="n">
        <f aca="false">B4_SSDcost/(B4_SSDlife*8760)</f>
        <v>2.28310502283105E-006</v>
      </c>
      <c r="K10" s="151" t="n">
        <f aca="false">B4_SSDcost/(B4_SSDlife*8760)</f>
        <v>2.28310502283105E-006</v>
      </c>
      <c r="L10" s="151" t="n">
        <f aca="false">B4_SSDcost/(B4_SSDlife*8760)</f>
        <v>2.28310502283105E-006</v>
      </c>
      <c r="M10" s="151" t="n">
        <f aca="false">B4_SSDcost/(B4_SSDlife*8760)</f>
        <v>2.28310502283105E-006</v>
      </c>
      <c r="N10" s="151" t="n">
        <f aca="false">B4_SSDcost/(B4_SSDlife*8760)</f>
        <v>2.28310502283105E-006</v>
      </c>
      <c r="O10" s="151" t="n">
        <f aca="false">B4_SSDcost/(B4_SSDlife*8760)</f>
        <v>2.28310502283105E-006</v>
      </c>
      <c r="P10" s="151" t="n">
        <f aca="false">B4_SSDcost/(B4_SSDlife*8760)</f>
        <v>2.28310502283105E-006</v>
      </c>
      <c r="Q10" s="151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1668</v>
      </c>
      <c r="B11" s="59" t="s">
        <v>1667</v>
      </c>
      <c r="C11" s="151" t="n">
        <f aca="false">B4_DRAMcost/(B4_DRAMlife*8760)</f>
        <v>0.000285388127853881</v>
      </c>
      <c r="D11" s="151" t="n">
        <f aca="false">B4_DRAMcost/(B4_DRAMlife*8760)</f>
        <v>0.000285388127853881</v>
      </c>
      <c r="E11" s="151" t="n">
        <f aca="false">B4_DRAMcost/(B4_DRAMlife*8760)</f>
        <v>0.000285388127853881</v>
      </c>
      <c r="F11" s="151" t="n">
        <f aca="false">B4_DRAMcost/(B4_DRAMlife*8760)</f>
        <v>0.000285388127853881</v>
      </c>
      <c r="G11" s="151" t="n">
        <f aca="false">B4_DRAMcost/(B4_DRAMlife*8760)</f>
        <v>0.000285388127853881</v>
      </c>
      <c r="H11" s="151" t="n">
        <f aca="false">B4_DRAMcost/(B4_DRAMlife*8760)</f>
        <v>0.000285388127853881</v>
      </c>
      <c r="I11" s="151" t="n">
        <f aca="false">B4_DRAMcost/(B4_DRAMlife*8760)</f>
        <v>0.000285388127853881</v>
      </c>
      <c r="J11" s="151" t="n">
        <f aca="false">B4_DRAMcost/(B4_DRAMlife*8760)</f>
        <v>0.000285388127853881</v>
      </c>
      <c r="K11" s="151" t="n">
        <f aca="false">B4_DRAMcost/(B4_DRAMlife*8760)</f>
        <v>0.000285388127853881</v>
      </c>
      <c r="L11" s="151" t="n">
        <f aca="false">B4_DRAMcost/(B4_DRAMlife*8760)</f>
        <v>0.000285388127853881</v>
      </c>
      <c r="M11" s="151" t="n">
        <f aca="false">B4_DRAMcost/(B4_DRAMlife*8760)</f>
        <v>0.000285388127853881</v>
      </c>
      <c r="N11" s="151" t="n">
        <f aca="false">B4_DRAMcost/(B4_DRAMlife*8760)</f>
        <v>0.000285388127853881</v>
      </c>
      <c r="O11" s="151" t="n">
        <f aca="false">B4_DRAMcost/(B4_DRAMlife*8760)</f>
        <v>0.000285388127853881</v>
      </c>
      <c r="P11" s="151" t="n">
        <f aca="false">B4_DRAMcost/(B4_DRAMlife*8760)</f>
        <v>0.000285388127853881</v>
      </c>
      <c r="Q11" s="151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1669</v>
      </c>
      <c r="B12" s="59" t="s">
        <v>1667</v>
      </c>
      <c r="C12" s="152" t="n">
        <f aca="false">Unit_Cost!C$8/INDEX(Spec_Rack!$C$25:$G$25,1,C$6)</f>
        <v>0.0134955607522832</v>
      </c>
      <c r="D12" s="152" t="n">
        <f aca="false">Unit_Cost!D$8/INDEX(Spec_Rack!$C$25:$G$25,1,D$6)</f>
        <v>0.0192824568481987</v>
      </c>
      <c r="E12" s="152" t="n">
        <f aca="false">Unit_Cost!E$8/INDEX(Spec_Rack!$C$25:$G$25,1,E$6)</f>
        <v>0.0331150706309994</v>
      </c>
      <c r="F12" s="152" t="n">
        <f aca="false">Unit_Cost!F$8/INDEX(Spec_Rack!$C$25:$G$25,1,F$6)</f>
        <v>0.0080872480876766</v>
      </c>
      <c r="G12" s="152" t="n">
        <f aca="false">Unit_Cost!G$8/INDEX(Spec_Rack!$C$25:$G$25,1,G$6)</f>
        <v>0.0107981774006494</v>
      </c>
      <c r="H12" s="152" t="n">
        <f aca="false">Unit_Cost!H$8/INDEX(Spec_Rack!$C$25:$G$25,1,H$6)</f>
        <v>0.0175137756908532</v>
      </c>
      <c r="I12" s="152" t="n">
        <f aca="false">Unit_Cost!I$8/INDEX(Spec_Rack!$C$25:$G$25,1,I$6)</f>
        <v>0.00686022195155025</v>
      </c>
      <c r="J12" s="152" t="n">
        <f aca="false">Unit_Cost!J$8/INDEX(Spec_Rack!$C$25:$G$25,1,J$6)</f>
        <v>0.0088603736572776</v>
      </c>
      <c r="K12" s="152" t="n">
        <f aca="false">Unit_Cost!K$8/INDEX(Spec_Rack!$C$25:$G$25,1,K$6)</f>
        <v>0.0150852181439048</v>
      </c>
      <c r="L12" s="152" t="n">
        <f aca="false">Unit_Cost!L$8/INDEX(Spec_Rack!$C$25:$G$25,1,L$6)</f>
        <v>0.0129234011848593</v>
      </c>
      <c r="M12" s="152" t="n">
        <f aca="false">Unit_Cost!M$8/INDEX(Spec_Rack!$C$25:$G$25,1,M$6)</f>
        <v>0.0166099021084798</v>
      </c>
      <c r="N12" s="152" t="n">
        <f aca="false">Unit_Cost!N$8/INDEX(Spec_Rack!$C$25:$G$25,1,N$6)</f>
        <v>0.0268338112088143</v>
      </c>
      <c r="O12" s="152" t="n">
        <f aca="false">Unit_Cost!O$8/INDEX(Spec_Rack!$C$25:$G$25,1,O$6)</f>
        <v>0.00578265059127264</v>
      </c>
      <c r="P12" s="152" t="n">
        <f aca="false">Unit_Cost!P$8/INDEX(Spec_Rack!$C$25:$G$25,1,P$6)</f>
        <v>0.00878883600486841</v>
      </c>
      <c r="Q12" s="152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1670</v>
      </c>
      <c r="B13" s="59" t="s">
        <v>1667</v>
      </c>
      <c r="C13" s="151" t="n">
        <f aca="false">CHOOSE(B4_StoreTier,C10,C11,C12)</f>
        <v>0.000285388127853881</v>
      </c>
      <c r="D13" s="151" t="n">
        <f aca="false">CHOOSE(B4_StoreTier,D10,D11,D12)</f>
        <v>0.000285388127853881</v>
      </c>
      <c r="E13" s="151" t="n">
        <f aca="false">CHOOSE(B4_StoreTier,E10,E11,E12)</f>
        <v>0.000285388127853881</v>
      </c>
      <c r="F13" s="151" t="n">
        <f aca="false">CHOOSE(B4_StoreTier,F10,F11,F12)</f>
        <v>0.000285388127853881</v>
      </c>
      <c r="G13" s="151" t="n">
        <f aca="false">CHOOSE(B4_StoreTier,G10,G11,G12)</f>
        <v>0.000285388127853881</v>
      </c>
      <c r="H13" s="151" t="n">
        <f aca="false">CHOOSE(B4_StoreTier,H10,H11,H12)</f>
        <v>0.000285388127853881</v>
      </c>
      <c r="I13" s="151" t="n">
        <f aca="false">CHOOSE(B4_StoreTier,I10,I11,I12)</f>
        <v>0.000285388127853881</v>
      </c>
      <c r="J13" s="151" t="n">
        <f aca="false">CHOOSE(B4_StoreTier,J10,J11,J12)</f>
        <v>0.000285388127853881</v>
      </c>
      <c r="K13" s="151" t="n">
        <f aca="false">CHOOSE(B4_StoreTier,K10,K11,K12)</f>
        <v>0.000285388127853881</v>
      </c>
      <c r="L13" s="151" t="n">
        <f aca="false">CHOOSE(B4_StoreTier,L10,L11,L12)</f>
        <v>0.000285388127853881</v>
      </c>
      <c r="M13" s="151" t="n">
        <f aca="false">CHOOSE(B4_StoreTier,M10,M11,M12)</f>
        <v>0.000285388127853881</v>
      </c>
      <c r="N13" s="151" t="n">
        <f aca="false">CHOOSE(B4_StoreTier,N10,N11,N12)</f>
        <v>0.000285388127853881</v>
      </c>
      <c r="O13" s="151" t="n">
        <f aca="false">CHOOSE(B4_StoreTier,O10,O11,O12)</f>
        <v>0.000285388127853881</v>
      </c>
      <c r="P13" s="151" t="n">
        <f aca="false">CHOOSE(B4_StoreTier,P10,P11,P12)</f>
        <v>0.000285388127853881</v>
      </c>
      <c r="Q13" s="151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245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1671</v>
      </c>
      <c r="B16" s="59" t="s">
        <v>254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1672</v>
      </c>
      <c r="B17" s="59" t="s">
        <v>791</v>
      </c>
      <c r="C17" s="153" t="n">
        <f aca="false">C16*1000000/1000000000*C$13*B4_Retain/B4_Hits</f>
        <v>1.32943302891933E-005</v>
      </c>
      <c r="D17" s="153" t="n">
        <f aca="false">D16*1000000/1000000000*D$13*B4_Retain/B4_Hits</f>
        <v>1.32943302891933E-005</v>
      </c>
      <c r="E17" s="153" t="n">
        <f aca="false">E16*1000000/1000000000*E$13*B4_Retain/B4_Hits</f>
        <v>1.32943302891933E-005</v>
      </c>
      <c r="F17" s="153" t="n">
        <f aca="false">F16*1000000/1000000000*F$13*B4_Retain/B4_Hits</f>
        <v>1.32943302891933E-005</v>
      </c>
      <c r="G17" s="153" t="n">
        <f aca="false">G16*1000000/1000000000*G$13*B4_Retain/B4_Hits</f>
        <v>1.32943302891933E-005</v>
      </c>
      <c r="H17" s="153" t="n">
        <f aca="false">H16*1000000/1000000000*H$13*B4_Retain/B4_Hits</f>
        <v>1.32943302891933E-005</v>
      </c>
      <c r="I17" s="153" t="n">
        <f aca="false">I16*1000000/1000000000*I$13*B4_Retain/B4_Hits</f>
        <v>1.32943302891933E-005</v>
      </c>
      <c r="J17" s="153" t="n">
        <f aca="false">J16*1000000/1000000000*J$13*B4_Retain/B4_Hits</f>
        <v>1.32943302891933E-005</v>
      </c>
      <c r="K17" s="153" t="n">
        <f aca="false">K16*1000000/1000000000*K$13*B4_Retain/B4_Hits</f>
        <v>1.32943302891933E-005</v>
      </c>
      <c r="L17" s="153" t="n">
        <f aca="false">L16*1000000/1000000000*L$13*B4_Retain/B4_Hits</f>
        <v>1.32943302891933E-005</v>
      </c>
      <c r="M17" s="153" t="n">
        <f aca="false">M16*1000000/1000000000*M$13*B4_Retain/B4_Hits</f>
        <v>1.32943302891933E-005</v>
      </c>
      <c r="N17" s="153" t="n">
        <f aca="false">N16*1000000/1000000000*N$13*B4_Retain/B4_Hits</f>
        <v>1.32943302891933E-005</v>
      </c>
      <c r="O17" s="153" t="n">
        <f aca="false">O16*1000000/1000000000*O$13*B4_Retain/B4_Hits</f>
        <v>1.32943302891933E-005</v>
      </c>
      <c r="P17" s="153" t="n">
        <f aca="false">P16*1000000/1000000000*P$13*B4_Retain/B4_Hits</f>
        <v>1.32943302891933E-005</v>
      </c>
      <c r="Q17" s="153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1673</v>
      </c>
      <c r="B18" s="59" t="s">
        <v>93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1674</v>
      </c>
      <c r="B19" s="59" t="s">
        <v>89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246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1671</v>
      </c>
      <c r="B22" s="59" t="s">
        <v>254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1675</v>
      </c>
      <c r="B23" s="59" t="s">
        <v>791</v>
      </c>
      <c r="C23" s="153" t="n">
        <f aca="false">C22*1000000/1000000000*C$13*B4_Retain/B4_Hits</f>
        <v>1.8859398782344E-005</v>
      </c>
      <c r="D23" s="153" t="n">
        <f aca="false">D22*1000000/1000000000*D$13*B4_Retain/B4_Hits</f>
        <v>1.8859398782344E-005</v>
      </c>
      <c r="E23" s="153" t="n">
        <f aca="false">E22*1000000/1000000000*E$13*B4_Retain/B4_Hits</f>
        <v>1.8859398782344E-005</v>
      </c>
      <c r="F23" s="153" t="n">
        <f aca="false">F22*1000000/1000000000*F$13*B4_Retain/B4_Hits</f>
        <v>1.8859398782344E-005</v>
      </c>
      <c r="G23" s="153" t="n">
        <f aca="false">G22*1000000/1000000000*G$13*B4_Retain/B4_Hits</f>
        <v>1.8859398782344E-005</v>
      </c>
      <c r="H23" s="153" t="n">
        <f aca="false">H22*1000000/1000000000*H$13*B4_Retain/B4_Hits</f>
        <v>1.8859398782344E-005</v>
      </c>
      <c r="I23" s="153" t="n">
        <f aca="false">I22*1000000/1000000000*I$13*B4_Retain/B4_Hits</f>
        <v>1.8859398782344E-005</v>
      </c>
      <c r="J23" s="153" t="n">
        <f aca="false">J22*1000000/1000000000*J$13*B4_Retain/B4_Hits</f>
        <v>1.8859398782344E-005</v>
      </c>
      <c r="K23" s="153" t="n">
        <f aca="false">K22*1000000/1000000000*K$13*B4_Retain/B4_Hits</f>
        <v>1.8859398782344E-005</v>
      </c>
      <c r="L23" s="153" t="n">
        <f aca="false">L22*1000000/1000000000*L$13*B4_Retain/B4_Hits</f>
        <v>1.8859398782344E-005</v>
      </c>
      <c r="M23" s="153" t="n">
        <f aca="false">M22*1000000/1000000000*M$13*B4_Retain/B4_Hits</f>
        <v>1.8859398782344E-005</v>
      </c>
      <c r="N23" s="153" t="n">
        <f aca="false">N22*1000000/1000000000*N$13*B4_Retain/B4_Hits</f>
        <v>1.8859398782344E-005</v>
      </c>
      <c r="O23" s="153" t="n">
        <f aca="false">O22*1000000/1000000000*O$13*B4_Retain/B4_Hits</f>
        <v>1.8859398782344E-005</v>
      </c>
      <c r="P23" s="153" t="n">
        <f aca="false">P22*1000000/1000000000*P$13*B4_Retain/B4_Hits</f>
        <v>1.8859398782344E-005</v>
      </c>
      <c r="Q23" s="153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1673</v>
      </c>
      <c r="B24" s="59" t="s">
        <v>93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1674</v>
      </c>
      <c r="B25" s="59" t="s">
        <v>89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247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1671</v>
      </c>
      <c r="B28" s="59" t="s">
        <v>254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1676</v>
      </c>
      <c r="B29" s="59" t="s">
        <v>791</v>
      </c>
      <c r="C29" s="153" t="n">
        <f aca="false">C28*1000000/1000000000*C$13*B4_Retain/B4_Hits</f>
        <v>0.000273972602739726</v>
      </c>
      <c r="D29" s="153" t="n">
        <f aca="false">D28*1000000/1000000000*D$13*B4_Retain/B4_Hits</f>
        <v>0.000273972602739726</v>
      </c>
      <c r="E29" s="153" t="n">
        <f aca="false">E28*1000000/1000000000*E$13*B4_Retain/B4_Hits</f>
        <v>0.000273972602739726</v>
      </c>
      <c r="F29" s="153" t="n">
        <f aca="false">F28*1000000/1000000000*F$13*B4_Retain/B4_Hits</f>
        <v>0.000273972602739726</v>
      </c>
      <c r="G29" s="153" t="n">
        <f aca="false">G28*1000000/1000000000*G$13*B4_Retain/B4_Hits</f>
        <v>0.000273972602739726</v>
      </c>
      <c r="H29" s="153" t="n">
        <f aca="false">H28*1000000/1000000000*H$13*B4_Retain/B4_Hits</f>
        <v>0.000273972602739726</v>
      </c>
      <c r="I29" s="153" t="n">
        <f aca="false">I28*1000000/1000000000*I$13*B4_Retain/B4_Hits</f>
        <v>0.000273972602739726</v>
      </c>
      <c r="J29" s="153" t="n">
        <f aca="false">J28*1000000/1000000000*J$13*B4_Retain/B4_Hits</f>
        <v>0.000273972602739726</v>
      </c>
      <c r="K29" s="153" t="n">
        <f aca="false">K28*1000000/1000000000*K$13*B4_Retain/B4_Hits</f>
        <v>0.000273972602739726</v>
      </c>
      <c r="L29" s="153" t="n">
        <f aca="false">L28*1000000/1000000000*L$13*B4_Retain/B4_Hits</f>
        <v>0.000273972602739726</v>
      </c>
      <c r="M29" s="153" t="n">
        <f aca="false">M28*1000000/1000000000*M$13*B4_Retain/B4_Hits</f>
        <v>0.000273972602739726</v>
      </c>
      <c r="N29" s="153" t="n">
        <f aca="false">N28*1000000/1000000000*N$13*B4_Retain/B4_Hits</f>
        <v>0.000273972602739726</v>
      </c>
      <c r="O29" s="153" t="n">
        <f aca="false">O28*1000000/1000000000*O$13*B4_Retain/B4_Hits</f>
        <v>0.000273972602739726</v>
      </c>
      <c r="P29" s="153" t="n">
        <f aca="false">P28*1000000/1000000000*P$13*B4_Retain/B4_Hits</f>
        <v>0.000273972602739726</v>
      </c>
      <c r="Q29" s="153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1673</v>
      </c>
      <c r="B30" s="59" t="s">
        <v>93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1674</v>
      </c>
      <c r="B31" s="59" t="s">
        <v>89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1677</v>
      </c>
    </row>
    <row r="2" customFormat="false" ht="15" hidden="false" customHeight="false" outlineLevel="0" collapsed="false">
      <c r="A2" s="71" t="s">
        <v>1678</v>
      </c>
    </row>
    <row r="4" customFormat="false" ht="15" hidden="false" customHeight="false" outlineLevel="0" collapsed="false">
      <c r="A4" s="57" t="s">
        <v>161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436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1664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1679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1680</v>
      </c>
      <c r="B10" s="59" t="s">
        <v>81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1681</v>
      </c>
      <c r="B11" s="59" t="s">
        <v>81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1682</v>
      </c>
      <c r="B12" s="59" t="s">
        <v>81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1683</v>
      </c>
      <c r="B13" s="59" t="s">
        <v>81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1684</v>
      </c>
      <c r="B14" s="59" t="s">
        <v>81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1685</v>
      </c>
      <c r="B15" s="59" t="s">
        <v>81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1686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1687</v>
      </c>
      <c r="B18" s="58" t="s">
        <v>1688</v>
      </c>
      <c r="C18" s="109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9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9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9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9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9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9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9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9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9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9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9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9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9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9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1689</v>
      </c>
      <c r="B19" s="59" t="s">
        <v>783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1690</v>
      </c>
      <c r="B20" s="59" t="s">
        <v>783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1691</v>
      </c>
      <c r="B21" s="59" t="s">
        <v>783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1692</v>
      </c>
      <c r="B22" s="59" t="s">
        <v>783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1693</v>
      </c>
      <c r="B23" s="59" t="s">
        <v>81</v>
      </c>
      <c r="C23" s="112" t="n">
        <f aca="false">IF(C18=1,IF(INDEX(IF_TokGW_Luna,1,C$7)&gt;0,(C21+C22)/(INDEX(IF_TokGW_Luna,1,C$7)*IF_Util),0),"SLO 不可達")</f>
        <v>0.154760588314132</v>
      </c>
      <c r="D23" s="112" t="n">
        <f aca="false">IF(D18=1,IF(INDEX(IF_TokGW_Luna,1,D$7)&gt;0,(D21+D22)/(INDEX(IF_TokGW_Luna,1,D$7)*IF_Util),0),"SLO 不可達")</f>
        <v>0.154760588314132</v>
      </c>
      <c r="E23" s="112" t="n">
        <f aca="false">IF(E18=1,IF(INDEX(IF_TokGW_Luna,1,E$7)&gt;0,(E21+E22)/(INDEX(IF_TokGW_Luna,1,E$7)*IF_Util),0),"SLO 不可達")</f>
        <v>0.154760588314132</v>
      </c>
      <c r="F23" s="112" t="n">
        <f aca="false">IF(F18=1,IF(INDEX(IF_TokGW_Luna,1,F$7)&gt;0,(F21+F22)/(INDEX(IF_TokGW_Luna,1,F$7)*IF_Util),0),"SLO 不可達")</f>
        <v>0.154948330589445</v>
      </c>
      <c r="G23" s="112" t="n">
        <f aca="false">IF(G18=1,IF(INDEX(IF_TokGW_Luna,1,G$7)&gt;0,(G21+G22)/(INDEX(IF_TokGW_Luna,1,G$7)*IF_Util),0),"SLO 不可達")</f>
        <v>0.154948330589445</v>
      </c>
      <c r="H23" s="112" t="n">
        <f aca="false">IF(H18=1,IF(INDEX(IF_TokGW_Luna,1,H$7)&gt;0,(H21+H22)/(INDEX(IF_TokGW_Luna,1,H$7)*IF_Util),0),"SLO 不可達")</f>
        <v>0.154948330589445</v>
      </c>
      <c r="I23" s="112" t="n">
        <f aca="false">IF(I18=1,IF(INDEX(IF_TokGW_Luna,1,I$7)&gt;0,(I21+I22)/(INDEX(IF_TokGW_Luna,1,I$7)*IF_Util),0),"SLO 不可達")</f>
        <v>0.152945824232698</v>
      </c>
      <c r="J23" s="112" t="n">
        <f aca="false">IF(J18=1,IF(INDEX(IF_TokGW_Luna,1,J$7)&gt;0,(J21+J22)/(INDEX(IF_TokGW_Luna,1,J$7)*IF_Util),0),"SLO 不可達")</f>
        <v>0.152945824232698</v>
      </c>
      <c r="K23" s="112" t="n">
        <f aca="false">IF(K18=1,IF(INDEX(IF_TokGW_Luna,1,K$7)&gt;0,(K21+K22)/(INDEX(IF_TokGW_Luna,1,K$7)*IF_Util),0),"SLO 不可達")</f>
        <v>0.152945824232698</v>
      </c>
      <c r="L23" s="112" t="n">
        <f aca="false">IF(L18=1,IF(INDEX(IF_TokGW_Luna,1,L$7)&gt;0,(L21+L22)/(INDEX(IF_TokGW_Luna,1,L$7)*IF_Util),0),"SLO 不可達")</f>
        <v>0.159925495692349</v>
      </c>
      <c r="M23" s="112" t="n">
        <f aca="false">IF(M18=1,IF(INDEX(IF_TokGW_Luna,1,M$7)&gt;0,(M21+M22)/(INDEX(IF_TokGW_Luna,1,M$7)*IF_Util),0),"SLO 不可達")</f>
        <v>0.159925495692349</v>
      </c>
      <c r="N23" s="112" t="n">
        <f aca="false">IF(N18=1,IF(INDEX(IF_TokGW_Luna,1,N$7)&gt;0,(N21+N22)/(INDEX(IF_TokGW_Luna,1,N$7)*IF_Util),0),"SLO 不可達")</f>
        <v>0.159925495692349</v>
      </c>
      <c r="O23" s="112" t="n">
        <f aca="false">IF(O18=1,IF(INDEX(IF_TokGW_Luna,1,O$7)&gt;0,(O21+O22)/(INDEX(IF_TokGW_Luna,1,O$7)*IF_Util),0),"SLO 不可達")</f>
        <v>0.161551793857427</v>
      </c>
      <c r="P23" s="112" t="n">
        <f aca="false">IF(P18=1,IF(INDEX(IF_TokGW_Luna,1,P$7)&gt;0,(P21+P22)/(INDEX(IF_TokGW_Luna,1,P$7)*IF_Util),0),"SLO 不可達")</f>
        <v>0.161551793857427</v>
      </c>
      <c r="Q23" s="112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1694</v>
      </c>
      <c r="B24" s="59" t="s">
        <v>783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1695</v>
      </c>
      <c r="B25" s="59" t="s">
        <v>783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1696</v>
      </c>
      <c r="B26" s="59" t="s">
        <v>81</v>
      </c>
      <c r="C26" s="112" t="n">
        <f aca="false">IF(C18=1,IF(INDEX(IF_TokGW_Sol,1,C$7)&gt;0,(C24+C25)/(INDEX(IF_TokGW_Sol,1,C$7)*IF_Util),0),"SLO 不可達")</f>
        <v>0.123509990266414</v>
      </c>
      <c r="D26" s="112" t="n">
        <f aca="false">IF(D18=1,IF(INDEX(IF_TokGW_Sol,1,D$7)&gt;0,(D24+D25)/(INDEX(IF_TokGW_Sol,1,D$7)*IF_Util),0),"SLO 不可達")</f>
        <v>0.123509990266414</v>
      </c>
      <c r="E26" s="112" t="n">
        <f aca="false">IF(E18=1,IF(INDEX(IF_TokGW_Sol,1,E$7)&gt;0,(E24+E25)/(INDEX(IF_TokGW_Sol,1,E$7)*IF_Util),0),"SLO 不可達")</f>
        <v>0.123509990266414</v>
      </c>
      <c r="F26" s="112" t="n">
        <f aca="false">IF(F18=1,IF(INDEX(IF_TokGW_Sol,1,F$7)&gt;0,(F24+F25)/(INDEX(IF_TokGW_Sol,1,F$7)*IF_Util),0),"SLO 不可達")</f>
        <v>0.126699862563692</v>
      </c>
      <c r="G26" s="112" t="n">
        <f aca="false">IF(G18=1,IF(INDEX(IF_TokGW_Sol,1,G$7)&gt;0,(G24+G25)/(INDEX(IF_TokGW_Sol,1,G$7)*IF_Util),0),"SLO 不可達")</f>
        <v>0.126699862563692</v>
      </c>
      <c r="H26" s="112" t="n">
        <f aca="false">IF(H18=1,IF(INDEX(IF_TokGW_Sol,1,H$7)&gt;0,(H24+H25)/(INDEX(IF_TokGW_Sol,1,H$7)*IF_Util),0),"SLO 不可達")</f>
        <v>0.126699862563692</v>
      </c>
      <c r="I26" s="112" t="n">
        <f aca="false">IF(I18=1,IF(INDEX(IF_TokGW_Sol,1,I$7)&gt;0,(I24+I25)/(INDEX(IF_TokGW_Sol,1,I$7)*IF_Util),0),"SLO 不可達")</f>
        <v>0.118861121177431</v>
      </c>
      <c r="J26" s="112" t="n">
        <f aca="false">IF(J18=1,IF(INDEX(IF_TokGW_Sol,1,J$7)&gt;0,(J24+J25)/(INDEX(IF_TokGW_Sol,1,J$7)*IF_Util),0),"SLO 不可達")</f>
        <v>0.118861121177431</v>
      </c>
      <c r="K26" s="112" t="n">
        <f aca="false">IF(K18=1,IF(INDEX(IF_TokGW_Sol,1,K$7)&gt;0,(K24+K25)/(INDEX(IF_TokGW_Sol,1,K$7)*IF_Util),0),"SLO 不可達")</f>
        <v>0.118861121177431</v>
      </c>
      <c r="L26" s="112" t="n">
        <f aca="false">IF(L18=1,IF(INDEX(IF_TokGW_Sol,1,L$7)&gt;0,(L24+L25)/(INDEX(IF_TokGW_Sol,1,L$7)*IF_Util),0),"SLO 不可達")</f>
        <v>0.128658191722267</v>
      </c>
      <c r="M26" s="112" t="n">
        <f aca="false">IF(M18=1,IF(INDEX(IF_TokGW_Sol,1,M$7)&gt;0,(M24+M25)/(INDEX(IF_TokGW_Sol,1,M$7)*IF_Util),0),"SLO 不可達")</f>
        <v>0.128658191722267</v>
      </c>
      <c r="N26" s="112" t="n">
        <f aca="false">IF(N18=1,IF(INDEX(IF_TokGW_Sol,1,N$7)&gt;0,(N24+N25)/(INDEX(IF_TokGW_Sol,1,N$7)*IF_Util),0),"SLO 不可達")</f>
        <v>0.128658191722267</v>
      </c>
      <c r="O26" s="112" t="n">
        <f aca="false">IF(O18=1,IF(INDEX(IF_TokGW_Sol,1,O$7)&gt;0,(O24+O25)/(INDEX(IF_TokGW_Sol,1,O$7)*IF_Util),0),"SLO 不可達")</f>
        <v>0.130321232574257</v>
      </c>
      <c r="P26" s="112" t="n">
        <f aca="false">IF(P18=1,IF(INDEX(IF_TokGW_Sol,1,P$7)&gt;0,(P24+P25)/(INDEX(IF_TokGW_Sol,1,P$7)*IF_Util),0),"SLO 不可達")</f>
        <v>0.130321232574257</v>
      </c>
      <c r="Q26" s="112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1697</v>
      </c>
      <c r="B27" s="59" t="s">
        <v>783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1698</v>
      </c>
      <c r="B28" s="59" t="s">
        <v>783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1699</v>
      </c>
      <c r="B29" s="59" t="s">
        <v>81</v>
      </c>
      <c r="C29" s="112" t="n">
        <f aca="false">IF(C18=1,IF(INDEX(IF_TokGW_Astra,1,C$7)&gt;0,(C27+C28)/(INDEX(IF_TokGW_Astra,1,C$7)*IF_Util),0),"SLO 不可達")</f>
        <v>0.131729421419454</v>
      </c>
      <c r="D29" s="112" t="n">
        <f aca="false">IF(D18=1,IF(INDEX(IF_TokGW_Astra,1,D$7)&gt;0,(D27+D28)/(INDEX(IF_TokGW_Astra,1,D$7)*IF_Util),0),"SLO 不可達")</f>
        <v>0.131729421419454</v>
      </c>
      <c r="E29" s="112" t="n">
        <f aca="false">IF(E18=1,IF(INDEX(IF_TokGW_Astra,1,E$7)&gt;0,(E27+E28)/(INDEX(IF_TokGW_Astra,1,E$7)*IF_Util),0),"SLO 不可達")</f>
        <v>0.131729421419454</v>
      </c>
      <c r="F29" s="112" t="n">
        <f aca="false">IF(F18=1,IF(INDEX(IF_TokGW_Astra,1,F$7)&gt;0,(F27+F28)/(INDEX(IF_TokGW_Astra,1,F$7)*IF_Util),0),"SLO 不可達")</f>
        <v>0.128351806846863</v>
      </c>
      <c r="G29" s="112" t="n">
        <f aca="false">IF(G18=1,IF(INDEX(IF_TokGW_Astra,1,G$7)&gt;0,(G27+G28)/(INDEX(IF_TokGW_Astra,1,G$7)*IF_Util),0),"SLO 不可達")</f>
        <v>0.128351806846863</v>
      </c>
      <c r="H29" s="112" t="n">
        <f aca="false">IF(H18=1,IF(INDEX(IF_TokGW_Astra,1,H$7)&gt;0,(H27+H28)/(INDEX(IF_TokGW_Astra,1,H$7)*IF_Util),0),"SLO 不可達")</f>
        <v>0.128351806846863</v>
      </c>
      <c r="I29" s="112" t="n">
        <f aca="false">IF(I18=1,IF(INDEX(IF_TokGW_Astra,1,I$7)&gt;0,(I27+I28)/(INDEX(IF_TokGW_Astra,1,I$7)*IF_Util),0),"SLO 不可達")</f>
        <v>0.138193054589871</v>
      </c>
      <c r="J29" s="112" t="n">
        <f aca="false">IF(J18=1,IF(INDEX(IF_TokGW_Astra,1,J$7)&gt;0,(J27+J28)/(INDEX(IF_TokGW_Astra,1,J$7)*IF_Util),0),"SLO 不可達")</f>
        <v>0.138193054589871</v>
      </c>
      <c r="K29" s="112" t="n">
        <f aca="false">IF(K18=1,IF(INDEX(IF_TokGW_Astra,1,K$7)&gt;0,(K27+K28)/(INDEX(IF_TokGW_Astra,1,K$7)*IF_Util),0),"SLO 不可達")</f>
        <v>0.138193054589871</v>
      </c>
      <c r="L29" s="112" t="n">
        <f aca="false">IF(L18=1,IF(INDEX(IF_TokGW_Astra,1,L$7)&gt;0,(L27+L28)/(INDEX(IF_TokGW_Astra,1,L$7)*IF_Util),0),"SLO 不可達")</f>
        <v>0.121416312585384</v>
      </c>
      <c r="M29" s="112" t="n">
        <f aca="false">IF(M18=1,IF(INDEX(IF_TokGW_Astra,1,M$7)&gt;0,(M27+M28)/(INDEX(IF_TokGW_Astra,1,M$7)*IF_Util),0),"SLO 不可達")</f>
        <v>0.121416312585384</v>
      </c>
      <c r="N29" s="112" t="n">
        <f aca="false">IF(N18=1,IF(INDEX(IF_TokGW_Astra,1,N$7)&gt;0,(N27+N28)/(INDEX(IF_TokGW_Astra,1,N$7)*IF_Util),0),"SLO 不可達")</f>
        <v>0.121416312585384</v>
      </c>
      <c r="O29" s="112" t="n">
        <f aca="false">IF(O18=1,IF(INDEX(IF_TokGW_Astra,1,O$7)&gt;0,(O27+O28)/(INDEX(IF_TokGW_Astra,1,O$7)*IF_Util),0),"SLO 不可達")</f>
        <v>0.118126973568316</v>
      </c>
      <c r="P29" s="112" t="n">
        <f aca="false">IF(P18=1,IF(INDEX(IF_TokGW_Astra,1,P$7)&gt;0,(P27+P28)/(INDEX(IF_TokGW_Astra,1,P$7)*IF_Util),0),"SLO 不可達")</f>
        <v>0.118126973568316</v>
      </c>
      <c r="Q29" s="112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1700</v>
      </c>
      <c r="B30" s="59" t="s">
        <v>81</v>
      </c>
      <c r="C30" s="151" t="n">
        <f aca="false">IF(C18=1,C23+C26+C29-C10,"SLO 不可達")</f>
        <v>0</v>
      </c>
      <c r="D30" s="151" t="n">
        <f aca="false">IF(D18=1,D23+D26+D29-D10,"SLO 不可達")</f>
        <v>0</v>
      </c>
      <c r="E30" s="151" t="n">
        <f aca="false">IF(E18=1,E23+E26+E29-E10,"SLO 不可達")</f>
        <v>0</v>
      </c>
      <c r="F30" s="151" t="n">
        <f aca="false">IF(F18=1,F23+F26+F29-F10,"SLO 不可達")</f>
        <v>0</v>
      </c>
      <c r="G30" s="151" t="n">
        <f aca="false">IF(G18=1,G23+G26+G29-G10,"SLO 不可達")</f>
        <v>0</v>
      </c>
      <c r="H30" s="151" t="n">
        <f aca="false">IF(H18=1,H23+H26+H29-H10,"SLO 不可達")</f>
        <v>0</v>
      </c>
      <c r="I30" s="151" t="n">
        <f aca="false">IF(I18=1,I23+I26+I29-I10,"SLO 不可達")</f>
        <v>0</v>
      </c>
      <c r="J30" s="151" t="n">
        <f aca="false">IF(J18=1,J23+J26+J29-J10,"SLO 不可達")</f>
        <v>0</v>
      </c>
      <c r="K30" s="151" t="n">
        <f aca="false">IF(K18=1,K23+K26+K29-K10,"SLO 不可達")</f>
        <v>0</v>
      </c>
      <c r="L30" s="151" t="n">
        <f aca="false">IF(L18=1,L23+L26+L29-L10,"SLO 不可達")</f>
        <v>0</v>
      </c>
      <c r="M30" s="151" t="n">
        <f aca="false">IF(M18=1,M23+M26+M29-M10,"SLO 不可達")</f>
        <v>0</v>
      </c>
      <c r="N30" s="151" t="n">
        <f aca="false">IF(N18=1,N23+N26+N29-N10,"SLO 不可達")</f>
        <v>0</v>
      </c>
      <c r="O30" s="151" t="n">
        <f aca="false">IF(O18=1,O23+O26+O29-O10,"SLO 不可達")</f>
        <v>0</v>
      </c>
      <c r="P30" s="151" t="n">
        <f aca="false">IF(P18=1,P23+P26+P29-P10,"SLO 不可達")</f>
        <v>0</v>
      </c>
      <c r="Q30" s="151" t="n">
        <f aca="false">IF(Q18=1,Q23+Q26+Q29-Q10,"SLO 不可達")</f>
        <v>0</v>
      </c>
    </row>
    <row r="32" customFormat="false" ht="15" hidden="false" customHeight="false" outlineLevel="0" collapsed="false">
      <c r="A32" s="73" t="s">
        <v>1701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1702</v>
      </c>
      <c r="B33" s="59" t="s">
        <v>89</v>
      </c>
      <c r="C33" s="100" t="n">
        <f aca="false">INDEX(IF_ProgGWyr_Luna,1,C$7)+INDEX(IF_ProgGWyr_Sol,1,C$7)+INDEX(IF_ProgGWyr_Astra,1,C$7)</f>
        <v>0.173958041057628</v>
      </c>
      <c r="D33" s="100" t="n">
        <f aca="false">INDEX(IF_ProgGWyr_Luna,1,D$7)+INDEX(IF_ProgGWyr_Sol,1,D$7)+INDEX(IF_ProgGWyr_Astra,1,D$7)</f>
        <v>0.173958041057628</v>
      </c>
      <c r="E33" s="100" t="n">
        <f aca="false">INDEX(IF_ProgGWyr_Luna,1,E$7)+INDEX(IF_ProgGWyr_Sol,1,E$7)+INDEX(IF_ProgGWyr_Astra,1,E$7)</f>
        <v>0.173958041057628</v>
      </c>
      <c r="F33" s="100" t="n">
        <f aca="false">INDEX(IF_ProgGWyr_Luna,1,F$7)+INDEX(IF_ProgGWyr_Sol,1,F$7)+INDEX(IF_ProgGWyr_Astra,1,F$7)</f>
        <v>0.0853804375916351</v>
      </c>
      <c r="G33" s="100" t="n">
        <f aca="false">INDEX(IF_ProgGWyr_Luna,1,G$7)+INDEX(IF_ProgGWyr_Sol,1,G$7)+INDEX(IF_ProgGWyr_Astra,1,G$7)</f>
        <v>0.0853804375916351</v>
      </c>
      <c r="H33" s="100" t="n">
        <f aca="false">INDEX(IF_ProgGWyr_Luna,1,H$7)+INDEX(IF_ProgGWyr_Sol,1,H$7)+INDEX(IF_ProgGWyr_Astra,1,H$7)</f>
        <v>0.0853804375916351</v>
      </c>
      <c r="I33" s="100" t="n">
        <f aca="false">INDEX(IF_ProgGWyr_Luna,1,I$7)+INDEX(IF_ProgGWyr_Sol,1,I$7)+INDEX(IF_ProgGWyr_Astra,1,I$7)</f>
        <v>0.0791426774667742</v>
      </c>
      <c r="J33" s="100" t="n">
        <f aca="false">INDEX(IF_ProgGWyr_Luna,1,J$7)+INDEX(IF_ProgGWyr_Sol,1,J$7)+INDEX(IF_ProgGWyr_Astra,1,J$7)</f>
        <v>0.0791426774667742</v>
      </c>
      <c r="K33" s="100" t="n">
        <f aca="false">INDEX(IF_ProgGWyr_Luna,1,K$7)+INDEX(IF_ProgGWyr_Sol,1,K$7)+INDEX(IF_ProgGWyr_Astra,1,K$7)</f>
        <v>0.0791426774667742</v>
      </c>
      <c r="L33" s="100" t="n">
        <f aca="false">INDEX(IF_ProgGWyr_Luna,1,L$7)+INDEX(IF_ProgGWyr_Sol,1,L$7)+INDEX(IF_ProgGWyr_Astra,1,L$7)</f>
        <v>0.0486433041379322</v>
      </c>
      <c r="M33" s="100" t="n">
        <f aca="false">INDEX(IF_ProgGWyr_Luna,1,M$7)+INDEX(IF_ProgGWyr_Sol,1,M$7)+INDEX(IF_ProgGWyr_Astra,1,M$7)</f>
        <v>0.0486433041379322</v>
      </c>
      <c r="N33" s="100" t="n">
        <f aca="false">INDEX(IF_ProgGWyr_Luna,1,N$7)+INDEX(IF_ProgGWyr_Sol,1,N$7)+INDEX(IF_ProgGWyr_Astra,1,N$7)</f>
        <v>0.0486433041379322</v>
      </c>
      <c r="O33" s="100" t="n">
        <f aca="false">INDEX(IF_ProgGWyr_Luna,1,O$7)+INDEX(IF_ProgGWyr_Sol,1,O$7)+INDEX(IF_ProgGWyr_Astra,1,O$7)</f>
        <v>0.0329903486184271</v>
      </c>
      <c r="P33" s="100" t="n">
        <f aca="false">INDEX(IF_ProgGWyr_Luna,1,P$7)+INDEX(IF_ProgGWyr_Sol,1,P$7)+INDEX(IF_ProgGWyr_Astra,1,P$7)</f>
        <v>0.0329903486184271</v>
      </c>
      <c r="Q33" s="100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1703</v>
      </c>
      <c r="B34" s="58" t="s">
        <v>312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1705</v>
      </c>
    </row>
    <row r="2" customFormat="false" ht="15" hidden="false" customHeight="false" outlineLevel="0" collapsed="false">
      <c r="A2" s="71" t="s">
        <v>1706</v>
      </c>
    </row>
    <row r="4" customFormat="false" ht="15" hidden="false" customHeight="false" outlineLevel="0" collapsed="false">
      <c r="A4" s="57" t="s">
        <v>161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436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1664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245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1707</v>
      </c>
      <c r="B10" s="59" t="s">
        <v>861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1708</v>
      </c>
      <c r="B11" s="59" t="s">
        <v>783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1709</v>
      </c>
      <c r="B12" s="59" t="s">
        <v>1710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1711</v>
      </c>
      <c r="B13" s="59" t="s">
        <v>791</v>
      </c>
      <c r="C13" s="153" t="n">
        <f aca="false">IF(ISNUMBER(C12),IF(C12&gt;0,C10*1000000/C12,0),"SLO 不可達")</f>
        <v>0.00803002985517824</v>
      </c>
      <c r="D13" s="153" t="n">
        <f aca="false">IF(ISNUMBER(D12),IF(D12&gt;0,D10*1000000/D12,0),"SLO 不可達")</f>
        <v>0.0114733064460494</v>
      </c>
      <c r="E13" s="153" t="n">
        <f aca="false">IF(ISNUMBER(E12),IF(E12&gt;0,E10*1000000/E12,0),"SLO 不可達")</f>
        <v>0.0197038871303124</v>
      </c>
      <c r="F13" s="153" t="n">
        <f aca="false">IF(ISNUMBER(F12),IF(F12&gt;0,F10*1000000/F12,0),"SLO 不可達")</f>
        <v>0.000743030053517681</v>
      </c>
      <c r="G13" s="153" t="n">
        <f aca="false">IF(ISNUMBER(G12),IF(G12&gt;0,G10*1000000/G12,0),"SLO 不可達")</f>
        <v>0.00099210142250044</v>
      </c>
      <c r="H13" s="153" t="n">
        <f aca="false">IF(ISNUMBER(H12),IF(H12&gt;0,H10*1000000/H12,0),"SLO 不可達")</f>
        <v>0.00160910875340909</v>
      </c>
      <c r="I13" s="153" t="n">
        <f aca="false">IF(ISNUMBER(I12),IF(I12&gt;0,I10*1000000/I12,0),"SLO 不可達")</f>
        <v>0.000579682625931463</v>
      </c>
      <c r="J13" s="153" t="n">
        <f aca="false">IF(ISNUMBER(J12),IF(J12&gt;0,J10*1000000/J12,0),"SLO 不可達")</f>
        <v>0.000748693658114658</v>
      </c>
      <c r="K13" s="153" t="n">
        <f aca="false">IF(ISNUMBER(K12),IF(K12&gt;0,K10*1000000/K12,0),"SLO 不可達")</f>
        <v>0.00127468745591119</v>
      </c>
      <c r="L13" s="153" t="n">
        <f aca="false">IF(ISNUMBER(L12),IF(L12&gt;0,L10*1000000/L12,0),"SLO 不可達")</f>
        <v>0.000282767792193943</v>
      </c>
      <c r="M13" s="153" t="n">
        <f aca="false">IF(ISNUMBER(M12),IF(M12&gt;0,M10*1000000/M12,0),"SLO 不可達")</f>
        <v>0.000363429509042476</v>
      </c>
      <c r="N13" s="153" t="n">
        <f aca="false">IF(ISNUMBER(N12),IF(N12&gt;0,N10*1000000/N12,0),"SLO 不可達")</f>
        <v>0.00058713162604246</v>
      </c>
      <c r="O13" s="153" t="n">
        <f aca="false">IF(ISNUMBER(O12),IF(O12&gt;0,O10*1000000/O12,0),"SLO 不可達")</f>
        <v>0.000142752606738247</v>
      </c>
      <c r="P13" s="153" t="n">
        <f aca="false">IF(ISNUMBER(P12),IF(P12&gt;0,P10*1000000/P12,0),"SLO 不可達")</f>
        <v>0.000216964388577005</v>
      </c>
      <c r="Q13" s="153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1712</v>
      </c>
      <c r="B14" s="59" t="s">
        <v>791</v>
      </c>
      <c r="C14" s="154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4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4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4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4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4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4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4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4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4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4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4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4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4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4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1713</v>
      </c>
      <c r="B15" s="59" t="s">
        <v>791</v>
      </c>
      <c r="C15" s="155" t="n">
        <f aca="false">IF(ISNUMBER(C14),Fleet_1GW!C13/(1-Fleet_1GW!C13)*C14,"SLO 不可達")</f>
        <v>0.174582269222117</v>
      </c>
      <c r="D15" s="155" t="n">
        <f aca="false">IF(ISNUMBER(D14),Fleet_1GW!D13/(1-Fleet_1GW!D13)*D14,"SLO 不可達")</f>
        <v>0.249436457494237</v>
      </c>
      <c r="E15" s="155" t="n">
        <f aca="false">IF(ISNUMBER(E14),Fleet_1GW!E13/(1-Fleet_1GW!E13)*E14,"SLO 不可達")</f>
        <v>0.428362959583001</v>
      </c>
      <c r="F15" s="155" t="n">
        <f aca="false">IF(ISNUMBER(F14),Fleet_1GW!F13/(1-Fleet_1GW!F13)*F14,"SLO 不可達")</f>
        <v>0.0375494516895087</v>
      </c>
      <c r="G15" s="155" t="n">
        <f aca="false">IF(ISNUMBER(G14),Fleet_1GW!G13/(1-Fleet_1GW!G13)*G14,"SLO 不可達")</f>
        <v>0.0501311914724947</v>
      </c>
      <c r="H15" s="155" t="n">
        <f aca="false">IF(ISNUMBER(H14),Fleet_1GW!H13/(1-Fleet_1GW!H13)*H14,"SLO 不可達")</f>
        <v>0.0812990680268838</v>
      </c>
      <c r="I15" s="155" t="n">
        <f aca="false">IF(ISNUMBER(I14),Fleet_1GW!I13/(1-Fleet_1GW!I13)*I14,"SLO 不可達")</f>
        <v>0.0328877428291374</v>
      </c>
      <c r="J15" s="155" t="n">
        <f aca="false">IF(ISNUMBER(J14),Fleet_1GW!J13/(1-Fleet_1GW!J13)*J14,"SLO 不可達")</f>
        <v>0.042471878268405</v>
      </c>
      <c r="K15" s="155" t="n">
        <f aca="false">IF(ISNUMBER(K14),Fleet_1GW!K13/(1-Fleet_1GW!K13)*K14,"SLO 不可達")</f>
        <v>0.0722994920825873</v>
      </c>
      <c r="L15" s="155" t="n">
        <f aca="false">IF(ISNUMBER(L14),Fleet_1GW!L13/(1-Fleet_1GW!L13)*L14,"SLO 不可達")</f>
        <v>0.0251536892040573</v>
      </c>
      <c r="M15" s="155" t="n">
        <f aca="false">IF(ISNUMBER(M14),Fleet_1GW!M13/(1-Fleet_1GW!M13)*M14,"SLO 不可達")</f>
        <v>0.0323245284874553</v>
      </c>
      <c r="N15" s="155" t="n">
        <f aca="false">IF(ISNUMBER(N14),Fleet_1GW!N13/(1-Fleet_1GW!N13)*N14,"SLO 不可達")</f>
        <v>0.0522116817868949</v>
      </c>
      <c r="O15" s="155" t="n">
        <f aca="false">IF(ISNUMBER(O14),Fleet_1GW!O13/(1-Fleet_1GW!O13)*O14,"SLO 不可達")</f>
        <v>0.0197559108737738</v>
      </c>
      <c r="P15" s="155" t="n">
        <f aca="false">IF(ISNUMBER(P14),Fleet_1GW!P13/(1-Fleet_1GW!P13)*P14,"SLO 不可達")</f>
        <v>0.030018171995636</v>
      </c>
      <c r="Q15" s="155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1714</v>
      </c>
      <c r="B16" s="59" t="s">
        <v>93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246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1707</v>
      </c>
      <c r="B19" s="59" t="s">
        <v>861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1708</v>
      </c>
      <c r="B20" s="59" t="s">
        <v>783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1709</v>
      </c>
      <c r="B21" s="59" t="s">
        <v>1710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1715</v>
      </c>
      <c r="B22" s="59" t="s">
        <v>791</v>
      </c>
      <c r="C22" s="153" t="n">
        <f aca="false">IF(ISNUMBER(C21),IF(C21&gt;0,C19*1000000/C21,0),"SLO 不可達")</f>
        <v>0.0987009869698532</v>
      </c>
      <c r="D22" s="153" t="n">
        <f aca="false">IF(ISNUMBER(D21),IF(D21&gt;0,D19*1000000/D21,0),"SLO 不可達")</f>
        <v>0.141023967588663</v>
      </c>
      <c r="E22" s="153" t="n">
        <f aca="false">IF(ISNUMBER(E21),IF(E21&gt;0,E19*1000000/E21,0),"SLO 不可達")</f>
        <v>0.242190021952447</v>
      </c>
      <c r="F22" s="153" t="n">
        <f aca="false">IF(ISNUMBER(F21),IF(F21&gt;0,F19*1000000/F21,0),"SLO 不可達")</f>
        <v>0.00935318660544555</v>
      </c>
      <c r="G22" s="153" t="n">
        <f aca="false">IF(ISNUMBER(G21),IF(G21&gt;0,G19*1000000/G21,0),"SLO 不可達")</f>
        <v>0.0124884716200161</v>
      </c>
      <c r="H22" s="153" t="n">
        <f aca="false">IF(ISNUMBER(H21),IF(H21&gt;0,H19*1000000/H21,0),"SLO 不可達")</f>
        <v>0.0202552970338674</v>
      </c>
      <c r="I22" s="153" t="n">
        <f aca="false">IF(ISNUMBER(I21),IF(I21&gt;0,I19*1000000/I21,0),"SLO 不可達")</f>
        <v>0.00797369992573252</v>
      </c>
      <c r="J22" s="153" t="n">
        <f aca="false">IF(ISNUMBER(J21),IF(J21&gt;0,J19*1000000/J21,0),"SLO 不可達")</f>
        <v>0.0102984948988468</v>
      </c>
      <c r="K22" s="153" t="n">
        <f aca="false">IF(ISNUMBER(K21),IF(K21&gt;0,K19*1000000/K21,0),"SLO 不可達")</f>
        <v>0.0175336896740682</v>
      </c>
      <c r="L22" s="153" t="n">
        <f aca="false">IF(ISNUMBER(L21),IF(L21&gt;0,L19*1000000/L21,0),"SLO 不可達")</f>
        <v>0.00333444031534962</v>
      </c>
      <c r="M22" s="153" t="n">
        <f aca="false">IF(ISNUMBER(M21),IF(M21&gt;0,M19*1000000/M21,0),"SLO 不可達")</f>
        <v>0.00428561540667894</v>
      </c>
      <c r="N22" s="153" t="n">
        <f aca="false">IF(ISNUMBER(N21),IF(N21&gt;0,N19*1000000/N21,0),"SLO 不可達")</f>
        <v>0.00692354440052346</v>
      </c>
      <c r="O22" s="153" t="n">
        <f aca="false">IF(ISNUMBER(O21),IF(O21&gt;0,O19*1000000/O21,0),"SLO 不可達")</f>
        <v>0.00170696612420711</v>
      </c>
      <c r="P22" s="153" t="n">
        <f aca="false">IF(ISNUMBER(P21),IF(P21&gt;0,P19*1000000/P21,0),"SLO 不可達")</f>
        <v>0.00259435445644321</v>
      </c>
      <c r="Q22" s="153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1712</v>
      </c>
      <c r="B23" s="59" t="s">
        <v>791</v>
      </c>
      <c r="C23" s="154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4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4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4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4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4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4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4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4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4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4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4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4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4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4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1716</v>
      </c>
      <c r="B24" s="59" t="s">
        <v>791</v>
      </c>
      <c r="C24" s="155" t="n">
        <f aca="false">IF(ISNUMBER(C23),Fleet_1GW!C13/(1-Fleet_1GW!C13)*C23,"SLO 不可達")</f>
        <v>0.600549705636422</v>
      </c>
      <c r="D24" s="155" t="n">
        <f aca="false">IF(ISNUMBER(D23),Fleet_1GW!D13/(1-Fleet_1GW!D13)*D23,"SLO 不可達")</f>
        <v>0.858055921418767</v>
      </c>
      <c r="E24" s="155" t="n">
        <f aca="false">IF(ISNUMBER(E23),Fleet_1GW!E13/(1-Fleet_1GW!E13)*E23,"SLO 不可達")</f>
        <v>1.47358175263281</v>
      </c>
      <c r="F24" s="155" t="n">
        <f aca="false">IF(ISNUMBER(F23),Fleet_1GW!F13/(1-Fleet_1GW!F13)*F23,"SLO 不可達")</f>
        <v>0.130648458909903</v>
      </c>
      <c r="G24" s="155" t="n">
        <f aca="false">IF(ISNUMBER(G23),Fleet_1GW!G13/(1-Fleet_1GW!G13)*G23,"SLO 不可達")</f>
        <v>0.174435762741057</v>
      </c>
      <c r="H24" s="155" t="n">
        <f aca="false">IF(ISNUMBER(H23),Fleet_1GW!H13/(1-Fleet_1GW!H13)*H23,"SLO 不可達")</f>
        <v>0.282907031738724</v>
      </c>
      <c r="I24" s="155" t="n">
        <f aca="false">IF(ISNUMBER(I23),Fleet_1GW!I13/(1-Fleet_1GW!I13)*I23,"SLO 不可達")</f>
        <v>0.114412296158999</v>
      </c>
      <c r="J24" s="155" t="n">
        <f aca="false">IF(ISNUMBER(J23),Fleet_1GW!J13/(1-Fleet_1GW!J13)*J23,"SLO 不可達")</f>
        <v>0.14776365429894</v>
      </c>
      <c r="K24" s="155" t="n">
        <f aca="false">IF(ISNUMBER(K23),Fleet_1GW!K13/(1-Fleet_1GW!K13)*K23,"SLO 不可達")</f>
        <v>0.251559290022202</v>
      </c>
      <c r="L24" s="155" t="n">
        <f aca="false">IF(ISNUMBER(L23),Fleet_1GW!L13/(1-Fleet_1GW!L13)*L23,"SLO 不可達")</f>
        <v>0.0808819890837787</v>
      </c>
      <c r="M24" s="155" t="n">
        <f aca="false">IF(ISNUMBER(M23),Fleet_1GW!M13/(1-Fleet_1GW!M13)*M23,"SLO 不可達")</f>
        <v>0.103947898919895</v>
      </c>
      <c r="N24" s="155" t="n">
        <f aca="false">IF(ISNUMBER(N23),Fleet_1GW!N13/(1-Fleet_1GW!N13)*N23,"SLO 不可達")</f>
        <v>0.167917438156943</v>
      </c>
      <c r="O24" s="155" t="n">
        <f aca="false">IF(ISNUMBER(O23),Fleet_1GW!O13/(1-Fleet_1GW!O13)*O23,"SLO 不可達")</f>
        <v>0.0621848378353225</v>
      </c>
      <c r="P24" s="155" t="n">
        <f aca="false">IF(ISNUMBER(P23),Fleet_1GW!P13/(1-Fleet_1GW!P13)*P23,"SLO 不可達")</f>
        <v>0.0945009310541822</v>
      </c>
      <c r="Q24" s="155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1714</v>
      </c>
      <c r="B25" s="59" t="s">
        <v>93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1717</v>
      </c>
      <c r="B26" s="59" t="s">
        <v>89</v>
      </c>
      <c r="C26" s="156" t="n">
        <f aca="false">IF(ISNUMBER(C22),C22/(INDEX(B4_EffRef,1,2)-INDEX(B4_EffRef,1,1)),"SLO 不可達")</f>
        <v>0.064647537459877</v>
      </c>
      <c r="D26" s="156" t="n">
        <f aca="false">IF(ISNUMBER(D22),D22/(INDEX(B4_EffRef,1,2)-INDEX(B4_EffRef,1,1)),"SLO 不可達")</f>
        <v>0.0923683998237341</v>
      </c>
      <c r="E26" s="156" t="n">
        <f aca="false">IF(ISNUMBER(E22),E22/(INDEX(B4_EffRef,1,2)-INDEX(B4_EffRef,1,1)),"SLO 不可達")</f>
        <v>0.158630516241559</v>
      </c>
      <c r="F26" s="156" t="n">
        <f aca="false">IF(ISNUMBER(F22),F22/(INDEX(B4_EffRef,1,2)-INDEX(B4_EffRef,1,1)),"SLO 不可達")</f>
        <v>0.00612618475263522</v>
      </c>
      <c r="G26" s="156" t="n">
        <f aca="false">IF(ISNUMBER(G22),G22/(INDEX(B4_EffRef,1,2)-INDEX(B4_EffRef,1,1)),"SLO 不可達")</f>
        <v>0.00817974532633797</v>
      </c>
      <c r="H26" s="156" t="n">
        <f aca="false">IF(ISNUMBER(H22),H22/(INDEX(B4_EffRef,1,2)-INDEX(B4_EffRef,1,1)),"SLO 不可達")</f>
        <v>0.013266889359048</v>
      </c>
      <c r="I26" s="156" t="n">
        <f aca="false">IF(ISNUMBER(I22),I22/(INDEX(B4_EffRef,1,2)-INDEX(B4_EffRef,1,1)),"SLO 不可達")</f>
        <v>0.00522264346556188</v>
      </c>
      <c r="J26" s="156" t="n">
        <f aca="false">IF(ISNUMBER(J22),J22/(INDEX(B4_EffRef,1,2)-INDEX(B4_EffRef,1,1)),"SLO 不可達")</f>
        <v>0.00674534627457068</v>
      </c>
      <c r="K26" s="156" t="n">
        <f aca="false">IF(ISNUMBER(K22),K22/(INDEX(B4_EffRef,1,2)-INDEX(B4_EffRef,1,1)),"SLO 不可達")</f>
        <v>0.0114842809055232</v>
      </c>
      <c r="L26" s="156" t="n">
        <f aca="false">IF(ISNUMBER(L22),L22/(INDEX(B4_EffRef,1,2)-INDEX(B4_EffRef,1,1)),"SLO 不可達")</f>
        <v>0.00218400404911989</v>
      </c>
      <c r="M26" s="156" t="n">
        <f aca="false">IF(ISNUMBER(M22),M22/(INDEX(B4_EffRef,1,2)-INDEX(B4_EffRef,1,1)),"SLO 不可達")</f>
        <v>0.00280700822805881</v>
      </c>
      <c r="N26" s="156" t="n">
        <f aca="false">IF(ISNUMBER(N22),N22/(INDEX(B4_EffRef,1,2)-INDEX(B4_EffRef,1,1)),"SLO 不可達")</f>
        <v>0.0045348087159926</v>
      </c>
      <c r="O26" s="156" t="n">
        <f aca="false">IF(ISNUMBER(O22),O22/(INDEX(B4_EffRef,1,2)-INDEX(B4_EffRef,1,1)),"SLO 不可達")</f>
        <v>0.00111803498470715</v>
      </c>
      <c r="P26" s="156" t="n">
        <f aca="false">IF(ISNUMBER(P22),P22/(INDEX(B4_EffRef,1,2)-INDEX(B4_EffRef,1,1)),"SLO 不可達")</f>
        <v>0.00169925987628005</v>
      </c>
      <c r="Q26" s="156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247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1707</v>
      </c>
      <c r="B29" s="59" t="s">
        <v>861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1708</v>
      </c>
      <c r="B30" s="59" t="s">
        <v>783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1709</v>
      </c>
      <c r="B31" s="59" t="s">
        <v>1710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1718</v>
      </c>
      <c r="B32" s="59" t="s">
        <v>791</v>
      </c>
      <c r="C32" s="153" t="n">
        <f aca="false">IF(ISNUMBER(C31),IF(C31&gt;0,C29*1000000/C31,0),"SLO 不可達")</f>
        <v>4.21660204115075</v>
      </c>
      <c r="D32" s="153" t="n">
        <f aca="false">IF(ISNUMBER(D31),IF(D31&gt;0,D29*1000000/D31,0),"SLO 不可達")</f>
        <v>6.02468088558382</v>
      </c>
      <c r="E32" s="153" t="n">
        <f aca="false">IF(ISNUMBER(E31),IF(E31&gt;0,E29*1000000/E31,0),"SLO 不可達")</f>
        <v>10.3465930003613</v>
      </c>
      <c r="F32" s="153" t="n">
        <f aca="false">IF(ISNUMBER(F31),IF(F31&gt;0,F29*1000000/F31,0),"SLO 不可達")</f>
        <v>0.402092994157101</v>
      </c>
      <c r="G32" s="153" t="n">
        <f aca="false">IF(ISNUMBER(G31),IF(G31&gt;0,G29*1000000/G31,0),"SLO 不可達")</f>
        <v>0.536878729995042</v>
      </c>
      <c r="H32" s="153" t="n">
        <f aca="false">IF(ISNUMBER(H31),IF(H31&gt;0,H29*1000000/H31,0),"SLO 不可達")</f>
        <v>0.870774140991408</v>
      </c>
      <c r="I32" s="153" t="n">
        <f aca="false">IF(ISNUMBER(I31),IF(I31&gt;0,I29*1000000/I31,0),"SLO 不可達")</f>
        <v>0.366823042465288</v>
      </c>
      <c r="J32" s="153" t="n">
        <f aca="false">IF(ISNUMBER(J31),IF(J31&gt;0,J29*1000000/J31,0),"SLO 不可達")</f>
        <v>0.473773187703846</v>
      </c>
      <c r="K32" s="153" t="n">
        <f aca="false">IF(ISNUMBER(K31),IF(K31&gt;0,K29*1000000/K31,0),"SLO 不可達")</f>
        <v>0.806621951138076</v>
      </c>
      <c r="L32" s="153" t="n">
        <f aca="false">IF(ISNUMBER(L31),IF(L31&gt;0,L29*1000000/L31,0),"SLO 不可達")</f>
        <v>0.136157625325142</v>
      </c>
      <c r="M32" s="153" t="n">
        <f aca="false">IF(ISNUMBER(M31),IF(M31&gt;0,M29*1000000/M31,0),"SLO 不可達")</f>
        <v>0.174997649273883</v>
      </c>
      <c r="N32" s="153" t="n">
        <f aca="false">IF(ISNUMBER(N31),IF(N31&gt;0,N29*1000000/N31,0),"SLO 不可達")</f>
        <v>0.282714121488067</v>
      </c>
      <c r="O32" s="153" t="n">
        <f aca="false">IF(ISNUMBER(O31),IF(O31&gt;0,O29*1000000/O31,0),"SLO 不可達")</f>
        <v>0.0696087421755187</v>
      </c>
      <c r="P32" s="153" t="n">
        <f aca="false">IF(ISNUMBER(P31),IF(P31&gt;0,P29*1000000/P31,0),"SLO 不可達")</f>
        <v>0.105795743635128</v>
      </c>
      <c r="Q32" s="153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1712</v>
      </c>
      <c r="B33" s="59" t="s">
        <v>791</v>
      </c>
      <c r="C33" s="154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4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4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4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4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4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4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4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4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4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4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4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4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4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4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1719</v>
      </c>
      <c r="B34" s="59" t="s">
        <v>791</v>
      </c>
      <c r="C34" s="155" t="n">
        <f aca="false">IF(ISNUMBER(C33),Fleet_1GW!C13/(1-Fleet_1GW!C13)*C33,"SLO 不可達")</f>
        <v>3.68000036091984</v>
      </c>
      <c r="D34" s="155" t="n">
        <f aca="false">IF(ISNUMBER(D33),Fleet_1GW!D13/(1-Fleet_1GW!D13)*D33,"SLO 不可達")</f>
        <v>5.25784666981243</v>
      </c>
      <c r="E34" s="155" t="n">
        <f aca="false">IF(ISNUMBER(E33),Fleet_1GW!E13/(1-Fleet_1GW!E13)*E33,"SLO 不可達")</f>
        <v>9.02942615521809</v>
      </c>
      <c r="F34" s="155" t="n">
        <f aca="false">IF(ISNUMBER(F33),Fleet_1GW!F13/(1-Fleet_1GW!F13)*F33,"SLO 不可達")</f>
        <v>0.719884900727599</v>
      </c>
      <c r="G34" s="155" t="n">
        <f aca="false">IF(ISNUMBER(G33),Fleet_1GW!G13/(1-Fleet_1GW!G13)*G33,"SLO 不可達")</f>
        <v>0.961090090684005</v>
      </c>
      <c r="H34" s="155" t="n">
        <f aca="false">IF(ISNUMBER(H33),Fleet_1GW!H13/(1-Fleet_1GW!H13)*H33,"SLO 不可達")</f>
        <v>1.55861107860059</v>
      </c>
      <c r="I34" s="155" t="n">
        <f aca="false">IF(ISNUMBER(I33),Fleet_1GW!I13/(1-Fleet_1GW!I13)*I33,"SLO 不可達")</f>
        <v>0.771872419196334</v>
      </c>
      <c r="J34" s="155" t="n">
        <f aca="false">IF(ISNUMBER(J33),Fleet_1GW!J13/(1-Fleet_1GW!J13)*J33,"SLO 不可達")</f>
        <v>0.996824237261942</v>
      </c>
      <c r="K34" s="155" t="n">
        <f aca="false">IF(ISNUMBER(K33),Fleet_1GW!K13/(1-Fleet_1GW!K13)*K33,"SLO 不可達")</f>
        <v>1.69691617550482</v>
      </c>
      <c r="L34" s="155" t="n">
        <f aca="false">IF(ISNUMBER(L33),Fleet_1GW!L13/(1-Fleet_1GW!L13)*L33,"SLO 不可達")</f>
        <v>0.396015125991253</v>
      </c>
      <c r="M34" s="155" t="n">
        <f aca="false">IF(ISNUMBER(M33),Fleet_1GW!M13/(1-Fleet_1GW!M13)*M33,"SLO 不可達")</f>
        <v>0.508889890366036</v>
      </c>
      <c r="N34" s="155" t="n">
        <f aca="false">IF(ISNUMBER(N33),Fleet_1GW!N13/(1-Fleet_1GW!N13)*N33,"SLO 不可達")</f>
        <v>0.821929641229864</v>
      </c>
      <c r="O34" s="155" t="n">
        <f aca="false">IF(ISNUMBER(O33),Fleet_1GW!O13/(1-Fleet_1GW!O13)*O33,"SLO 不可達")</f>
        <v>0.286637340360856</v>
      </c>
      <c r="P34" s="155" t="n">
        <f aca="false">IF(ISNUMBER(P33),Fleet_1GW!P13/(1-Fleet_1GW!P13)*P33,"SLO 不可達")</f>
        <v>0.435482452267704</v>
      </c>
      <c r="Q34" s="155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1714</v>
      </c>
      <c r="B35" s="59" t="s">
        <v>93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1717</v>
      </c>
      <c r="B36" s="59" t="s">
        <v>89</v>
      </c>
      <c r="C36" s="156" t="n">
        <f aca="false">IF(ISNUMBER(C32),C32/(INDEX(B4_EffRef,1,3)-INDEX(B4_EffRef,1,2)),"SLO 不可達")</f>
        <v>0.655928829686752</v>
      </c>
      <c r="D36" s="156" t="n">
        <f aca="false">IF(ISNUMBER(D32),D32/(INDEX(B4_EffRef,1,3)-INDEX(B4_EffRef,1,2)),"SLO 不可達")</f>
        <v>0.937191094618612</v>
      </c>
      <c r="E36" s="156" t="n">
        <f aca="false">IF(ISNUMBER(E32),E32/(INDEX(B4_EffRef,1,3)-INDEX(B4_EffRef,1,2)),"SLO 不可達")</f>
        <v>1.60950181490686</v>
      </c>
      <c r="F36" s="156" t="n">
        <f aca="false">IF(ISNUMBER(F32),F32/(INDEX(B4_EffRef,1,3)-INDEX(B4_EffRef,1,2)),"SLO 不可達")</f>
        <v>0.062549034627591</v>
      </c>
      <c r="G36" s="156" t="n">
        <f aca="false">IF(ISNUMBER(G32),G32/(INDEX(B4_EffRef,1,3)-INDEX(B4_EffRef,1,2)),"SLO 不可達")</f>
        <v>0.0835161188114522</v>
      </c>
      <c r="H36" s="156" t="n">
        <f aca="false">IF(ISNUMBER(H32),H32/(INDEX(B4_EffRef,1,3)-INDEX(B4_EffRef,1,2)),"SLO 不可達")</f>
        <v>0.135456430947917</v>
      </c>
      <c r="I36" s="156" t="n">
        <f aca="false">IF(ISNUMBER(I32),I32/(INDEX(B4_EffRef,1,3)-INDEX(B4_EffRef,1,2)),"SLO 不可達")</f>
        <v>0.0570624893215499</v>
      </c>
      <c r="J36" s="156" t="n">
        <f aca="false">IF(ISNUMBER(J32),J32/(INDEX(B4_EffRef,1,3)-INDEX(B4_EffRef,1,2)),"SLO 不可達")</f>
        <v>0.0736995072133334</v>
      </c>
      <c r="K36" s="156" t="n">
        <f aca="false">IF(ISNUMBER(K32),K32/(INDEX(B4_EffRef,1,3)-INDEX(B4_EffRef,1,2)),"SLO 不可達")</f>
        <v>0.125477004290699</v>
      </c>
      <c r="L36" s="156" t="n">
        <f aca="false">IF(ISNUMBER(L32),L32/(INDEX(B4_EffRef,1,3)-INDEX(B4_EffRef,1,2)),"SLO 不可達")</f>
        <v>0.0211804934306948</v>
      </c>
      <c r="M36" s="156" t="n">
        <f aca="false">IF(ISNUMBER(M32),M32/(INDEX(B4_EffRef,1,3)-INDEX(B4_EffRef,1,2)),"SLO 不可達")</f>
        <v>0.0272223942800219</v>
      </c>
      <c r="N36" s="156" t="n">
        <f aca="false">IF(ISNUMBER(N32),N32/(INDEX(B4_EffRef,1,3)-INDEX(B4_EffRef,1,2)),"SLO 不可達")</f>
        <v>0.0439786209449772</v>
      </c>
      <c r="O36" s="156" t="n">
        <f aca="false">IF(ISNUMBER(O32),O32/(INDEX(B4_EffRef,1,3)-INDEX(B4_EffRef,1,2)),"SLO 不可達")</f>
        <v>0.0108282404518057</v>
      </c>
      <c r="P36" s="156" t="n">
        <f aca="false">IF(ISNUMBER(P32),P32/(INDEX(B4_EffRef,1,3)-INDEX(B4_EffRef,1,2)),"SLO 不可達")</f>
        <v>0.0164574407618251</v>
      </c>
      <c r="Q36" s="156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1720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1721</v>
      </c>
      <c r="B39" s="59" t="s">
        <v>1722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1723</v>
      </c>
      <c r="B40" s="59" t="s">
        <v>1722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1724</v>
      </c>
      <c r="B41" s="59" t="s">
        <v>93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1725</v>
      </c>
      <c r="B42" s="59" t="s">
        <v>1722</v>
      </c>
      <c r="C42" s="96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6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6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6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6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6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6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6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6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6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6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6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6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6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6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1726</v>
      </c>
      <c r="B43" s="59" t="s">
        <v>791</v>
      </c>
      <c r="C43" s="153" t="n">
        <f aca="false">IF(AND(ISNUMBER(C13),ISNUMBER(C41)),C13*C41,"SLO 不可達")</f>
        <v>0.0175330897088367</v>
      </c>
      <c r="D43" s="153" t="n">
        <f aca="false">IF(AND(ISNUMBER(D13),ISNUMBER(D41)),D13*D41,"SLO 不可達")</f>
        <v>0.0250507268313705</v>
      </c>
      <c r="E43" s="153" t="n">
        <f aca="false">IF(AND(ISNUMBER(E13),ISNUMBER(E41)),E13*E41,"SLO 不可達")</f>
        <v>0.0430203895230253</v>
      </c>
      <c r="F43" s="153" t="n">
        <f aca="false">IF(AND(ISNUMBER(F13),ISNUMBER(F41)),F13*F41,"SLO 不可達")</f>
        <v>0.00352073286710706</v>
      </c>
      <c r="G43" s="153" t="n">
        <f aca="false">IF(AND(ISNUMBER(G13),ISNUMBER(G41)),G13*G41,"SLO 不可達")</f>
        <v>0.00470050508934434</v>
      </c>
      <c r="H43" s="153" t="n">
        <f aca="false">IF(AND(ISNUMBER(H13),ISNUMBER(H41)),H13*H41,"SLO 不可達")</f>
        <v>0.00762307347966452</v>
      </c>
      <c r="I43" s="153" t="n">
        <f aca="false">IF(AND(ISNUMBER(I13),ISNUMBER(I41)),I13*I41,"SLO 不可達")</f>
        <v>0.00298220637516093</v>
      </c>
      <c r="J43" s="153" t="n">
        <f aca="false">IF(AND(ISNUMBER(J13),ISNUMBER(J41)),J13*J41,"SLO 不可達")</f>
        <v>0.00385136671979145</v>
      </c>
      <c r="K43" s="153" t="n">
        <f aca="false">IF(AND(ISNUMBER(K13),ISNUMBER(K41)),K13*K41,"SLO 不可達")</f>
        <v>0.00655635552827826</v>
      </c>
      <c r="L43" s="153" t="n">
        <f aca="false">IF(AND(ISNUMBER(L13),ISNUMBER(L41)),L13*L41,"SLO 不可達")</f>
        <v>0.00231310331933708</v>
      </c>
      <c r="M43" s="153" t="n">
        <f aca="false">IF(AND(ISNUMBER(M13),ISNUMBER(M41)),M13*M41,"SLO 不可達")</f>
        <v>0.00297255668954159</v>
      </c>
      <c r="N43" s="153" t="n">
        <f aca="false">IF(AND(ISNUMBER(N13),ISNUMBER(N41)),N13*N41,"SLO 不可達")</f>
        <v>0.00480144306515074</v>
      </c>
      <c r="O43" s="153" t="n">
        <f aca="false">IF(AND(ISNUMBER(O13),ISNUMBER(O41)),O13*O41,"SLO 不可達")</f>
        <v>0.00171197741040453</v>
      </c>
      <c r="P43" s="153" t="n">
        <f aca="false">IF(AND(ISNUMBER(P13),ISNUMBER(P41)),P13*P41,"SLO 不可達")</f>
        <v>0.00260130117562586</v>
      </c>
      <c r="Q43" s="153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1727</v>
      </c>
      <c r="B44" s="59" t="s">
        <v>791</v>
      </c>
      <c r="C44" s="157" t="n">
        <f aca="false">IF(AND(ISNUMBER(C42),ISNUMBER(C11)),IF(AND(C42&gt;0,C11&gt;0),C39*(Fleet_1GW!C21*INDEX(B4_EffRef,1,1)/1000000/C42)*1000000/C11,0),"SLO 不可達")</f>
        <v>0.00782926184897554</v>
      </c>
      <c r="D44" s="157" t="n">
        <f aca="false">IF(AND(ISNUMBER(D42),ISNUMBER(D11)),IF(AND(D42&gt;0,D11&gt;0),D39*(Fleet_1GW!D21*INDEX(B4_EffRef,1,1)/1000000/D42)*1000000/D11,0),"SLO 不可達")</f>
        <v>0.0111862029526438</v>
      </c>
      <c r="E44" s="157" t="n">
        <f aca="false">IF(AND(ISNUMBER(E42),ISNUMBER(E11)),IF(AND(E42&gt;0,E11&gt;0),E39*(Fleet_1GW!E21*INDEX(B4_EffRef,1,1)/1000000/E42)*1000000/E11,0),"SLO 不可達")</f>
        <v>0.0192104129970277</v>
      </c>
      <c r="F44" s="157" t="n">
        <f aca="false">IF(AND(ISNUMBER(F42),ISNUMBER(F11)),IF(AND(F42&gt;0,F11&gt;0),F39*(Fleet_1GW!F21*INDEX(B4_EffRef,1,1)/1000000/F42)*1000000/F11,0),"SLO 不可達")</f>
        <v>0.00165965019412098</v>
      </c>
      <c r="G44" s="157" t="n">
        <f aca="false">IF(AND(ISNUMBER(G42),ISNUMBER(G11)),IF(AND(G42&gt;0,G11&gt;0),G39*(Fleet_1GW!G21*INDEX(B4_EffRef,1,1)/1000000/G42)*1000000/G11,0),"SLO 不可達")</f>
        <v>0.00221578701891322</v>
      </c>
      <c r="H44" s="157" t="n">
        <f aca="false">IF(AND(ISNUMBER(H42),ISNUMBER(H11)),IF(AND(H42&gt;0,H11&gt;0),H39*(Fleet_1GW!H21*INDEX(B4_EffRef,1,1)/1000000/H42)*1000000/H11,0),"SLO 不可達")</f>
        <v>0.00359346643379944</v>
      </c>
      <c r="I44" s="157" t="n">
        <f aca="false">IF(AND(ISNUMBER(I42),ISNUMBER(I11)),IF(AND(I42&gt;0,I11&gt;0),I39*(Fleet_1GW!I21*INDEX(B4_EffRef,1,1)/1000000/I42)*1000000/I11,0),"SLO 不可達")</f>
        <v>0.00148333975179878</v>
      </c>
      <c r="J44" s="157" t="n">
        <f aca="false">IF(AND(ISNUMBER(J42),ISNUMBER(J11)),IF(AND(J42&gt;0,J11&gt;0),J39*(Fleet_1GW!J21*INDEX(B4_EffRef,1,1)/1000000/J42)*1000000/J11,0),"SLO 不可達")</f>
        <v>0.00191565728039637</v>
      </c>
      <c r="K44" s="157" t="n">
        <f aca="false">IF(AND(ISNUMBER(K42),ISNUMBER(K11)),IF(AND(K42&gt;0,K11&gt;0),K39*(Fleet_1GW!K21*INDEX(B4_EffRef,1,1)/1000000/K42)*1000000/K11,0),"SLO 不可達")</f>
        <v>0.00326110991614254</v>
      </c>
      <c r="L44" s="157" t="n">
        <f aca="false">IF(AND(ISNUMBER(L42),ISNUMBER(L11)),IF(AND(L42&gt;0,L11&gt;0),L39*(Fleet_1GW!L21*INDEX(B4_EffRef,1,1)/1000000/L42)*1000000/L11,0),"SLO 不可達")</f>
        <v>0.00106624342241572</v>
      </c>
      <c r="M44" s="157" t="n">
        <f aca="false">IF(AND(ISNUMBER(M42),ISNUMBER(M11)),IF(AND(M42&gt;0,M11&gt;0),M39*(Fleet_1GW!M21*INDEX(B4_EffRef,1,1)/1000000/M42)*1000000/M11,0),"SLO 不可達")</f>
        <v>0.00137022371265712</v>
      </c>
      <c r="N44" s="157" t="n">
        <f aca="false">IF(AND(ISNUMBER(N42),ISNUMBER(N11)),IF(AND(N42&gt;0,N11&gt;0),N39*(Fleet_1GW!N21*INDEX(B4_EffRef,1,1)/1000000/N42)*1000000/N11,0),"SLO 不可達")</f>
        <v>0.00221326347315422</v>
      </c>
      <c r="O44" s="157" t="n">
        <f aca="false">IF(AND(ISNUMBER(O42),ISNUMBER(O11)),IF(AND(O42&gt;0,O11&gt;0),O39*(Fleet_1GW!O21*INDEX(B4_EffRef,1,1)/1000000/O42)*1000000/O11,0),"SLO 不可達")</f>
        <v>0.000825482567485671</v>
      </c>
      <c r="P44" s="157" t="n">
        <f aca="false">IF(AND(ISNUMBER(P42),ISNUMBER(P11)),IF(AND(P42&gt;0,P11&gt;0),P39*(Fleet_1GW!P21*INDEX(B4_EffRef,1,1)/1000000/P42)*1000000/P11,0),"SLO 不可達")</f>
        <v>0.00125429737577655</v>
      </c>
      <c r="Q44" s="157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1728</v>
      </c>
      <c r="B45" s="59" t="s">
        <v>791</v>
      </c>
      <c r="C45" s="153" t="n">
        <f aca="false">IF(AND(ISNUMBER(C22),ISNUMBER(C41)),C22*C41,"SLO 不可達")</f>
        <v>0.21550769923691</v>
      </c>
      <c r="D45" s="153" t="n">
        <f aca="false">IF(AND(ISNUMBER(D22),ISNUMBER(D41)),D22*D41,"SLO 不可達")</f>
        <v>0.307910618909345</v>
      </c>
      <c r="E45" s="153" t="n">
        <f aca="false">IF(AND(ISNUMBER(E22),ISNUMBER(E41)),E22*E41,"SLO 不可達")</f>
        <v>0.528784448168889</v>
      </c>
      <c r="F45" s="153" t="n">
        <f aca="false">IF(AND(ISNUMBER(F22),ISNUMBER(F41)),F22*F41,"SLO 不可達")</f>
        <v>0.0443186265993938</v>
      </c>
      <c r="G45" s="153" t="n">
        <f aca="false">IF(AND(ISNUMBER(G22),ISNUMBER(G41)),G22*G41,"SLO 不可達")</f>
        <v>0.0591694791244913</v>
      </c>
      <c r="H45" s="153" t="n">
        <f aca="false">IF(AND(ISNUMBER(H22),ISNUMBER(H41)),H22*H41,"SLO 不可達")</f>
        <v>0.0959584722377972</v>
      </c>
      <c r="I45" s="153" t="n">
        <f aca="false">IF(AND(ISNUMBER(I22),ISNUMBER(I41)),I22*I41,"SLO 不可達")</f>
        <v>0.0410210996300435</v>
      </c>
      <c r="J45" s="153" t="n">
        <f aca="false">IF(AND(ISNUMBER(J22),ISNUMBER(J41)),J22*J41,"SLO 不可達")</f>
        <v>0.0529766481757565</v>
      </c>
      <c r="K45" s="153" t="n">
        <f aca="false">IF(AND(ISNUMBER(K22),ISNUMBER(K41)),K22*K41,"SLO 不可達")</f>
        <v>0.0901845410752217</v>
      </c>
      <c r="L45" s="153" t="n">
        <f aca="false">IF(AND(ISNUMBER(L22),ISNUMBER(L41)),L22*L41,"SLO 不可達")</f>
        <v>0.0272764620812136</v>
      </c>
      <c r="M45" s="153" t="n">
        <f aca="false">IF(AND(ISNUMBER(M22),ISNUMBER(M41)),M22*M41,"SLO 不可達")</f>
        <v>0.0350528353613606</v>
      </c>
      <c r="N45" s="153" t="n">
        <f aca="false">IF(AND(ISNUMBER(N22),ISNUMBER(N41)),N22*N41,"SLO 不可達")</f>
        <v>0.056619338447547</v>
      </c>
      <c r="O45" s="153" t="n">
        <f aca="false">IF(AND(ISNUMBER(O22),ISNUMBER(O41)),O22*O41,"SLO 不可達")</f>
        <v>0.0204709918210229</v>
      </c>
      <c r="P45" s="153" t="n">
        <f aca="false">IF(AND(ISNUMBER(P22),ISNUMBER(P41)),P22*P41,"SLO 不可達")</f>
        <v>0.0311050921388451</v>
      </c>
      <c r="Q45" s="153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1729</v>
      </c>
      <c r="B46" s="59" t="s">
        <v>791</v>
      </c>
      <c r="C46" s="157" t="n">
        <f aca="false">IF(AND(ISNUMBER(C42),ISNUMBER(C20)),IF(AND(C42&gt;0,C20&gt;0),C39*(Fleet_1GW!C24*INDEX(B4_EffRef,1,2)/1000000/C42)*1000000/C20,0),"SLO 不可達")</f>
        <v>0.76075138172424</v>
      </c>
      <c r="D46" s="157" t="n">
        <f aca="false">IF(AND(ISNUMBER(D42),ISNUMBER(D20)),IF(AND(D42&gt;0,D20&gt;0),D39*(Fleet_1GW!D24*INDEX(B4_EffRef,1,2)/1000000/D42)*1000000/D20,0),"SLO 不可達")</f>
        <v>1.08693763430393</v>
      </c>
      <c r="E46" s="157" t="n">
        <f aca="false">IF(AND(ISNUMBER(E42),ISNUMBER(E20)),IF(AND(E42&gt;0,E20&gt;0),E39*(Fleet_1GW!E24*INDEX(B4_EffRef,1,2)/1000000/E42)*1000000/E20,0),"SLO 不可達")</f>
        <v>1.86663168417268</v>
      </c>
      <c r="F46" s="157" t="n">
        <f aca="false">IF(AND(ISNUMBER(F42),ISNUMBER(F20)),IF(AND(F42&gt;0,F20&gt;0),F39*(Fleet_1GW!F24*INDEX(B4_EffRef,1,2)/1000000/F42)*1000000/F20,0),"SLO 不可達")</f>
        <v>0.158902140573672</v>
      </c>
      <c r="G46" s="157" t="n">
        <f aca="false">IF(AND(ISNUMBER(G42),ISNUMBER(G20)),IF(AND(G42&gt;0,G20&gt;0),G39*(Fleet_1GW!G24*INDEX(B4_EffRef,1,2)/1000000/G42)*1000000/G20,0),"SLO 不可達")</f>
        <v>0.21214910323145</v>
      </c>
      <c r="H46" s="157" t="n">
        <f aca="false">IF(AND(ISNUMBER(H42),ISNUMBER(H20)),IF(AND(H42&gt;0,H20&gt;0),H39*(Fleet_1GW!H24*INDEX(B4_EffRef,1,2)/1000000/H42)*1000000/H20,0),"SLO 不可達")</f>
        <v>0.344054132872743</v>
      </c>
      <c r="I46" s="157" t="n">
        <f aca="false">IF(AND(ISNUMBER(I42),ISNUMBER(I20)),IF(AND(I42&gt;0,I20&gt;0),I39*(Fleet_1GW!I24*INDEX(B4_EffRef,1,2)/1000000/I42)*1000000/I20,0),"SLO 不可達")</f>
        <v>0.149431056183798</v>
      </c>
      <c r="J46" s="157" t="n">
        <f aca="false">IF(AND(ISNUMBER(J42),ISNUMBER(J20)),IF(AND(J42&gt;0,J20&gt;0),J39*(Fleet_1GW!J24*INDEX(B4_EffRef,1,2)/1000000/J42)*1000000/J20,0),"SLO 不可達")</f>
        <v>0.192982551939757</v>
      </c>
      <c r="K46" s="157" t="n">
        <f aca="false">IF(AND(ISNUMBER(K42),ISNUMBER(K20)),IF(AND(K42&gt;0,K20&gt;0),K39*(Fleet_1GW!K24*INDEX(B4_EffRef,1,2)/1000000/K42)*1000000/K20,0),"SLO 不可達")</f>
        <v>0.328522914935502</v>
      </c>
      <c r="L46" s="157" t="n">
        <f aca="false">IF(AND(ISNUMBER(L42),ISNUMBER(L20)),IF(AND(L42&gt;0,L20&gt;0),L39*(Fleet_1GW!L24*INDEX(B4_EffRef,1,2)/1000000/L42)*1000000/L20,0),"SLO 不可達")</f>
        <v>0.0971179608385562</v>
      </c>
      <c r="M46" s="157" t="n">
        <f aca="false">IF(AND(ISNUMBER(M42),ISNUMBER(M20)),IF(AND(M42&gt;0,M20&gt;0),M39*(Fleet_1GW!M24*INDEX(B4_EffRef,1,2)/1000000/M42)*1000000/M20,0),"SLO 不可達")</f>
        <v>0.124805771429192</v>
      </c>
      <c r="N46" s="157" t="n">
        <f aca="false">IF(AND(ISNUMBER(N42),ISNUMBER(N20)),IF(AND(N42&gt;0,N20&gt;0),N39*(Fleet_1GW!N24*INDEX(B4_EffRef,1,2)/1000000/N42)*1000000/N20,0),"SLO 不可達")</f>
        <v>0.201593398648318</v>
      </c>
      <c r="O46" s="157" t="n">
        <f aca="false">IF(AND(ISNUMBER(O42),ISNUMBER(O20)),IF(AND(O42&gt;0,O20&gt;0),O39*(Fleet_1GW!O24*INDEX(B4_EffRef,1,2)/1000000/O42)*1000000/O20,0),"SLO 不可達")</f>
        <v>0.0737187706076097</v>
      </c>
      <c r="P46" s="157" t="n">
        <f aca="false">IF(AND(ISNUMBER(P42),ISNUMBER(P20)),IF(AND(P42&gt;0,P20&gt;0),P39*(Fleet_1GW!P24*INDEX(B4_EffRef,1,2)/1000000/P42)*1000000/P20,0),"SLO 不可達")</f>
        <v>0.1120135835215</v>
      </c>
      <c r="Q46" s="157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1730</v>
      </c>
      <c r="B47" s="59" t="s">
        <v>791</v>
      </c>
      <c r="C47" s="153" t="n">
        <f aca="false">IF(AND(ISNUMBER(C32),ISNUMBER(C41)),C32*C41,"SLO 不可達")</f>
        <v>9.20669825483718</v>
      </c>
      <c r="D47" s="153" t="n">
        <f aca="false">IF(AND(ISNUMBER(D32),ISNUMBER(D41)),D32*D41,"SLO 不可達")</f>
        <v>13.1542407431214</v>
      </c>
      <c r="E47" s="153" t="n">
        <f aca="false">IF(AND(ISNUMBER(E32),ISNUMBER(E41)),E32*E41,"SLO 不可達")</f>
        <v>22.5901852851657</v>
      </c>
      <c r="F47" s="153" t="n">
        <f aca="false">IF(AND(ISNUMBER(F32),ISNUMBER(F41)),F32*F41,"SLO 不可達")</f>
        <v>1.9052553977599</v>
      </c>
      <c r="G47" s="153" t="n">
        <f aca="false">IF(AND(ISNUMBER(G32),ISNUMBER(G41)),G32*G41,"SLO 不可達")</f>
        <v>2.54369275707928</v>
      </c>
      <c r="H47" s="153" t="n">
        <f aca="false">IF(AND(ISNUMBER(H32),ISNUMBER(H41)),H32*H41,"SLO 不可達")</f>
        <v>4.12524961218807</v>
      </c>
      <c r="I47" s="153" t="n">
        <f aca="false">IF(AND(ISNUMBER(I32),ISNUMBER(I41)),I32*I41,"SLO 不可達")</f>
        <v>1.88713956026905</v>
      </c>
      <c r="J47" s="153" t="n">
        <f aca="false">IF(AND(ISNUMBER(J32),ISNUMBER(J41)),J32*J41,"SLO 不可達")</f>
        <v>2.43714404159232</v>
      </c>
      <c r="K47" s="153" t="n">
        <f aca="false">IF(AND(ISNUMBER(K32),ISNUMBER(K41)),K32*K41,"SLO 不可達")</f>
        <v>4.14886038459861</v>
      </c>
      <c r="L47" s="153" t="n">
        <f aca="false">IF(AND(ISNUMBER(L32),ISNUMBER(L41)),L32*L41,"SLO 不可達")</f>
        <v>1.11379960443524</v>
      </c>
      <c r="M47" s="153" t="n">
        <f aca="false">IF(AND(ISNUMBER(M32),ISNUMBER(M41)),M32*M41,"SLO 不可達")</f>
        <v>1.43133790751795</v>
      </c>
      <c r="N47" s="153" t="n">
        <f aca="false">IF(AND(ISNUMBER(N32),ISNUMBER(N41)),N32*N41,"SLO 不可達")</f>
        <v>2.31197860552805</v>
      </c>
      <c r="O47" s="153" t="n">
        <f aca="false">IF(AND(ISNUMBER(O32),ISNUMBER(O41)),O32*O41,"SLO 不可達")</f>
        <v>0.834791019891287</v>
      </c>
      <c r="P47" s="153" t="n">
        <f aca="false">IF(AND(ISNUMBER(P32),ISNUMBER(P41)),P32*P41,"SLO 不可達")</f>
        <v>1.26844130550297</v>
      </c>
      <c r="Q47" s="153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1731</v>
      </c>
      <c r="B48" s="59" t="s">
        <v>791</v>
      </c>
      <c r="C48" s="157" t="n">
        <f aca="false">IF(AND(ISNUMBER(C42),ISNUMBER(C30)),IF(AND(C42&gt;0,C30&gt;0),C39*(Fleet_1GW!C27*INDEX(B4_EffRef,1,3)/1000000/C42)*1000000/C30,0),"SLO 不可達")</f>
        <v>6.59043473451061</v>
      </c>
      <c r="D48" s="157" t="n">
        <f aca="false">IF(AND(ISNUMBER(D42),ISNUMBER(D30)),IF(AND(D42&gt;0,D30&gt;0),D39*(Fleet_1GW!D27*INDEX(B4_EffRef,1,3)/1000000/D42)*1000000/D30,0),"SLO 不可達")</f>
        <v>9.41620575585105</v>
      </c>
      <c r="E48" s="157" t="n">
        <f aca="false">IF(AND(ISNUMBER(E42),ISNUMBER(E30)),IF(AND(E42&gt;0,E30&gt;0),E39*(Fleet_1GW!E27*INDEX(B4_EffRef,1,3)/1000000/E42)*1000000/E30,0),"SLO 不可達")</f>
        <v>16.1707419578094</v>
      </c>
      <c r="F48" s="157" t="n">
        <f aca="false">IF(AND(ISNUMBER(F42),ISNUMBER(F30)),IF(AND(F42&gt;0,F30&gt;0),F39*(Fleet_1GW!F27*INDEX(B4_EffRef,1,3)/1000000/F42)*1000000/F30,0),"SLO 不可達")</f>
        <v>1.35822518708084</v>
      </c>
      <c r="G48" s="157" t="n">
        <f aca="false">IF(AND(ISNUMBER(G42),ISNUMBER(G30)),IF(AND(G42&gt;0,G30&gt;0),G39*(Fleet_1GW!G27*INDEX(B4_EffRef,1,3)/1000000/G42)*1000000/G30,0),"SLO 不可達")</f>
        <v>1.81335666332307</v>
      </c>
      <c r="H48" s="157" t="n">
        <f aca="false">IF(AND(ISNUMBER(H42),ISNUMBER(H30)),IF(AND(H42&gt;0,H30&gt;0),H39*(Fleet_1GW!H27*INDEX(B4_EffRef,1,3)/1000000/H42)*1000000/H30,0),"SLO 不可達")</f>
        <v>2.94082249175466</v>
      </c>
      <c r="I48" s="157" t="n">
        <f aca="false">IF(AND(ISNUMBER(I42),ISNUMBER(I30)),IF(AND(I42&gt;0,I30&gt;0),I39*(Fleet_1GW!I27*INDEX(B4_EffRef,1,3)/1000000/I42)*1000000/I30,0),"SLO 不可達")</f>
        <v>1.33996958943401</v>
      </c>
      <c r="J48" s="157" t="n">
        <f aca="false">IF(AND(ISNUMBER(J42),ISNUMBER(J30)),IF(AND(J42&gt;0,J30&gt;0),J39*(Fleet_1GW!J27*INDEX(B4_EffRef,1,3)/1000000/J42)*1000000/J30,0),"SLO 不可達")</f>
        <v>1.73050206225257</v>
      </c>
      <c r="K48" s="157" t="n">
        <f aca="false">IF(AND(ISNUMBER(K42),ISNUMBER(K30)),IF(AND(K42&gt;0,K30&gt;0),K39*(Fleet_1GW!K27*INDEX(B4_EffRef,1,3)/1000000/K42)*1000000/K30,0),"SLO 不可達")</f>
        <v>2.94591182507828</v>
      </c>
      <c r="L48" s="157" t="n">
        <f aca="false">IF(AND(ISNUMBER(L42),ISNUMBER(L30)),IF(AND(L42&gt;0,L30&gt;0),L39*(Fleet_1GW!L27*INDEX(B4_EffRef,1,3)/1000000/L42)*1000000/L30,0),"SLO 不可達")</f>
        <v>0.795400319476929</v>
      </c>
      <c r="M48" s="157" t="n">
        <f aca="false">IF(AND(ISNUMBER(M42),ISNUMBER(M30)),IF(AND(M42&gt;0,M30&gt;0),M39*(Fleet_1GW!M27*INDEX(B4_EffRef,1,3)/1000000/M42)*1000000/M30,0),"SLO 不可達")</f>
        <v>1.02216469137327</v>
      </c>
      <c r="N48" s="157" t="n">
        <f aca="false">IF(AND(ISNUMBER(N42),ISNUMBER(N30)),IF(AND(N42&gt;0,N30&gt;0),N39*(Fleet_1GW!N27*INDEX(B4_EffRef,1,3)/1000000/N42)*1000000/N30,0),"SLO 不可達")</f>
        <v>1.65105869506327</v>
      </c>
      <c r="O48" s="157" t="n">
        <f aca="false">IF(AND(ISNUMBER(O42),ISNUMBER(O30)),IF(AND(O42&gt;0,O30&gt;0),O39*(Fleet_1GW!O27*INDEX(B4_EffRef,1,3)/1000000/O42)*1000000/O30,0),"SLO 不可達")</f>
        <v>0.594263829823415</v>
      </c>
      <c r="P48" s="157" t="n">
        <f aca="false">IF(AND(ISNUMBER(P42),ISNUMBER(P30)),IF(AND(P42&gt;0,P30&gt;0),P39*(Fleet_1GW!P27*INDEX(B4_EffRef,1,3)/1000000/P42)*1000000/P30,0),"SLO 不可達")</f>
        <v>0.902967054212651</v>
      </c>
      <c r="Q48" s="157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1732</v>
      </c>
      <c r="B49" s="59" t="s">
        <v>89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1734</v>
      </c>
    </row>
    <row r="2" customFormat="false" ht="15" hidden="false" customHeight="false" outlineLevel="0" collapsed="false">
      <c r="A2" s="56" t="s">
        <v>1735</v>
      </c>
    </row>
    <row r="4" customFormat="false" ht="15" hidden="false" customHeight="false" outlineLevel="0" collapsed="false">
      <c r="A4" s="57" t="s">
        <v>161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436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1664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1736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1737</v>
      </c>
      <c r="B10" s="59" t="s">
        <v>783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1738</v>
      </c>
      <c r="B11" s="59" t="s">
        <v>1739</v>
      </c>
      <c r="C11" s="110" t="n">
        <f aca="false">C10*INDEX(B4_EffRef,1,1)/1000000000</f>
        <v>3.57102907624799</v>
      </c>
      <c r="D11" s="110" t="n">
        <f aca="false">D10*INDEX(B4_EffRef,1,1)/1000000000</f>
        <v>3.57102907624799</v>
      </c>
      <c r="E11" s="110" t="n">
        <f aca="false">E10*INDEX(B4_EffRef,1,1)/1000000000</f>
        <v>3.57102907624799</v>
      </c>
      <c r="F11" s="110" t="n">
        <f aca="false">F10*INDEX(B4_EffRef,1,1)/1000000000</f>
        <v>17.4680230535144</v>
      </c>
      <c r="G11" s="110" t="n">
        <f aca="false">G10*INDEX(B4_EffRef,1,1)/1000000000</f>
        <v>17.4680230535144</v>
      </c>
      <c r="H11" s="110" t="n">
        <f aca="false">H10*INDEX(B4_EffRef,1,1)/1000000000</f>
        <v>17.4680230535144</v>
      </c>
      <c r="I11" s="110" t="n">
        <f aca="false">I10*INDEX(B4_EffRef,1,1)/1000000000</f>
        <v>25.4312759220773</v>
      </c>
      <c r="J11" s="110" t="n">
        <f aca="false">J10*INDEX(B4_EffRef,1,1)/1000000000</f>
        <v>25.4312759220773</v>
      </c>
      <c r="K11" s="110" t="n">
        <f aca="false">K10*INDEX(B4_EffRef,1,1)/1000000000</f>
        <v>25.4312759220773</v>
      </c>
      <c r="L11" s="110" t="n">
        <f aca="false">L10*INDEX(B4_EffRef,1,1)/1000000000</f>
        <v>37.2582226398973</v>
      </c>
      <c r="M11" s="110" t="n">
        <f aca="false">M10*INDEX(B4_EffRef,1,1)/1000000000</f>
        <v>37.2582226398973</v>
      </c>
      <c r="N11" s="110" t="n">
        <f aca="false">N10*INDEX(B4_EffRef,1,1)/1000000000</f>
        <v>37.2582226398973</v>
      </c>
      <c r="O11" s="110" t="n">
        <f aca="false">O10*INDEX(B4_EffRef,1,1)/1000000000</f>
        <v>50.3527379522069</v>
      </c>
      <c r="P11" s="110" t="n">
        <f aca="false">P10*INDEX(B4_EffRef,1,1)/1000000000</f>
        <v>50.3527379522069</v>
      </c>
      <c r="Q11" s="110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1740</v>
      </c>
      <c r="B12" s="59" t="s">
        <v>1739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1741</v>
      </c>
      <c r="B13" s="59" t="s">
        <v>1739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1742</v>
      </c>
      <c r="B14" s="59" t="s">
        <v>1739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1743</v>
      </c>
      <c r="B15" s="59" t="s">
        <v>93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1744</v>
      </c>
      <c r="B16" s="59" t="s">
        <v>93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1745</v>
      </c>
      <c r="B17" s="59" t="s">
        <v>791</v>
      </c>
      <c r="C17" s="154" t="n">
        <f aca="false">Amortize!C14</f>
        <v>0.12131988200181</v>
      </c>
      <c r="D17" s="154" t="n">
        <f aca="false">Amortize!D14</f>
        <v>0.173337199275656</v>
      </c>
      <c r="E17" s="154" t="n">
        <f aca="false">Amortize!E14</f>
        <v>0.297675954964459</v>
      </c>
      <c r="F17" s="154" t="n">
        <f aca="false">Amortize!F14</f>
        <v>0.0260936867672857</v>
      </c>
      <c r="G17" s="154" t="n">
        <f aca="false">Amortize!G14</f>
        <v>0.0348369296673268</v>
      </c>
      <c r="H17" s="154" t="n">
        <f aca="false">Amortize!H14</f>
        <v>0.0564959625271565</v>
      </c>
      <c r="I17" s="154" t="n">
        <f aca="false">Amortize!I14</f>
        <v>0.0228541941694006</v>
      </c>
      <c r="J17" s="154" t="n">
        <f aca="false">Amortize!J14</f>
        <v>0.0295143560848238</v>
      </c>
      <c r="K17" s="154" t="n">
        <f aca="false">Amortize!K14</f>
        <v>0.0502420199217979</v>
      </c>
      <c r="L17" s="154" t="n">
        <f aca="false">Amortize!L14</f>
        <v>0.0174796823282432</v>
      </c>
      <c r="M17" s="154" t="n">
        <f aca="false">Amortize!M14</f>
        <v>0.0224628079319604</v>
      </c>
      <c r="N17" s="154" t="n">
        <f aca="false">Amortize!N14</f>
        <v>0.0362826941230965</v>
      </c>
      <c r="O17" s="154" t="n">
        <f aca="false">Amortize!O14</f>
        <v>0.0137286838275377</v>
      </c>
      <c r="P17" s="154" t="n">
        <f aca="false">Amortize!P14</f>
        <v>0.020860085624086</v>
      </c>
      <c r="Q17" s="154" t="n">
        <f aca="false">Amortize!Q14</f>
        <v>0.0380720088816252</v>
      </c>
    </row>
    <row r="18" customFormat="false" ht="15" hidden="false" customHeight="false" outlineLevel="0" collapsed="false">
      <c r="A18" s="5" t="s">
        <v>1746</v>
      </c>
      <c r="B18" s="59" t="s">
        <v>791</v>
      </c>
      <c r="C18" s="155" t="n">
        <f aca="false">IF(AND(ISNUMBER(C17),ISNUMBER(Amortize!C13)),C17+Amortize!C13,"SLO 不可達")</f>
        <v>0.129349911856988</v>
      </c>
      <c r="D18" s="155" t="n">
        <f aca="false">IF(AND(ISNUMBER(D17),ISNUMBER(Amortize!D13)),D17+Amortize!D13,"SLO 不可達")</f>
        <v>0.184810505721705</v>
      </c>
      <c r="E18" s="155" t="n">
        <f aca="false">IF(AND(ISNUMBER(E17),ISNUMBER(Amortize!E13)),E17+Amortize!E13,"SLO 不可達")</f>
        <v>0.317379842094771</v>
      </c>
      <c r="F18" s="155" t="n">
        <f aca="false">IF(AND(ISNUMBER(F17),ISNUMBER(Amortize!F13)),F17+Amortize!F13,"SLO 不可達")</f>
        <v>0.0268367168208034</v>
      </c>
      <c r="G18" s="155" t="n">
        <f aca="false">IF(AND(ISNUMBER(G17),ISNUMBER(Amortize!G13)),G17+Amortize!G13,"SLO 不可達")</f>
        <v>0.0358290310898272</v>
      </c>
      <c r="H18" s="155" t="n">
        <f aca="false">IF(AND(ISNUMBER(H17),ISNUMBER(Amortize!H13)),H17+Amortize!H13,"SLO 不可達")</f>
        <v>0.0581050712805656</v>
      </c>
      <c r="I18" s="155" t="n">
        <f aca="false">IF(AND(ISNUMBER(I17),ISNUMBER(Amortize!I13)),I17+Amortize!I13,"SLO 不可達")</f>
        <v>0.023433876795332</v>
      </c>
      <c r="J18" s="155" t="n">
        <f aca="false">IF(AND(ISNUMBER(J17),ISNUMBER(Amortize!J13)),J17+Amortize!J13,"SLO 不可達")</f>
        <v>0.0302630497429385</v>
      </c>
      <c r="K18" s="155" t="n">
        <f aca="false">IF(AND(ISNUMBER(K17),ISNUMBER(Amortize!K13)),K17+Amortize!K13,"SLO 不可達")</f>
        <v>0.0515167073777091</v>
      </c>
      <c r="L18" s="155" t="n">
        <f aca="false">IF(AND(ISNUMBER(L17),ISNUMBER(Amortize!L13)),L17+Amortize!L13,"SLO 不可達")</f>
        <v>0.0177624501204372</v>
      </c>
      <c r="M18" s="155" t="n">
        <f aca="false">IF(AND(ISNUMBER(M17),ISNUMBER(Amortize!M13)),M17+Amortize!M13,"SLO 不可達")</f>
        <v>0.0228262374410029</v>
      </c>
      <c r="N18" s="155" t="n">
        <f aca="false">IF(AND(ISNUMBER(N17),ISNUMBER(Amortize!N13)),N17+Amortize!N13,"SLO 不可達")</f>
        <v>0.0368698257491389</v>
      </c>
      <c r="O18" s="155" t="n">
        <f aca="false">IF(AND(ISNUMBER(O17),ISNUMBER(Amortize!O13)),O17+Amortize!O13,"SLO 不可達")</f>
        <v>0.013871436434276</v>
      </c>
      <c r="P18" s="155" t="n">
        <f aca="false">IF(AND(ISNUMBER(P17),ISNUMBER(Amortize!P13)),P17+Amortize!P13,"SLO 不可達")</f>
        <v>0.021077050012663</v>
      </c>
      <c r="Q18" s="155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1747</v>
      </c>
      <c r="B19" s="59" t="s">
        <v>791</v>
      </c>
      <c r="C19" s="154" t="n">
        <f aca="false">IF(AND(ISNUMBER(C17),ISNUMBER(Amortize!C15)),C17+Amortize!C15,"SLO 不可達")</f>
        <v>0.295902151223927</v>
      </c>
      <c r="D19" s="154" t="n">
        <f aca="false">IF(AND(ISNUMBER(D17),ISNUMBER(Amortize!D15)),D17+Amortize!D15,"SLO 不可達")</f>
        <v>0.422773656769893</v>
      </c>
      <c r="E19" s="154" t="n">
        <f aca="false">IF(AND(ISNUMBER(E17),ISNUMBER(Amortize!E15)),E17+Amortize!E15,"SLO 不可達")</f>
        <v>0.72603891454746</v>
      </c>
      <c r="F19" s="154" t="n">
        <f aca="false">IF(AND(ISNUMBER(F17),ISNUMBER(Amortize!F15)),F17+Amortize!F15,"SLO 不可達")</f>
        <v>0.0636431384567943</v>
      </c>
      <c r="G19" s="154" t="n">
        <f aca="false">IF(AND(ISNUMBER(G17),ISNUMBER(Amortize!G15)),G17+Amortize!G15,"SLO 不可達")</f>
        <v>0.0849681211398214</v>
      </c>
      <c r="H19" s="154" t="n">
        <f aca="false">IF(AND(ISNUMBER(H17),ISNUMBER(Amortize!H15)),H17+Amortize!H15,"SLO 不可達")</f>
        <v>0.13779503055404</v>
      </c>
      <c r="I19" s="154" t="n">
        <f aca="false">IF(AND(ISNUMBER(I17),ISNUMBER(Amortize!I15)),I17+Amortize!I15,"SLO 不可達")</f>
        <v>0.055741936998538</v>
      </c>
      <c r="J19" s="154" t="n">
        <f aca="false">IF(AND(ISNUMBER(J17),ISNUMBER(Amortize!J15)),J17+Amortize!J15,"SLO 不可達")</f>
        <v>0.0719862343532289</v>
      </c>
      <c r="K19" s="154" t="n">
        <f aca="false">IF(AND(ISNUMBER(K17),ISNUMBER(Amortize!K15)),K17+Amortize!K15,"SLO 不可達")</f>
        <v>0.122541512004385</v>
      </c>
      <c r="L19" s="154" t="n">
        <f aca="false">IF(AND(ISNUMBER(L17),ISNUMBER(Amortize!L15)),L17+Amortize!L15,"SLO 不可達")</f>
        <v>0.0426333715323005</v>
      </c>
      <c r="M19" s="154" t="n">
        <f aca="false">IF(AND(ISNUMBER(M17),ISNUMBER(Amortize!M15)),M17+Amortize!M15,"SLO 不可達")</f>
        <v>0.0547873364194157</v>
      </c>
      <c r="N19" s="154" t="n">
        <f aca="false">IF(AND(ISNUMBER(N17),ISNUMBER(Amortize!N15)),N17+Amortize!N15,"SLO 不可達")</f>
        <v>0.0884943759099914</v>
      </c>
      <c r="O19" s="154" t="n">
        <f aca="false">IF(AND(ISNUMBER(O17),ISNUMBER(Amortize!O15)),O17+Amortize!O15,"SLO 不可達")</f>
        <v>0.0334845947013115</v>
      </c>
      <c r="P19" s="154" t="n">
        <f aca="false">IF(AND(ISNUMBER(P17),ISNUMBER(Amortize!P15)),P17+Amortize!P15,"SLO 不可達")</f>
        <v>0.0508782576197221</v>
      </c>
      <c r="Q19" s="154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1748</v>
      </c>
      <c r="B20" s="59" t="s">
        <v>791</v>
      </c>
      <c r="C20" s="155" t="n">
        <f aca="false">IF(AND(ISNUMBER(C17),ISNUMBER(Amortize!C43)),C17+Amortize!C43,"SLO 不可達")</f>
        <v>0.138852971710647</v>
      </c>
      <c r="D20" s="155" t="n">
        <f aca="false">IF(AND(ISNUMBER(D17),ISNUMBER(Amortize!D43)),D17+Amortize!D43,"SLO 不可達")</f>
        <v>0.198387926107027</v>
      </c>
      <c r="E20" s="155" t="n">
        <f aca="false">IF(AND(ISNUMBER(E17),ISNUMBER(Amortize!E43)),E17+Amortize!E43,"SLO 不可達")</f>
        <v>0.340696344487484</v>
      </c>
      <c r="F20" s="155" t="n">
        <f aca="false">IF(AND(ISNUMBER(F17),ISNUMBER(Amortize!F43)),F17+Amortize!F43,"SLO 不可達")</f>
        <v>0.0296144196343927</v>
      </c>
      <c r="G20" s="155" t="n">
        <f aca="false">IF(AND(ISNUMBER(G17),ISNUMBER(Amortize!G43)),G17+Amortize!G43,"SLO 不可達")</f>
        <v>0.0395374347566711</v>
      </c>
      <c r="H20" s="155" t="n">
        <f aca="false">IF(AND(ISNUMBER(H17),ISNUMBER(Amortize!H43)),H17+Amortize!H43,"SLO 不可達")</f>
        <v>0.064119036006821</v>
      </c>
      <c r="I20" s="155" t="n">
        <f aca="false">IF(AND(ISNUMBER(I17),ISNUMBER(Amortize!I43)),I17+Amortize!I43,"SLO 不可達")</f>
        <v>0.0258364005445615</v>
      </c>
      <c r="J20" s="155" t="n">
        <f aca="false">IF(AND(ISNUMBER(J17),ISNUMBER(Amortize!J43)),J17+Amortize!J43,"SLO 不可達")</f>
        <v>0.0333657228046153</v>
      </c>
      <c r="K20" s="155" t="n">
        <f aca="false">IF(AND(ISNUMBER(K17),ISNUMBER(Amortize!K43)),K17+Amortize!K43,"SLO 不可達")</f>
        <v>0.0567983754500762</v>
      </c>
      <c r="L20" s="155" t="n">
        <f aca="false">IF(AND(ISNUMBER(L17),ISNUMBER(Amortize!L43)),L17+Amortize!L43,"SLO 不可達")</f>
        <v>0.0197927856475803</v>
      </c>
      <c r="M20" s="155" t="n">
        <f aca="false">IF(AND(ISNUMBER(M17),ISNUMBER(Amortize!M43)),M17+Amortize!M43,"SLO 不可達")</f>
        <v>0.025435364621502</v>
      </c>
      <c r="N20" s="155" t="n">
        <f aca="false">IF(AND(ISNUMBER(N17),ISNUMBER(Amortize!N43)),N17+Amortize!N43,"SLO 不可達")</f>
        <v>0.0410841371882472</v>
      </c>
      <c r="O20" s="155" t="n">
        <f aca="false">IF(AND(ISNUMBER(O17),ISNUMBER(Amortize!O43)),O17+Amortize!O43,"SLO 不可達")</f>
        <v>0.0154406612379422</v>
      </c>
      <c r="P20" s="155" t="n">
        <f aca="false">IF(AND(ISNUMBER(P17),ISNUMBER(Amortize!P43)),P17+Amortize!P43,"SLO 不可達")</f>
        <v>0.0234613867997119</v>
      </c>
      <c r="Q20" s="155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1749</v>
      </c>
      <c r="B21" s="59" t="s">
        <v>89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1750</v>
      </c>
      <c r="B22" s="59" t="s">
        <v>89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1751</v>
      </c>
      <c r="B23" s="59" t="s">
        <v>89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1752</v>
      </c>
      <c r="B24" s="59" t="s">
        <v>89</v>
      </c>
      <c r="C24" s="116" t="n">
        <f aca="false">IF(ISNUMBER(C20),1-C20/INDEX(B4_EffRef,1,1),"SLO 不可達")</f>
        <v>-0.727982225381388</v>
      </c>
      <c r="D24" s="116" t="n">
        <f aca="false">IF(ISNUMBER(D20),1-D20/INDEX(B4_EffRef,1,1),"SLO 不可達")</f>
        <v>-1.46887629281421</v>
      </c>
      <c r="E24" s="116" t="n">
        <f aca="false">IF(ISNUMBER(E20),1-E20/INDEX(B4_EffRef,1,1),"SLO 不可達")</f>
        <v>-3.2398604817303</v>
      </c>
      <c r="F24" s="116" t="n">
        <f aca="false">IF(ISNUMBER(F20),1-F20/INDEX(B4_EffRef,1,1),"SLO 不可達")</f>
        <v>0.631457720257834</v>
      </c>
      <c r="G24" s="116" t="n">
        <f aca="false">IF(ISNUMBER(G20),1-G20/INDEX(B4_EffRef,1,1),"SLO 不可達")</f>
        <v>0.507968870561338</v>
      </c>
      <c r="H24" s="116" t="n">
        <f aca="false">IF(ISNUMBER(H20),1-H20/INDEX(B4_EffRef,1,1),"SLO 不可達")</f>
        <v>0.202058456773522</v>
      </c>
      <c r="I24" s="116" t="n">
        <f aca="false">IF(ISNUMBER(I20),1-I20/INDEX(B4_EffRef,1,1),"SLO 不可達")</f>
        <v>0.67847399764788</v>
      </c>
      <c r="J24" s="116" t="n">
        <f aca="false">IF(ISNUMBER(J20),1-J20/INDEX(B4_EffRef,1,1),"SLO 不可達")</f>
        <v>0.584773914212476</v>
      </c>
      <c r="K24" s="116" t="n">
        <f aca="false">IF(ISNUMBER(K20),1-K20/INDEX(B4_EffRef,1,1),"SLO 不可達")</f>
        <v>0.293161809940977</v>
      </c>
      <c r="L24" s="116" t="n">
        <f aca="false">IF(ISNUMBER(L20),1-L20/INDEX(B4_EffRef,1,1),"SLO 不可達")</f>
        <v>0.753684913124692</v>
      </c>
      <c r="M24" s="116" t="n">
        <f aca="false">IF(ISNUMBER(M20),1-M20/INDEX(B4_EffRef,1,1),"SLO 不可達")</f>
        <v>0.683464765495688</v>
      </c>
      <c r="N24" s="116" t="n">
        <f aca="false">IF(ISNUMBER(N20),1-N20/INDEX(B4_EffRef,1,1),"SLO 不可達")</f>
        <v>0.488720637867499</v>
      </c>
      <c r="O24" s="116" t="n">
        <f aca="false">IF(ISNUMBER(O20),1-O20/INDEX(B4_EffRef,1,1),"SLO 不可達")</f>
        <v>0.807845753399502</v>
      </c>
      <c r="P24" s="116" t="n">
        <f aca="false">IF(ISNUMBER(P20),1-P20/INDEX(B4_EffRef,1,1),"SLO 不可達")</f>
        <v>0.708030308078807</v>
      </c>
      <c r="Q24" s="116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1753</v>
      </c>
      <c r="B25" s="59" t="s">
        <v>89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1754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1737</v>
      </c>
      <c r="B28" s="59" t="s">
        <v>783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1755</v>
      </c>
      <c r="B29" s="59" t="s">
        <v>1739</v>
      </c>
      <c r="C29" s="110" t="n">
        <f aca="false">C28*INDEX(B4_EffRef,1,2)/1000000000</f>
        <v>20.7225049979976</v>
      </c>
      <c r="D29" s="110" t="n">
        <f aca="false">D28*INDEX(B4_EffRef,1,2)/1000000000</f>
        <v>20.7225049979976</v>
      </c>
      <c r="E29" s="110" t="n">
        <f aca="false">E28*INDEX(B4_EffRef,1,2)/1000000000</f>
        <v>20.7225049979976</v>
      </c>
      <c r="F29" s="110" t="n">
        <f aca="false">F28*INDEX(B4_EffRef,1,2)/1000000000</f>
        <v>100.404653415384</v>
      </c>
      <c r="G29" s="110" t="n">
        <f aca="false">G28*INDEX(B4_EffRef,1,2)/1000000000</f>
        <v>100.404653415384</v>
      </c>
      <c r="H29" s="110" t="n">
        <f aca="false">H28*INDEX(B4_EffRef,1,2)/1000000000</f>
        <v>100.404653415384</v>
      </c>
      <c r="I29" s="110" t="n">
        <f aca="false">I28*INDEX(B4_EffRef,1,2)/1000000000</f>
        <v>146.176727443319</v>
      </c>
      <c r="J29" s="110" t="n">
        <f aca="false">J28*INDEX(B4_EffRef,1,2)/1000000000</f>
        <v>146.176727443319</v>
      </c>
      <c r="K29" s="110" t="n">
        <f aca="false">K28*INDEX(B4_EffRef,1,2)/1000000000</f>
        <v>146.176727443319</v>
      </c>
      <c r="L29" s="110" t="n">
        <f aca="false">L28*INDEX(B4_EffRef,1,2)/1000000000</f>
        <v>228.808271164193</v>
      </c>
      <c r="M29" s="110" t="n">
        <f aca="false">M28*INDEX(B4_EffRef,1,2)/1000000000</f>
        <v>228.808271164193</v>
      </c>
      <c r="N29" s="110" t="n">
        <f aca="false">N28*INDEX(B4_EffRef,1,2)/1000000000</f>
        <v>228.808271164193</v>
      </c>
      <c r="O29" s="110" t="n">
        <f aca="false">O28*INDEX(B4_EffRef,1,2)/1000000000</f>
        <v>314.529969229019</v>
      </c>
      <c r="P29" s="110" t="n">
        <f aca="false">P28*INDEX(B4_EffRef,1,2)/1000000000</f>
        <v>314.529969229019</v>
      </c>
      <c r="Q29" s="110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1756</v>
      </c>
      <c r="B30" s="59" t="s">
        <v>1739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1741</v>
      </c>
      <c r="B31" s="59" t="s">
        <v>1739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1742</v>
      </c>
      <c r="B32" s="59" t="s">
        <v>1739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1743</v>
      </c>
      <c r="B33" s="59" t="s">
        <v>93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1744</v>
      </c>
      <c r="B34" s="59" t="s">
        <v>93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1745</v>
      </c>
      <c r="B35" s="59" t="s">
        <v>791</v>
      </c>
      <c r="C35" s="154" t="n">
        <f aca="false">Amortize!C23</f>
        <v>0.417331151374463</v>
      </c>
      <c r="D35" s="154" t="n">
        <f aca="false">Amortize!D23</f>
        <v>0.596276148782533</v>
      </c>
      <c r="E35" s="154" t="n">
        <f aca="false">Amortize!E23</f>
        <v>1.02401443827026</v>
      </c>
      <c r="F35" s="154" t="n">
        <f aca="false">Amortize!F23</f>
        <v>0.0907896070390855</v>
      </c>
      <c r="G35" s="154" t="n">
        <f aca="false">Amortize!G23</f>
        <v>0.121218072413277</v>
      </c>
      <c r="H35" s="154" t="n">
        <f aca="false">Amortize!H23</f>
        <v>0.196596411886232</v>
      </c>
      <c r="I35" s="154" t="n">
        <f aca="false">Amortize!I23</f>
        <v>0.0795068498732029</v>
      </c>
      <c r="J35" s="154" t="n">
        <f aca="false">Amortize!J23</f>
        <v>0.102683217394179</v>
      </c>
      <c r="K35" s="154" t="n">
        <f aca="false">Amortize!K23</f>
        <v>0.17481238798153</v>
      </c>
      <c r="L35" s="154" t="n">
        <f aca="false">Amortize!L23</f>
        <v>0.0562061280073716</v>
      </c>
      <c r="M35" s="154" t="n">
        <f aca="false">Amortize!M23</f>
        <v>0.0722349806053506</v>
      </c>
      <c r="N35" s="154" t="n">
        <f aca="false">Amortize!N23</f>
        <v>0.116688389227706</v>
      </c>
      <c r="O35" s="154" t="n">
        <f aca="false">Amortize!O23</f>
        <v>0.0432131923940377</v>
      </c>
      <c r="P35" s="154" t="n">
        <f aca="false">Amortize!P23</f>
        <v>0.0656701385291775</v>
      </c>
      <c r="Q35" s="154" t="n">
        <f aca="false">Amortize!Q23</f>
        <v>0.11987087556573</v>
      </c>
    </row>
    <row r="36" customFormat="false" ht="15" hidden="false" customHeight="false" outlineLevel="0" collapsed="false">
      <c r="A36" s="5" t="s">
        <v>1757</v>
      </c>
      <c r="B36" s="59" t="s">
        <v>791</v>
      </c>
      <c r="C36" s="155" t="n">
        <f aca="false">IF(AND(ISNUMBER(C35),ISNUMBER(Amortize!C22)),C35+Amortize!C22,"SLO 不可達")</f>
        <v>0.516032138344316</v>
      </c>
      <c r="D36" s="155" t="n">
        <f aca="false">IF(AND(ISNUMBER(D35),ISNUMBER(Amortize!D22)),D35+Amortize!D22,"SLO 不可達")</f>
        <v>0.737300116371195</v>
      </c>
      <c r="E36" s="155" t="n">
        <f aca="false">IF(AND(ISNUMBER(E35),ISNUMBER(Amortize!E22)),E35+Amortize!E22,"SLO 不可達")</f>
        <v>1.26620446022271</v>
      </c>
      <c r="F36" s="155" t="n">
        <f aca="false">IF(AND(ISNUMBER(F35),ISNUMBER(Amortize!F22)),F35+Amortize!F22,"SLO 不可達")</f>
        <v>0.100142793644531</v>
      </c>
      <c r="G36" s="155" t="n">
        <f aca="false">IF(AND(ISNUMBER(G35),ISNUMBER(Amortize!G22)),G35+Amortize!G22,"SLO 不可達")</f>
        <v>0.133706544033293</v>
      </c>
      <c r="H36" s="155" t="n">
        <f aca="false">IF(AND(ISNUMBER(H35),ISNUMBER(Amortize!H22)),H35+Amortize!H22,"SLO 不可達")</f>
        <v>0.216851708920099</v>
      </c>
      <c r="I36" s="155" t="n">
        <f aca="false">IF(AND(ISNUMBER(I35),ISNUMBER(Amortize!I22)),I35+Amortize!I22,"SLO 不可達")</f>
        <v>0.0874805497989355</v>
      </c>
      <c r="J36" s="155" t="n">
        <f aca="false">IF(AND(ISNUMBER(J35),ISNUMBER(Amortize!J22)),J35+Amortize!J22,"SLO 不可達")</f>
        <v>0.112981712293025</v>
      </c>
      <c r="K36" s="155" t="n">
        <f aca="false">IF(AND(ISNUMBER(K35),ISNUMBER(Amortize!K22)),K35+Amortize!K22,"SLO 不可達")</f>
        <v>0.192346077655599</v>
      </c>
      <c r="L36" s="155" t="n">
        <f aca="false">IF(AND(ISNUMBER(L35),ISNUMBER(Amortize!L22)),L35+Amortize!L22,"SLO 不可達")</f>
        <v>0.0595405683227212</v>
      </c>
      <c r="M36" s="155" t="n">
        <f aca="false">IF(AND(ISNUMBER(M35),ISNUMBER(Amortize!M22)),M35+Amortize!M22,"SLO 不可達")</f>
        <v>0.0765205960120296</v>
      </c>
      <c r="N36" s="155" t="n">
        <f aca="false">IF(AND(ISNUMBER(N35),ISNUMBER(Amortize!N22)),N35+Amortize!N22,"SLO 不可達")</f>
        <v>0.12361193362823</v>
      </c>
      <c r="O36" s="155" t="n">
        <f aca="false">IF(AND(ISNUMBER(O35),ISNUMBER(Amortize!O22)),O35+Amortize!O22,"SLO 不可達")</f>
        <v>0.0449201585182448</v>
      </c>
      <c r="P36" s="155" t="n">
        <f aca="false">IF(AND(ISNUMBER(P35),ISNUMBER(Amortize!P22)),P35+Amortize!P22,"SLO 不可達")</f>
        <v>0.0682644929856207</v>
      </c>
      <c r="Q36" s="155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1747</v>
      </c>
      <c r="B37" s="59" t="s">
        <v>791</v>
      </c>
      <c r="C37" s="154" t="n">
        <f aca="false">IF(AND(ISNUMBER(C35),ISNUMBER(Amortize!C24)),C35+Amortize!C24,"SLO 不可達")</f>
        <v>1.01788085701089</v>
      </c>
      <c r="D37" s="154" t="n">
        <f aca="false">IF(AND(ISNUMBER(D35),ISNUMBER(Amortize!D24)),D35+Amortize!D24,"SLO 不可達")</f>
        <v>1.4543320702013</v>
      </c>
      <c r="E37" s="154" t="n">
        <f aca="false">IF(AND(ISNUMBER(E35),ISNUMBER(Amortize!E24)),E35+Amortize!E24,"SLO 不可達")</f>
        <v>2.49759619090307</v>
      </c>
      <c r="F37" s="154" t="n">
        <f aca="false">IF(AND(ISNUMBER(F35),ISNUMBER(Amortize!F24)),F35+Amortize!F24,"SLO 不可達")</f>
        <v>0.221438065948989</v>
      </c>
      <c r="G37" s="154" t="n">
        <f aca="false">IF(AND(ISNUMBER(G35),ISNUMBER(Amortize!G24)),G35+Amortize!G24,"SLO 不可達")</f>
        <v>0.295653835154334</v>
      </c>
      <c r="H37" s="154" t="n">
        <f aca="false">IF(AND(ISNUMBER(H35),ISNUMBER(Amortize!H24)),H35+Amortize!H24,"SLO 不可達")</f>
        <v>0.479503443624956</v>
      </c>
      <c r="I37" s="154" t="n">
        <f aca="false">IF(AND(ISNUMBER(I35),ISNUMBER(Amortize!I24)),I35+Amortize!I24,"SLO 不可達")</f>
        <v>0.193919146032202</v>
      </c>
      <c r="J37" s="154" t="n">
        <f aca="false">IF(AND(ISNUMBER(J35),ISNUMBER(Amortize!J24)),J35+Amortize!J24,"SLO 不可達")</f>
        <v>0.250446871693118</v>
      </c>
      <c r="K37" s="154" t="n">
        <f aca="false">IF(AND(ISNUMBER(K35),ISNUMBER(Amortize!K24)),K35+Amortize!K24,"SLO 不可達")</f>
        <v>0.426371678003733</v>
      </c>
      <c r="L37" s="154" t="n">
        <f aca="false">IF(AND(ISNUMBER(L35),ISNUMBER(Amortize!L24)),L35+Amortize!L24,"SLO 不可達")</f>
        <v>0.13708811709115</v>
      </c>
      <c r="M37" s="154" t="n">
        <f aca="false">IF(AND(ISNUMBER(M35),ISNUMBER(Amortize!M24)),M35+Amortize!M24,"SLO 不可達")</f>
        <v>0.176182879525245</v>
      </c>
      <c r="N37" s="154" t="n">
        <f aca="false">IF(AND(ISNUMBER(N35),ISNUMBER(Amortize!N24)),N35+Amortize!N24,"SLO 不可達")</f>
        <v>0.28460582738465</v>
      </c>
      <c r="O37" s="154" t="n">
        <f aca="false">IF(AND(ISNUMBER(O35),ISNUMBER(Amortize!O24)),O35+Amortize!O24,"SLO 不可達")</f>
        <v>0.10539803022936</v>
      </c>
      <c r="P37" s="154" t="n">
        <f aca="false">IF(AND(ISNUMBER(P35),ISNUMBER(Amortize!P24)),P35+Amortize!P24,"SLO 不可達")</f>
        <v>0.16017106958336</v>
      </c>
      <c r="Q37" s="154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1758</v>
      </c>
      <c r="B38" s="59" t="s">
        <v>791</v>
      </c>
      <c r="C38" s="155" t="n">
        <f aca="false">IF(AND(ISNUMBER(C35),ISNUMBER(Amortize!C45)),C35+Amortize!C45,"SLO 不可達")</f>
        <v>0.632838850611373</v>
      </c>
      <c r="D38" s="155" t="n">
        <f aca="false">IF(AND(ISNUMBER(D35),ISNUMBER(Amortize!D45)),D35+Amortize!D45,"SLO 不可達")</f>
        <v>0.904186767691878</v>
      </c>
      <c r="E38" s="155" t="n">
        <f aca="false">IF(AND(ISNUMBER(E35),ISNUMBER(Amortize!E45)),E35+Amortize!E45,"SLO 不可達")</f>
        <v>1.55279888643915</v>
      </c>
      <c r="F38" s="155" t="n">
        <f aca="false">IF(AND(ISNUMBER(F35),ISNUMBER(Amortize!F45)),F35+Amortize!F45,"SLO 不可達")</f>
        <v>0.135108233638479</v>
      </c>
      <c r="G38" s="155" t="n">
        <f aca="false">IF(AND(ISNUMBER(G35),ISNUMBER(Amortize!G45)),G35+Amortize!G45,"SLO 不可達")</f>
        <v>0.180387551537768</v>
      </c>
      <c r="H38" s="155" t="n">
        <f aca="false">IF(AND(ISNUMBER(H35),ISNUMBER(Amortize!H45)),H35+Amortize!H45,"SLO 不可達")</f>
        <v>0.292554884124029</v>
      </c>
      <c r="I38" s="155" t="n">
        <f aca="false">IF(AND(ISNUMBER(I35),ISNUMBER(Amortize!I45)),I35+Amortize!I45,"SLO 不可達")</f>
        <v>0.120527949503246</v>
      </c>
      <c r="J38" s="155" t="n">
        <f aca="false">IF(AND(ISNUMBER(J35),ISNUMBER(Amortize!J45)),J35+Amortize!J45,"SLO 不可達")</f>
        <v>0.155659865569935</v>
      </c>
      <c r="K38" s="155" t="n">
        <f aca="false">IF(AND(ISNUMBER(K35),ISNUMBER(Amortize!K45)),K35+Amortize!K45,"SLO 不可達")</f>
        <v>0.264996929056752</v>
      </c>
      <c r="L38" s="155" t="n">
        <f aca="false">IF(AND(ISNUMBER(L35),ISNUMBER(Amortize!L45)),L35+Amortize!L45,"SLO 不可達")</f>
        <v>0.0834825900885852</v>
      </c>
      <c r="M38" s="155" t="n">
        <f aca="false">IF(AND(ISNUMBER(M35),ISNUMBER(Amortize!M45)),M35+Amortize!M45,"SLO 不可達")</f>
        <v>0.107287815966711</v>
      </c>
      <c r="N38" s="155" t="n">
        <f aca="false">IF(AND(ISNUMBER(N35),ISNUMBER(Amortize!N45)),N35+Amortize!N45,"SLO 不可達")</f>
        <v>0.173307727675253</v>
      </c>
      <c r="O38" s="155" t="n">
        <f aca="false">IF(AND(ISNUMBER(O35),ISNUMBER(Amortize!O45)),O35+Amortize!O45,"SLO 不可達")</f>
        <v>0.0636841842150605</v>
      </c>
      <c r="P38" s="155" t="n">
        <f aca="false">IF(AND(ISNUMBER(P35),ISNUMBER(Amortize!P45)),P35+Amortize!P45,"SLO 不可達")</f>
        <v>0.0967752306680225</v>
      </c>
      <c r="Q38" s="155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1749</v>
      </c>
      <c r="B39" s="59" t="s">
        <v>89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1750</v>
      </c>
      <c r="B40" s="59" t="s">
        <v>89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1751</v>
      </c>
      <c r="B41" s="59" t="s">
        <v>89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1752</v>
      </c>
      <c r="B42" s="59" t="s">
        <v>89</v>
      </c>
      <c r="C42" s="116" t="n">
        <f aca="false">IF(ISNUMBER(C38),1-C38/INDEX(B4_EffRef,1,2),"SLO 不可達")</f>
        <v>0.606225825808742</v>
      </c>
      <c r="D42" s="116" t="n">
        <f aca="false">IF(ISNUMBER(D38),1-D38/INDEX(B4_EffRef,1,2),"SLO 不可達")</f>
        <v>0.437383786696149</v>
      </c>
      <c r="E42" s="116" t="n">
        <f aca="false">IF(ISNUMBER(E38),1-E38/INDEX(B4_EffRef,1,2),"SLO 不可達")</f>
        <v>0.0337949406836049</v>
      </c>
      <c r="F42" s="116" t="n">
        <f aca="false">IF(ISNUMBER(F38),1-F38/INDEX(B4_EffRef,1,2),"SLO 不可達")</f>
        <v>0.915930994002606</v>
      </c>
      <c r="G42" s="116" t="n">
        <f aca="false">IF(ISNUMBER(G38),1-G38/INDEX(B4_EffRef,1,2),"SLO 不可達")</f>
        <v>0.887756639668148</v>
      </c>
      <c r="H42" s="116" t="n">
        <f aca="false">IF(ISNUMBER(H38),1-H38/INDEX(B4_EffRef,1,2),"SLO 不可達")</f>
        <v>0.817962254071055</v>
      </c>
      <c r="I42" s="116" t="n">
        <f aca="false">IF(ISNUMBER(I38),1-I38/INDEX(B4_EffRef,1,2),"SLO 不可達")</f>
        <v>0.925003350004894</v>
      </c>
      <c r="J42" s="116" t="n">
        <f aca="false">IF(ISNUMBER(J38),1-J38/INDEX(B4_EffRef,1,2),"SLO 不可達")</f>
        <v>0.903143059310743</v>
      </c>
      <c r="K42" s="116" t="n">
        <f aca="false">IF(ISNUMBER(K38),1-K38/INDEX(B4_EffRef,1,2),"SLO 不可達")</f>
        <v>0.835109764829178</v>
      </c>
      <c r="L42" s="116" t="n">
        <f aca="false">IF(ISNUMBER(L38),1-L38/INDEX(B4_EffRef,1,2),"SLO 不可達")</f>
        <v>0.948054251189348</v>
      </c>
      <c r="M42" s="116" t="n">
        <f aca="false">IF(ISNUMBER(M38),1-M38/INDEX(B4_EffRef,1,2),"SLO 不可達")</f>
        <v>0.933241818051687</v>
      </c>
      <c r="N42" s="116" t="n">
        <f aca="false">IF(ISNUMBER(N38),1-N38/INDEX(B4_EffRef,1,2),"SLO 不可達")</f>
        <v>0.892161950423308</v>
      </c>
      <c r="O42" s="116" t="n">
        <f aca="false">IF(ISNUMBER(O38),1-O38/INDEX(B4_EffRef,1,2),"SLO 不可達")</f>
        <v>0.960373502631669</v>
      </c>
      <c r="P42" s="116" t="n">
        <f aca="false">IF(ISNUMBER(P38),1-P38/INDEX(B4_EffRef,1,2),"SLO 不可達")</f>
        <v>0.939783111448271</v>
      </c>
      <c r="Q42" s="116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1753</v>
      </c>
      <c r="B43" s="59" t="s">
        <v>89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1759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1737</v>
      </c>
      <c r="B46" s="59" t="s">
        <v>783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1760</v>
      </c>
      <c r="B47" s="59" t="s">
        <v>1739</v>
      </c>
      <c r="C47" s="110" t="n">
        <f aca="false">C46*INDEX(B4_EffRef,1,3)/1000000000</f>
        <v>18.6899868774826</v>
      </c>
      <c r="D47" s="110" t="n">
        <f aca="false">D46*INDEX(B4_EffRef,1,3)/1000000000</f>
        <v>18.6899868774826</v>
      </c>
      <c r="E47" s="110" t="n">
        <f aca="false">E46*INDEX(B4_EffRef,1,3)/1000000000</f>
        <v>18.6899868774826</v>
      </c>
      <c r="F47" s="110" t="n">
        <f aca="false">F46*INDEX(B4_EffRef,1,3)/1000000000</f>
        <v>96.6283848132214</v>
      </c>
      <c r="G47" s="110" t="n">
        <f aca="false">G46*INDEX(B4_EffRef,1,3)/1000000000</f>
        <v>96.6283848132214</v>
      </c>
      <c r="H47" s="110" t="n">
        <f aca="false">H46*INDEX(B4_EffRef,1,3)/1000000000</f>
        <v>96.6283848132214</v>
      </c>
      <c r="I47" s="110" t="n">
        <f aca="false">I46*INDEX(B4_EffRef,1,3)/1000000000</f>
        <v>116.841337205439</v>
      </c>
      <c r="J47" s="110" t="n">
        <f aca="false">J46*INDEX(B4_EffRef,1,3)/1000000000</f>
        <v>116.841337205439</v>
      </c>
      <c r="K47" s="110" t="n">
        <f aca="false">K46*INDEX(B4_EffRef,1,3)/1000000000</f>
        <v>116.841337205439</v>
      </c>
      <c r="L47" s="110" t="n">
        <f aca="false">L46*INDEX(B4_EffRef,1,3)/1000000000</f>
        <v>246.697456312585</v>
      </c>
      <c r="M47" s="110" t="n">
        <f aca="false">M46*INDEX(B4_EffRef,1,3)/1000000000</f>
        <v>246.697456312585</v>
      </c>
      <c r="N47" s="110" t="n">
        <f aca="false">N46*INDEX(B4_EffRef,1,3)/1000000000</f>
        <v>246.697456312585</v>
      </c>
      <c r="O47" s="110" t="n">
        <f aca="false">O46*INDEX(B4_EffRef,1,3)/1000000000</f>
        <v>358.71180915499</v>
      </c>
      <c r="P47" s="110" t="n">
        <f aca="false">P46*INDEX(B4_EffRef,1,3)/1000000000</f>
        <v>358.71180915499</v>
      </c>
      <c r="Q47" s="110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1761</v>
      </c>
      <c r="B48" s="59" t="s">
        <v>1739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1741</v>
      </c>
      <c r="B49" s="59" t="s">
        <v>1739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1742</v>
      </c>
      <c r="B50" s="59" t="s">
        <v>1739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1743</v>
      </c>
      <c r="B51" s="59" t="s">
        <v>93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1744</v>
      </c>
      <c r="B52" s="59" t="s">
        <v>93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1745</v>
      </c>
      <c r="B53" s="59" t="s">
        <v>791</v>
      </c>
      <c r="C53" s="154" t="n">
        <f aca="false">Amortize!C33</f>
        <v>2.55728838640192</v>
      </c>
      <c r="D53" s="154" t="n">
        <f aca="false">Amortize!D33</f>
        <v>3.65375785529338</v>
      </c>
      <c r="E53" s="154" t="n">
        <f aca="false">Amortize!E33</f>
        <v>6.2746859722702</v>
      </c>
      <c r="F53" s="154" t="n">
        <f aca="false">Amortize!F33</f>
        <v>0.500258998810704</v>
      </c>
      <c r="G53" s="154" t="n">
        <f aca="false">Amortize!G33</f>
        <v>0.667876164712613</v>
      </c>
      <c r="H53" s="154" t="n">
        <f aca="false">Amortize!H33</f>
        <v>1.08310261394278</v>
      </c>
      <c r="I53" s="154" t="n">
        <f aca="false">Amortize!I33</f>
        <v>0.536385918424571</v>
      </c>
      <c r="J53" s="154" t="n">
        <f aca="false">Amortize!J33</f>
        <v>0.692708368266773</v>
      </c>
      <c r="K53" s="154" t="n">
        <f aca="false">Amortize!K33</f>
        <v>1.1792129355203</v>
      </c>
      <c r="L53" s="154" t="n">
        <f aca="false">Amortize!L33</f>
        <v>0.275196951960023</v>
      </c>
      <c r="M53" s="154" t="n">
        <f aca="false">Amortize!M33</f>
        <v>0.353635347542499</v>
      </c>
      <c r="N53" s="154" t="n">
        <f aca="false">Amortize!N33</f>
        <v>0.571171445600413</v>
      </c>
      <c r="O53" s="154" t="n">
        <f aca="false">Amortize!O33</f>
        <v>0.199188660250764</v>
      </c>
      <c r="P53" s="154" t="n">
        <f aca="false">Amortize!P33</f>
        <v>0.302623399033489</v>
      </c>
      <c r="Q53" s="154" t="n">
        <f aca="false">Amortize!Q33</f>
        <v>0.5522672750739</v>
      </c>
    </row>
    <row r="54" customFormat="false" ht="15" hidden="false" customHeight="false" outlineLevel="0" collapsed="false">
      <c r="A54" s="5" t="s">
        <v>1762</v>
      </c>
      <c r="B54" s="59" t="s">
        <v>791</v>
      </c>
      <c r="C54" s="155" t="n">
        <f aca="false">IF(AND(ISNUMBER(C53),ISNUMBER(Amortize!C32)),C53+Amortize!C32,"SLO 不可達")</f>
        <v>6.77389042755267</v>
      </c>
      <c r="D54" s="155" t="n">
        <f aca="false">IF(AND(ISNUMBER(D53),ISNUMBER(Amortize!D32)),D53+Amortize!D32,"SLO 不可達")</f>
        <v>9.67843874087721</v>
      </c>
      <c r="E54" s="155" t="n">
        <f aca="false">IF(AND(ISNUMBER(E53),ISNUMBER(Amortize!E32)),E53+Amortize!E32,"SLO 不可達")</f>
        <v>16.6212789726315</v>
      </c>
      <c r="F54" s="155" t="n">
        <f aca="false">IF(AND(ISNUMBER(F53),ISNUMBER(Amortize!F32)),F53+Amortize!F32,"SLO 不可達")</f>
        <v>0.902351992967805</v>
      </c>
      <c r="G54" s="155" t="n">
        <f aca="false">IF(AND(ISNUMBER(G53),ISNUMBER(Amortize!G32)),G53+Amortize!G32,"SLO 不可達")</f>
        <v>1.20475489470766</v>
      </c>
      <c r="H54" s="155" t="n">
        <f aca="false">IF(AND(ISNUMBER(H53),ISNUMBER(Amortize!H32)),H53+Amortize!H32,"SLO 不可達")</f>
        <v>1.95387675493419</v>
      </c>
      <c r="I54" s="155" t="n">
        <f aca="false">IF(AND(ISNUMBER(I53),ISNUMBER(Amortize!I32)),I53+Amortize!I32,"SLO 不可達")</f>
        <v>0.903208960889859</v>
      </c>
      <c r="J54" s="155" t="n">
        <f aca="false">IF(AND(ISNUMBER(J53),ISNUMBER(Amortize!J32)),J53+Amortize!J32,"SLO 不可達")</f>
        <v>1.16648155597062</v>
      </c>
      <c r="K54" s="155" t="n">
        <f aca="false">IF(AND(ISNUMBER(K53),ISNUMBER(Amortize!K32)),K53+Amortize!K32,"SLO 不可達")</f>
        <v>1.98583488665837</v>
      </c>
      <c r="L54" s="155" t="n">
        <f aca="false">IF(AND(ISNUMBER(L53),ISNUMBER(Amortize!L32)),L53+Amortize!L32,"SLO 不可達")</f>
        <v>0.411354577285165</v>
      </c>
      <c r="M54" s="155" t="n">
        <f aca="false">IF(AND(ISNUMBER(M53),ISNUMBER(Amortize!M32)),M53+Amortize!M32,"SLO 不可達")</f>
        <v>0.528632996816382</v>
      </c>
      <c r="N54" s="155" t="n">
        <f aca="false">IF(AND(ISNUMBER(N53),ISNUMBER(Amortize!N32)),N53+Amortize!N32,"SLO 不可達")</f>
        <v>0.85388556708848</v>
      </c>
      <c r="O54" s="155" t="n">
        <f aca="false">IF(AND(ISNUMBER(O53),ISNUMBER(Amortize!O32)),O53+Amortize!O32,"SLO 不可達")</f>
        <v>0.268797402426283</v>
      </c>
      <c r="P54" s="155" t="n">
        <f aca="false">IF(AND(ISNUMBER(P53),ISNUMBER(Amortize!P32)),P53+Amortize!P32,"SLO 不可達")</f>
        <v>0.408419142668617</v>
      </c>
      <c r="Q54" s="155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1747</v>
      </c>
      <c r="B55" s="59" t="s">
        <v>791</v>
      </c>
      <c r="C55" s="154" t="n">
        <f aca="false">IF(AND(ISNUMBER(C53),ISNUMBER(Amortize!C34)),C53+Amortize!C34,"SLO 不可達")</f>
        <v>6.23728874732176</v>
      </c>
      <c r="D55" s="154" t="n">
        <f aca="false">IF(AND(ISNUMBER(D53),ISNUMBER(Amortize!D34)),D53+Amortize!D34,"SLO 不可達")</f>
        <v>8.91160452510582</v>
      </c>
      <c r="E55" s="154" t="n">
        <f aca="false">IF(AND(ISNUMBER(E53),ISNUMBER(Amortize!E34)),E53+Amortize!E34,"SLO 不可達")</f>
        <v>15.3041121274883</v>
      </c>
      <c r="F55" s="154" t="n">
        <f aca="false">IF(AND(ISNUMBER(F53),ISNUMBER(Amortize!F34)),F53+Amortize!F34,"SLO 不可達")</f>
        <v>1.2201438995383</v>
      </c>
      <c r="G55" s="154" t="n">
        <f aca="false">IF(AND(ISNUMBER(G53),ISNUMBER(Amortize!G34)),G53+Amortize!G34,"SLO 不可達")</f>
        <v>1.62896625539662</v>
      </c>
      <c r="H55" s="154" t="n">
        <f aca="false">IF(AND(ISNUMBER(H53),ISNUMBER(Amortize!H34)),H53+Amortize!H34,"SLO 不可達")</f>
        <v>2.64171369254338</v>
      </c>
      <c r="I55" s="154" t="n">
        <f aca="false">IF(AND(ISNUMBER(I53),ISNUMBER(Amortize!I34)),I53+Amortize!I34,"SLO 不可達")</f>
        <v>1.30825833762091</v>
      </c>
      <c r="J55" s="154" t="n">
        <f aca="false">IF(AND(ISNUMBER(J53),ISNUMBER(Amortize!J34)),J53+Amortize!J34,"SLO 不可達")</f>
        <v>1.68953260552871</v>
      </c>
      <c r="K55" s="154" t="n">
        <f aca="false">IF(AND(ISNUMBER(K53),ISNUMBER(Amortize!K34)),K53+Amortize!K34,"SLO 不可達")</f>
        <v>2.87612911102512</v>
      </c>
      <c r="L55" s="154" t="n">
        <f aca="false">IF(AND(ISNUMBER(L53),ISNUMBER(Amortize!L34)),L53+Amortize!L34,"SLO 不可達")</f>
        <v>0.671212077951276</v>
      </c>
      <c r="M55" s="154" t="n">
        <f aca="false">IF(AND(ISNUMBER(M53),ISNUMBER(Amortize!M34)),M53+Amortize!M34,"SLO 不可達")</f>
        <v>0.862525237908535</v>
      </c>
      <c r="N55" s="154" t="n">
        <f aca="false">IF(AND(ISNUMBER(N53),ISNUMBER(Amortize!N34)),N53+Amortize!N34,"SLO 不可達")</f>
        <v>1.39310108683028</v>
      </c>
      <c r="O55" s="154" t="n">
        <f aca="false">IF(AND(ISNUMBER(O53),ISNUMBER(Amortize!O34)),O53+Amortize!O34,"SLO 不可達")</f>
        <v>0.48582600061162</v>
      </c>
      <c r="P55" s="154" t="n">
        <f aca="false">IF(AND(ISNUMBER(P53),ISNUMBER(Amortize!P34)),P53+Amortize!P34,"SLO 不可達")</f>
        <v>0.738105851301193</v>
      </c>
      <c r="Q55" s="154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1763</v>
      </c>
      <c r="B56" s="59" t="s">
        <v>791</v>
      </c>
      <c r="C56" s="155" t="n">
        <f aca="false">IF(AND(ISNUMBER(C53),ISNUMBER(Amortize!C47)),C53+Amortize!C47,"SLO 不可達")</f>
        <v>11.7639866412391</v>
      </c>
      <c r="D56" s="155" t="n">
        <f aca="false">IF(AND(ISNUMBER(D53),ISNUMBER(Amortize!D47)),D53+Amortize!D47,"SLO 不可達")</f>
        <v>16.8079985984148</v>
      </c>
      <c r="E56" s="155" t="n">
        <f aca="false">IF(AND(ISNUMBER(E53),ISNUMBER(Amortize!E47)),E53+Amortize!E47,"SLO 不可達")</f>
        <v>28.8648712574359</v>
      </c>
      <c r="F56" s="155" t="n">
        <f aca="false">IF(AND(ISNUMBER(F53),ISNUMBER(Amortize!F47)),F53+Amortize!F47,"SLO 不可達")</f>
        <v>2.40551439657061</v>
      </c>
      <c r="G56" s="155" t="n">
        <f aca="false">IF(AND(ISNUMBER(G53),ISNUMBER(Amortize!G47)),G53+Amortize!G47,"SLO 不可達")</f>
        <v>3.21156892179189</v>
      </c>
      <c r="H56" s="155" t="n">
        <f aca="false">IF(AND(ISNUMBER(H53),ISNUMBER(Amortize!H47)),H53+Amortize!H47,"SLO 不可達")</f>
        <v>5.20835222613085</v>
      </c>
      <c r="I56" s="155" t="n">
        <f aca="false">IF(AND(ISNUMBER(I53),ISNUMBER(Amortize!I47)),I53+Amortize!I47,"SLO 不可達")</f>
        <v>2.42352547869363</v>
      </c>
      <c r="J56" s="155" t="n">
        <f aca="false">IF(AND(ISNUMBER(J53),ISNUMBER(Amortize!J47)),J53+Amortize!J47,"SLO 不可達")</f>
        <v>3.1298524098591</v>
      </c>
      <c r="K56" s="155" t="n">
        <f aca="false">IF(AND(ISNUMBER(K53),ISNUMBER(Amortize!K47)),K53+Amortize!K47,"SLO 不可達")</f>
        <v>5.32807332011891</v>
      </c>
      <c r="L56" s="155" t="n">
        <f aca="false">IF(AND(ISNUMBER(L53),ISNUMBER(Amortize!L47)),L53+Amortize!L47,"SLO 不可達")</f>
        <v>1.38899655639526</v>
      </c>
      <c r="M56" s="155" t="n">
        <f aca="false">IF(AND(ISNUMBER(M53),ISNUMBER(Amortize!M47)),M53+Amortize!M47,"SLO 不可達")</f>
        <v>1.78497325506045</v>
      </c>
      <c r="N56" s="155" t="n">
        <f aca="false">IF(AND(ISNUMBER(N53),ISNUMBER(Amortize!N47)),N53+Amortize!N47,"SLO 不可達")</f>
        <v>2.88315005112846</v>
      </c>
      <c r="O56" s="155" t="n">
        <f aca="false">IF(AND(ISNUMBER(O53),ISNUMBER(Amortize!O47)),O53+Amortize!O47,"SLO 不可達")</f>
        <v>1.03397968014205</v>
      </c>
      <c r="P56" s="155" t="n">
        <f aca="false">IF(AND(ISNUMBER(P53),ISNUMBER(Amortize!P47)),P53+Amortize!P47,"SLO 不可達")</f>
        <v>1.57106470453646</v>
      </c>
      <c r="Q56" s="155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1749</v>
      </c>
      <c r="B57" s="59" t="s">
        <v>89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1750</v>
      </c>
      <c r="B58" s="59" t="s">
        <v>89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1751</v>
      </c>
      <c r="B59" s="59" t="s">
        <v>89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1752</v>
      </c>
      <c r="B60" s="59" t="s">
        <v>89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1753</v>
      </c>
      <c r="B61" s="59" t="s">
        <v>89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1764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1765</v>
      </c>
      <c r="B64" s="59" t="s">
        <v>1739</v>
      </c>
      <c r="C64" s="93" t="n">
        <f aca="false">IF(Fleet_1GW!C18=1,Fleet_1GW!C21*INDEX(B4_EffRef,1,1)/1000000000,"SLO 不可達")</f>
        <v>0.0656538975388793</v>
      </c>
      <c r="D64" s="93" t="n">
        <f aca="false">IF(Fleet_1GW!D18=1,Fleet_1GW!D21*INDEX(B4_EffRef,1,1)/1000000000,"SLO 不可達")</f>
        <v>0.0656538975388793</v>
      </c>
      <c r="E64" s="93" t="n">
        <f aca="false">IF(Fleet_1GW!E18=1,Fleet_1GW!E21*INDEX(B4_EffRef,1,1)/1000000000,"SLO 不可達")</f>
        <v>0.0656538975388793</v>
      </c>
      <c r="F64" s="93" t="n">
        <f aca="false">IF(Fleet_1GW!F18=1,Fleet_1GW!F21*INDEX(B4_EffRef,1,1)/1000000000,"SLO 不可達")</f>
        <v>0.330731407559226</v>
      </c>
      <c r="G64" s="93" t="n">
        <f aca="false">IF(Fleet_1GW!G18=1,Fleet_1GW!G21*INDEX(B4_EffRef,1,1)/1000000000,"SLO 不可達")</f>
        <v>0.330731407559226</v>
      </c>
      <c r="H64" s="93" t="n">
        <f aca="false">IF(Fleet_1GW!H18=1,Fleet_1GW!H21*INDEX(B4_EffRef,1,1)/1000000000,"SLO 不可達")</f>
        <v>0.330731407559226</v>
      </c>
      <c r="I64" s="93" t="n">
        <f aca="false">IF(Fleet_1GW!I18=1,Fleet_1GW!I21*INDEX(B4_EffRef,1,1)/1000000000,"SLO 不可達")</f>
        <v>0.430577634420929</v>
      </c>
      <c r="J64" s="93" t="n">
        <f aca="false">IF(Fleet_1GW!J18=1,Fleet_1GW!J21*INDEX(B4_EffRef,1,1)/1000000000,"SLO 不可達")</f>
        <v>0.430577634420929</v>
      </c>
      <c r="K64" s="93" t="n">
        <f aca="false">IF(Fleet_1GW!K18=1,Fleet_1GW!K21*INDEX(B4_EffRef,1,1)/1000000000,"SLO 不可達")</f>
        <v>0.430577634420929</v>
      </c>
      <c r="L64" s="93" t="n">
        <f aca="false">IF(Fleet_1GW!L18=1,Fleet_1GW!L21*INDEX(B4_EffRef,1,1)/1000000000,"SLO 不可達")</f>
        <v>0.798749212524483</v>
      </c>
      <c r="M64" s="93" t="n">
        <f aca="false">IF(Fleet_1GW!M18=1,Fleet_1GW!M21*INDEX(B4_EffRef,1,1)/1000000000,"SLO 不可達")</f>
        <v>0.798749212524483</v>
      </c>
      <c r="N64" s="93" t="n">
        <f aca="false">IF(Fleet_1GW!N18=1,Fleet_1GW!N21*INDEX(B4_EffRef,1,1)/1000000000,"SLO 不可達")</f>
        <v>0.798749212524483</v>
      </c>
      <c r="O64" s="93" t="n">
        <f aca="false">IF(Fleet_1GW!O18=1,Fleet_1GW!O21*INDEX(B4_EffRef,1,1)/1000000000,"SLO 不可達")</f>
        <v>1.12996107729852</v>
      </c>
      <c r="P64" s="93" t="n">
        <f aca="false">IF(Fleet_1GW!P18=1,Fleet_1GW!P21*INDEX(B4_EffRef,1,1)/1000000000,"SLO 不可達")</f>
        <v>1.12996107729852</v>
      </c>
      <c r="Q64" s="93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1766</v>
      </c>
      <c r="B65" s="59" t="s">
        <v>1739</v>
      </c>
      <c r="C65" s="93" t="n">
        <f aca="false">IF(Fleet_1GW!C18=1,Fleet_1GW!C24*INDEX(B4_EffRef,1,2)/1000000000,"SLO 不可達")</f>
        <v>1.47721269462479</v>
      </c>
      <c r="D65" s="93" t="n">
        <f aca="false">IF(Fleet_1GW!D18=1,Fleet_1GW!D24*INDEX(B4_EffRef,1,2)/1000000000,"SLO 不可達")</f>
        <v>1.47721269462479</v>
      </c>
      <c r="E65" s="93" t="n">
        <f aca="false">IF(Fleet_1GW!E18=1,Fleet_1GW!E24*INDEX(B4_EffRef,1,2)/1000000000,"SLO 不可達")</f>
        <v>1.47721269462479</v>
      </c>
      <c r="F65" s="93" t="n">
        <f aca="false">IF(Fleet_1GW!F18=1,Fleet_1GW!F24*INDEX(B4_EffRef,1,2)/1000000000,"SLO 不可達")</f>
        <v>7.44145667008259</v>
      </c>
      <c r="G65" s="93" t="n">
        <f aca="false">IF(Fleet_1GW!G18=1,Fleet_1GW!G24*INDEX(B4_EffRef,1,2)/1000000000,"SLO 不可達")</f>
        <v>7.44145667008259</v>
      </c>
      <c r="H65" s="93" t="n">
        <f aca="false">IF(Fleet_1GW!H18=1,Fleet_1GW!H24*INDEX(B4_EffRef,1,2)/1000000000,"SLO 不可達")</f>
        <v>7.44145667008259</v>
      </c>
      <c r="I65" s="93" t="n">
        <f aca="false">IF(Fleet_1GW!I18=1,Fleet_1GW!I24*INDEX(B4_EffRef,1,2)/1000000000,"SLO 不可達")</f>
        <v>9.6879967744709</v>
      </c>
      <c r="J65" s="93" t="n">
        <f aca="false">IF(Fleet_1GW!J18=1,Fleet_1GW!J24*INDEX(B4_EffRef,1,2)/1000000000,"SLO 不可達")</f>
        <v>9.6879967744709</v>
      </c>
      <c r="K65" s="93" t="n">
        <f aca="false">IF(Fleet_1GW!K18=1,Fleet_1GW!K24*INDEX(B4_EffRef,1,2)/1000000000,"SLO 不可達")</f>
        <v>9.6879967744709</v>
      </c>
      <c r="L65" s="93" t="n">
        <f aca="false">IF(Fleet_1GW!L18=1,Fleet_1GW!L24*INDEX(B4_EffRef,1,2)/1000000000,"SLO 不可達")</f>
        <v>17.9718572818009</v>
      </c>
      <c r="M65" s="93" t="n">
        <f aca="false">IF(Fleet_1GW!M18=1,Fleet_1GW!M24*INDEX(B4_EffRef,1,2)/1000000000,"SLO 不可達")</f>
        <v>17.9718572818009</v>
      </c>
      <c r="N65" s="93" t="n">
        <f aca="false">IF(Fleet_1GW!N18=1,Fleet_1GW!N24*INDEX(B4_EffRef,1,2)/1000000000,"SLO 不可達")</f>
        <v>17.9718572818009</v>
      </c>
      <c r="O65" s="93" t="n">
        <f aca="false">IF(Fleet_1GW!O18=1,Fleet_1GW!O24*INDEX(B4_EffRef,1,2)/1000000000,"SLO 不可達")</f>
        <v>25.4241242392166</v>
      </c>
      <c r="P65" s="93" t="n">
        <f aca="false">IF(Fleet_1GW!P18=1,Fleet_1GW!P24*INDEX(B4_EffRef,1,2)/1000000000,"SLO 不可達")</f>
        <v>25.4241242392166</v>
      </c>
      <c r="Q65" s="93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1767</v>
      </c>
      <c r="B66" s="59" t="s">
        <v>1739</v>
      </c>
      <c r="C66" s="93" t="n">
        <f aca="false">IF(Fleet_1GW!C18=1,Fleet_1GW!C27*INDEX(B4_EffRef,1,3)/1000000000,"SLO 不可達")</f>
        <v>2.46202115770797</v>
      </c>
      <c r="D66" s="93" t="n">
        <f aca="false">IF(Fleet_1GW!D18=1,Fleet_1GW!D27*INDEX(B4_EffRef,1,3)/1000000000,"SLO 不可達")</f>
        <v>2.46202115770797</v>
      </c>
      <c r="E66" s="93" t="n">
        <f aca="false">IF(Fleet_1GW!E18=1,Fleet_1GW!E27*INDEX(B4_EffRef,1,3)/1000000000,"SLO 不可達")</f>
        <v>2.46202115770797</v>
      </c>
      <c r="F66" s="93" t="n">
        <f aca="false">IF(Fleet_1GW!F18=1,Fleet_1GW!F27*INDEX(B4_EffRef,1,3)/1000000000,"SLO 不可達")</f>
        <v>12.402427783471</v>
      </c>
      <c r="G66" s="93" t="n">
        <f aca="false">IF(Fleet_1GW!G18=1,Fleet_1GW!G27*INDEX(B4_EffRef,1,3)/1000000000,"SLO 不可達")</f>
        <v>12.402427783471</v>
      </c>
      <c r="H66" s="93" t="n">
        <f aca="false">IF(Fleet_1GW!H18=1,Fleet_1GW!H27*INDEX(B4_EffRef,1,3)/1000000000,"SLO 不可達")</f>
        <v>12.402427783471</v>
      </c>
      <c r="I66" s="93" t="n">
        <f aca="false">IF(Fleet_1GW!I18=1,Fleet_1GW!I27*INDEX(B4_EffRef,1,3)/1000000000,"SLO 不可達")</f>
        <v>16.1466612907848</v>
      </c>
      <c r="J66" s="93" t="n">
        <f aca="false">IF(Fleet_1GW!J18=1,Fleet_1GW!J27*INDEX(B4_EffRef,1,3)/1000000000,"SLO 不可達")</f>
        <v>16.1466612907848</v>
      </c>
      <c r="K66" s="93" t="n">
        <f aca="false">IF(Fleet_1GW!K18=1,Fleet_1GW!K27*INDEX(B4_EffRef,1,3)/1000000000,"SLO 不可達")</f>
        <v>16.1466612907848</v>
      </c>
      <c r="L66" s="93" t="n">
        <f aca="false">IF(Fleet_1GW!L18=1,Fleet_1GW!L27*INDEX(B4_EffRef,1,3)/1000000000,"SLO 不可達")</f>
        <v>29.9530954696681</v>
      </c>
      <c r="M66" s="93" t="n">
        <f aca="false">IF(Fleet_1GW!M18=1,Fleet_1GW!M27*INDEX(B4_EffRef,1,3)/1000000000,"SLO 不可達")</f>
        <v>29.9530954696681</v>
      </c>
      <c r="N66" s="93" t="n">
        <f aca="false">IF(Fleet_1GW!N18=1,Fleet_1GW!N27*INDEX(B4_EffRef,1,3)/1000000000,"SLO 不可達")</f>
        <v>29.9530954696681</v>
      </c>
      <c r="O66" s="93" t="n">
        <f aca="false">IF(Fleet_1GW!O18=1,Fleet_1GW!O27*INDEX(B4_EffRef,1,3)/1000000000,"SLO 不可達")</f>
        <v>42.3735403986943</v>
      </c>
      <c r="P66" s="93" t="n">
        <f aca="false">IF(Fleet_1GW!P18=1,Fleet_1GW!P27*INDEX(B4_EffRef,1,3)/1000000000,"SLO 不可達")</f>
        <v>42.3735403986943</v>
      </c>
      <c r="Q66" s="93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1768</v>
      </c>
      <c r="B67" s="59" t="s">
        <v>1739</v>
      </c>
      <c r="C67" s="158" t="n">
        <f aca="false">IF(Fleet_1GW!C18=1,(Fleet_1GW!C21*INDEX(B4_EffRef,1,1)+Fleet_1GW!C24*INDEX(B4_EffRef,1,2)+Fleet_1GW!C27*INDEX(B4_EffRef,1,3))/1000000000,"SLO 不可達")</f>
        <v>4.00488774987164</v>
      </c>
      <c r="D67" s="158" t="n">
        <f aca="false">IF(Fleet_1GW!D18=1,(Fleet_1GW!D21*INDEX(B4_EffRef,1,1)+Fleet_1GW!D24*INDEX(B4_EffRef,1,2)+Fleet_1GW!D27*INDEX(B4_EffRef,1,3))/1000000000,"SLO 不可達")</f>
        <v>4.00488774987164</v>
      </c>
      <c r="E67" s="158" t="n">
        <f aca="false">IF(Fleet_1GW!E18=1,(Fleet_1GW!E21*INDEX(B4_EffRef,1,1)+Fleet_1GW!E24*INDEX(B4_EffRef,1,2)+Fleet_1GW!E27*INDEX(B4_EffRef,1,3))/1000000000,"SLO 不可達")</f>
        <v>4.00488774987164</v>
      </c>
      <c r="F67" s="158" t="n">
        <f aca="false">IF(Fleet_1GW!F18=1,(Fleet_1GW!F21*INDEX(B4_EffRef,1,1)+Fleet_1GW!F24*INDEX(B4_EffRef,1,2)+Fleet_1GW!F27*INDEX(B4_EffRef,1,3))/1000000000,"SLO 不可達")</f>
        <v>20.1746158611128</v>
      </c>
      <c r="G67" s="158" t="n">
        <f aca="false">IF(Fleet_1GW!G18=1,(Fleet_1GW!G21*INDEX(B4_EffRef,1,1)+Fleet_1GW!G24*INDEX(B4_EffRef,1,2)+Fleet_1GW!G27*INDEX(B4_EffRef,1,3))/1000000000,"SLO 不可達")</f>
        <v>20.1746158611128</v>
      </c>
      <c r="H67" s="158" t="n">
        <f aca="false">IF(Fleet_1GW!H18=1,(Fleet_1GW!H21*INDEX(B4_EffRef,1,1)+Fleet_1GW!H24*INDEX(B4_EffRef,1,2)+Fleet_1GW!H27*INDEX(B4_EffRef,1,3))/1000000000,"SLO 不可達")</f>
        <v>20.1746158611128</v>
      </c>
      <c r="I67" s="158" t="n">
        <f aca="false">IF(Fleet_1GW!I18=1,(Fleet_1GW!I21*INDEX(B4_EffRef,1,1)+Fleet_1GW!I24*INDEX(B4_EffRef,1,2)+Fleet_1GW!I27*INDEX(B4_EffRef,1,3))/1000000000,"SLO 不可達")</f>
        <v>26.2652356996766</v>
      </c>
      <c r="J67" s="158" t="n">
        <f aca="false">IF(Fleet_1GW!J18=1,(Fleet_1GW!J21*INDEX(B4_EffRef,1,1)+Fleet_1GW!J24*INDEX(B4_EffRef,1,2)+Fleet_1GW!J27*INDEX(B4_EffRef,1,3))/1000000000,"SLO 不可達")</f>
        <v>26.2652356996766</v>
      </c>
      <c r="K67" s="158" t="n">
        <f aca="false">IF(Fleet_1GW!K18=1,(Fleet_1GW!K21*INDEX(B4_EffRef,1,1)+Fleet_1GW!K24*INDEX(B4_EffRef,1,2)+Fleet_1GW!K27*INDEX(B4_EffRef,1,3))/1000000000,"SLO 不可達")</f>
        <v>26.2652356996766</v>
      </c>
      <c r="L67" s="158" t="n">
        <f aca="false">IF(Fleet_1GW!L18=1,(Fleet_1GW!L21*INDEX(B4_EffRef,1,1)+Fleet_1GW!L24*INDEX(B4_EffRef,1,2)+Fleet_1GW!L27*INDEX(B4_EffRef,1,3))/1000000000,"SLO 不可達")</f>
        <v>48.7237019639935</v>
      </c>
      <c r="M67" s="158" t="n">
        <f aca="false">IF(Fleet_1GW!M18=1,(Fleet_1GW!M21*INDEX(B4_EffRef,1,1)+Fleet_1GW!M24*INDEX(B4_EffRef,1,2)+Fleet_1GW!M27*INDEX(B4_EffRef,1,3))/1000000000,"SLO 不可達")</f>
        <v>48.7237019639935</v>
      </c>
      <c r="N67" s="158" t="n">
        <f aca="false">IF(Fleet_1GW!N18=1,(Fleet_1GW!N21*INDEX(B4_EffRef,1,1)+Fleet_1GW!N24*INDEX(B4_EffRef,1,2)+Fleet_1GW!N27*INDEX(B4_EffRef,1,3))/1000000000,"SLO 不可達")</f>
        <v>48.7237019639935</v>
      </c>
      <c r="O67" s="158" t="n">
        <f aca="false">IF(Fleet_1GW!O18=1,(Fleet_1GW!O21*INDEX(B4_EffRef,1,1)+Fleet_1GW!O24*INDEX(B4_EffRef,1,2)+Fleet_1GW!O27*INDEX(B4_EffRef,1,3))/1000000000,"SLO 不可達")</f>
        <v>68.9276257152094</v>
      </c>
      <c r="P67" s="158" t="n">
        <f aca="false">IF(Fleet_1GW!P18=1,(Fleet_1GW!P21*INDEX(B4_EffRef,1,1)+Fleet_1GW!P24*INDEX(B4_EffRef,1,2)+Fleet_1GW!P27*INDEX(B4_EffRef,1,3))/1000000000,"SLO 不可達")</f>
        <v>68.9276257152094</v>
      </c>
      <c r="Q67" s="158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1769</v>
      </c>
      <c r="B68" s="59" t="s">
        <v>1739</v>
      </c>
      <c r="C68" s="93" t="n">
        <f aca="false">IF(Fleet_1GW!C18=1,Fleet_1GW!C21*INDEX(B4_FrontRef,1,1)/1000000000,"SLO 不可達")</f>
        <v>0.0656538975388793</v>
      </c>
      <c r="D68" s="93" t="n">
        <f aca="false">IF(Fleet_1GW!D18=1,Fleet_1GW!D21*INDEX(B4_FrontRef,1,1)/1000000000,"SLO 不可達")</f>
        <v>0.0656538975388793</v>
      </c>
      <c r="E68" s="93" t="n">
        <f aca="false">IF(Fleet_1GW!E18=1,Fleet_1GW!E21*INDEX(B4_FrontRef,1,1)/1000000000,"SLO 不可達")</f>
        <v>0.0656538975388793</v>
      </c>
      <c r="F68" s="93" t="n">
        <f aca="false">IF(Fleet_1GW!F18=1,Fleet_1GW!F21*INDEX(B4_FrontRef,1,1)/1000000000,"SLO 不可達")</f>
        <v>0.330731407559226</v>
      </c>
      <c r="G68" s="93" t="n">
        <f aca="false">IF(Fleet_1GW!G18=1,Fleet_1GW!G21*INDEX(B4_FrontRef,1,1)/1000000000,"SLO 不可達")</f>
        <v>0.330731407559226</v>
      </c>
      <c r="H68" s="93" t="n">
        <f aca="false">IF(Fleet_1GW!H18=1,Fleet_1GW!H21*INDEX(B4_FrontRef,1,1)/1000000000,"SLO 不可達")</f>
        <v>0.330731407559226</v>
      </c>
      <c r="I68" s="93" t="n">
        <f aca="false">IF(Fleet_1GW!I18=1,Fleet_1GW!I21*INDEX(B4_FrontRef,1,1)/1000000000,"SLO 不可達")</f>
        <v>0.430577634420929</v>
      </c>
      <c r="J68" s="93" t="n">
        <f aca="false">IF(Fleet_1GW!J18=1,Fleet_1GW!J21*INDEX(B4_FrontRef,1,1)/1000000000,"SLO 不可達")</f>
        <v>0.430577634420929</v>
      </c>
      <c r="K68" s="93" t="n">
        <f aca="false">IF(Fleet_1GW!K18=1,Fleet_1GW!K21*INDEX(B4_FrontRef,1,1)/1000000000,"SLO 不可達")</f>
        <v>0.430577634420929</v>
      </c>
      <c r="L68" s="93" t="n">
        <f aca="false">IF(Fleet_1GW!L18=1,Fleet_1GW!L21*INDEX(B4_FrontRef,1,1)/1000000000,"SLO 不可達")</f>
        <v>0.798749212524483</v>
      </c>
      <c r="M68" s="93" t="n">
        <f aca="false">IF(Fleet_1GW!M18=1,Fleet_1GW!M21*INDEX(B4_FrontRef,1,1)/1000000000,"SLO 不可達")</f>
        <v>0.798749212524483</v>
      </c>
      <c r="N68" s="93" t="n">
        <f aca="false">IF(Fleet_1GW!N18=1,Fleet_1GW!N21*INDEX(B4_FrontRef,1,1)/1000000000,"SLO 不可達")</f>
        <v>0.798749212524483</v>
      </c>
      <c r="O68" s="93" t="n">
        <f aca="false">IF(Fleet_1GW!O18=1,Fleet_1GW!O21*INDEX(B4_FrontRef,1,1)/1000000000,"SLO 不可達")</f>
        <v>1.12996107729852</v>
      </c>
      <c r="P68" s="93" t="n">
        <f aca="false">IF(Fleet_1GW!P18=1,Fleet_1GW!P21*INDEX(B4_FrontRef,1,1)/1000000000,"SLO 不可達")</f>
        <v>1.12996107729852</v>
      </c>
      <c r="Q68" s="93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1770</v>
      </c>
      <c r="B69" s="59" t="s">
        <v>1739</v>
      </c>
      <c r="C69" s="93" t="n">
        <f aca="false">IF(Fleet_1GW!C18=1,Fleet_1GW!C24*INDEX(B4_FrontRef,1,2)/1000000000,"SLO 不可達")</f>
        <v>1.47721269462478</v>
      </c>
      <c r="D69" s="93" t="n">
        <f aca="false">IF(Fleet_1GW!D18=1,Fleet_1GW!D24*INDEX(B4_FrontRef,1,2)/1000000000,"SLO 不可達")</f>
        <v>1.47721269462478</v>
      </c>
      <c r="E69" s="93" t="n">
        <f aca="false">IF(Fleet_1GW!E18=1,Fleet_1GW!E24*INDEX(B4_FrontRef,1,2)/1000000000,"SLO 不可達")</f>
        <v>1.47721269462478</v>
      </c>
      <c r="F69" s="93" t="n">
        <f aca="false">IF(Fleet_1GW!F18=1,Fleet_1GW!F24*INDEX(B4_FrontRef,1,2)/1000000000,"SLO 不可達")</f>
        <v>7.44145667008259</v>
      </c>
      <c r="G69" s="93" t="n">
        <f aca="false">IF(Fleet_1GW!G18=1,Fleet_1GW!G24*INDEX(B4_FrontRef,1,2)/1000000000,"SLO 不可達")</f>
        <v>7.44145667008259</v>
      </c>
      <c r="H69" s="93" t="n">
        <f aca="false">IF(Fleet_1GW!H18=1,Fleet_1GW!H24*INDEX(B4_FrontRef,1,2)/1000000000,"SLO 不可達")</f>
        <v>7.44145667008259</v>
      </c>
      <c r="I69" s="93" t="n">
        <f aca="false">IF(Fleet_1GW!I18=1,Fleet_1GW!I24*INDEX(B4_FrontRef,1,2)/1000000000,"SLO 不可達")</f>
        <v>9.68799677447089</v>
      </c>
      <c r="J69" s="93" t="n">
        <f aca="false">IF(Fleet_1GW!J18=1,Fleet_1GW!J24*INDEX(B4_FrontRef,1,2)/1000000000,"SLO 不可達")</f>
        <v>9.68799677447089</v>
      </c>
      <c r="K69" s="93" t="n">
        <f aca="false">IF(Fleet_1GW!K18=1,Fleet_1GW!K24*INDEX(B4_FrontRef,1,2)/1000000000,"SLO 不可達")</f>
        <v>9.68799677447089</v>
      </c>
      <c r="L69" s="93" t="n">
        <f aca="false">IF(Fleet_1GW!L18=1,Fleet_1GW!L24*INDEX(B4_FrontRef,1,2)/1000000000,"SLO 不可達")</f>
        <v>17.9718572818009</v>
      </c>
      <c r="M69" s="93" t="n">
        <f aca="false">IF(Fleet_1GW!M18=1,Fleet_1GW!M24*INDEX(B4_FrontRef,1,2)/1000000000,"SLO 不可達")</f>
        <v>17.9718572818009</v>
      </c>
      <c r="N69" s="93" t="n">
        <f aca="false">IF(Fleet_1GW!N18=1,Fleet_1GW!N24*INDEX(B4_FrontRef,1,2)/1000000000,"SLO 不可達")</f>
        <v>17.9718572818009</v>
      </c>
      <c r="O69" s="93" t="n">
        <f aca="false">IF(Fleet_1GW!O18=1,Fleet_1GW!O24*INDEX(B4_FrontRef,1,2)/1000000000,"SLO 不可達")</f>
        <v>25.4241242392166</v>
      </c>
      <c r="P69" s="93" t="n">
        <f aca="false">IF(Fleet_1GW!P18=1,Fleet_1GW!P24*INDEX(B4_FrontRef,1,2)/1000000000,"SLO 不可達")</f>
        <v>25.4241242392166</v>
      </c>
      <c r="Q69" s="93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1771</v>
      </c>
      <c r="B70" s="59" t="s">
        <v>1739</v>
      </c>
      <c r="C70" s="93" t="n">
        <f aca="false">IF(Fleet_1GW!C18=1,Fleet_1GW!C27*INDEX(B4_FrontRef,1,3)/1000000000,"SLO 不可達")</f>
        <v>2.37214649155271</v>
      </c>
      <c r="D70" s="93" t="n">
        <f aca="false">IF(Fleet_1GW!D18=1,Fleet_1GW!D27*INDEX(B4_FrontRef,1,3)/1000000000,"SLO 不可達")</f>
        <v>2.37214649155271</v>
      </c>
      <c r="E70" s="93" t="n">
        <f aca="false">IF(Fleet_1GW!E18=1,Fleet_1GW!E27*INDEX(B4_FrontRef,1,3)/1000000000,"SLO 不可達")</f>
        <v>2.37214649155271</v>
      </c>
      <c r="F70" s="93" t="n">
        <f aca="false">IF(Fleet_1GW!F18=1,Fleet_1GW!F27*INDEX(B4_FrontRef,1,3)/1000000000,"SLO 不可達")</f>
        <v>11.9496842913752</v>
      </c>
      <c r="G70" s="93" t="n">
        <f aca="false">IF(Fleet_1GW!G18=1,Fleet_1GW!G27*INDEX(B4_FrontRef,1,3)/1000000000,"SLO 不可達")</f>
        <v>11.9496842913752</v>
      </c>
      <c r="H70" s="93" t="n">
        <f aca="false">IF(Fleet_1GW!H18=1,Fleet_1GW!H27*INDEX(B4_FrontRef,1,3)/1000000000,"SLO 不可達")</f>
        <v>11.9496842913752</v>
      </c>
      <c r="I70" s="93" t="n">
        <f aca="false">IF(Fleet_1GW!I18=1,Fleet_1GW!I27*INDEX(B4_FrontRef,1,3)/1000000000,"SLO 不可達")</f>
        <v>15.5572367082672</v>
      </c>
      <c r="J70" s="93" t="n">
        <f aca="false">IF(Fleet_1GW!J18=1,Fleet_1GW!J27*INDEX(B4_FrontRef,1,3)/1000000000,"SLO 不可達")</f>
        <v>15.5572367082672</v>
      </c>
      <c r="K70" s="93" t="n">
        <f aca="false">IF(Fleet_1GW!K18=1,Fleet_1GW!K27*INDEX(B4_FrontRef,1,3)/1000000000,"SLO 不可達")</f>
        <v>15.5572367082672</v>
      </c>
      <c r="L70" s="93" t="n">
        <f aca="false">IF(Fleet_1GW!L18=1,Fleet_1GW!L27*INDEX(B4_FrontRef,1,3)/1000000000,"SLO 不可達")</f>
        <v>28.8596749492046</v>
      </c>
      <c r="M70" s="93" t="n">
        <f aca="false">IF(Fleet_1GW!M18=1,Fleet_1GW!M27*INDEX(B4_FrontRef,1,3)/1000000000,"SLO 不可達")</f>
        <v>28.8596749492046</v>
      </c>
      <c r="N70" s="93" t="n">
        <f aca="false">IF(Fleet_1GW!N18=1,Fleet_1GW!N27*INDEX(B4_FrontRef,1,3)/1000000000,"SLO 不可達")</f>
        <v>28.8596749492046</v>
      </c>
      <c r="O70" s="93" t="n">
        <f aca="false">IF(Fleet_1GW!O18=1,Fleet_1GW!O27*INDEX(B4_FrontRef,1,3)/1000000000,"SLO 不可達")</f>
        <v>40.8267186806004</v>
      </c>
      <c r="P70" s="93" t="n">
        <f aca="false">IF(Fleet_1GW!P18=1,Fleet_1GW!P27*INDEX(B4_FrontRef,1,3)/1000000000,"SLO 不可達")</f>
        <v>40.8267186806004</v>
      </c>
      <c r="Q70" s="93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1772</v>
      </c>
      <c r="B71" s="59" t="s">
        <v>1739</v>
      </c>
      <c r="C71" s="96" t="n">
        <f aca="false">IF(Fleet_1GW!C18=1,(Fleet_1GW!C21*INDEX(B4_FrontRef,1,1)+Fleet_1GW!C24*INDEX(B4_FrontRef,1,2)+Fleet_1GW!C27*INDEX(B4_FrontRef,1,3))/1000000000,"SLO 不可達")</f>
        <v>3.91501308371637</v>
      </c>
      <c r="D71" s="96" t="n">
        <f aca="false">IF(Fleet_1GW!D18=1,(Fleet_1GW!D21*INDEX(B4_FrontRef,1,1)+Fleet_1GW!D24*INDEX(B4_FrontRef,1,2)+Fleet_1GW!D27*INDEX(B4_FrontRef,1,3))/1000000000,"SLO 不可達")</f>
        <v>3.91501308371637</v>
      </c>
      <c r="E71" s="96" t="n">
        <f aca="false">IF(Fleet_1GW!E18=1,(Fleet_1GW!E21*INDEX(B4_FrontRef,1,1)+Fleet_1GW!E24*INDEX(B4_FrontRef,1,2)+Fleet_1GW!E27*INDEX(B4_FrontRef,1,3))/1000000000,"SLO 不可達")</f>
        <v>3.91501308371637</v>
      </c>
      <c r="F71" s="96" t="n">
        <f aca="false">IF(Fleet_1GW!F18=1,(Fleet_1GW!F21*INDEX(B4_FrontRef,1,1)+Fleet_1GW!F24*INDEX(B4_FrontRef,1,2)+Fleet_1GW!F27*INDEX(B4_FrontRef,1,3))/1000000000,"SLO 不可達")</f>
        <v>19.7218723690171</v>
      </c>
      <c r="G71" s="96" t="n">
        <f aca="false">IF(Fleet_1GW!G18=1,(Fleet_1GW!G21*INDEX(B4_FrontRef,1,1)+Fleet_1GW!G24*INDEX(B4_FrontRef,1,2)+Fleet_1GW!G27*INDEX(B4_FrontRef,1,3))/1000000000,"SLO 不可達")</f>
        <v>19.7218723690171</v>
      </c>
      <c r="H71" s="96" t="n">
        <f aca="false">IF(Fleet_1GW!H18=1,(Fleet_1GW!H21*INDEX(B4_FrontRef,1,1)+Fleet_1GW!H24*INDEX(B4_FrontRef,1,2)+Fleet_1GW!H27*INDEX(B4_FrontRef,1,3))/1000000000,"SLO 不可達")</f>
        <v>19.7218723690171</v>
      </c>
      <c r="I71" s="96" t="n">
        <f aca="false">IF(Fleet_1GW!I18=1,(Fleet_1GW!I21*INDEX(B4_FrontRef,1,1)+Fleet_1GW!I24*INDEX(B4_FrontRef,1,2)+Fleet_1GW!I27*INDEX(B4_FrontRef,1,3))/1000000000,"SLO 不可達")</f>
        <v>25.6758111171591</v>
      </c>
      <c r="J71" s="96" t="n">
        <f aca="false">IF(Fleet_1GW!J18=1,(Fleet_1GW!J21*INDEX(B4_FrontRef,1,1)+Fleet_1GW!J24*INDEX(B4_FrontRef,1,2)+Fleet_1GW!J27*INDEX(B4_FrontRef,1,3))/1000000000,"SLO 不可達")</f>
        <v>25.6758111171591</v>
      </c>
      <c r="K71" s="96" t="n">
        <f aca="false">IF(Fleet_1GW!K18=1,(Fleet_1GW!K21*INDEX(B4_FrontRef,1,1)+Fleet_1GW!K24*INDEX(B4_FrontRef,1,2)+Fleet_1GW!K27*INDEX(B4_FrontRef,1,3))/1000000000,"SLO 不可達")</f>
        <v>25.6758111171591</v>
      </c>
      <c r="L71" s="96" t="n">
        <f aca="false">IF(Fleet_1GW!L18=1,(Fleet_1GW!L21*INDEX(B4_FrontRef,1,1)+Fleet_1GW!L24*INDEX(B4_FrontRef,1,2)+Fleet_1GW!L27*INDEX(B4_FrontRef,1,3))/1000000000,"SLO 不可達")</f>
        <v>47.6302814435299</v>
      </c>
      <c r="M71" s="96" t="n">
        <f aca="false">IF(Fleet_1GW!M18=1,(Fleet_1GW!M21*INDEX(B4_FrontRef,1,1)+Fleet_1GW!M24*INDEX(B4_FrontRef,1,2)+Fleet_1GW!M27*INDEX(B4_FrontRef,1,3))/1000000000,"SLO 不可達")</f>
        <v>47.6302814435299</v>
      </c>
      <c r="N71" s="96" t="n">
        <f aca="false">IF(Fleet_1GW!N18=1,(Fleet_1GW!N21*INDEX(B4_FrontRef,1,1)+Fleet_1GW!N24*INDEX(B4_FrontRef,1,2)+Fleet_1GW!N27*INDEX(B4_FrontRef,1,3))/1000000000,"SLO 不可達")</f>
        <v>47.6302814435299</v>
      </c>
      <c r="O71" s="96" t="n">
        <f aca="false">IF(Fleet_1GW!O18=1,(Fleet_1GW!O21*INDEX(B4_FrontRef,1,1)+Fleet_1GW!O24*INDEX(B4_FrontRef,1,2)+Fleet_1GW!O27*INDEX(B4_FrontRef,1,3))/1000000000,"SLO 不可達")</f>
        <v>67.3808039971155</v>
      </c>
      <c r="P71" s="96" t="n">
        <f aca="false">IF(Fleet_1GW!P18=1,(Fleet_1GW!P21*INDEX(B4_FrontRef,1,1)+Fleet_1GW!P24*INDEX(B4_FrontRef,1,2)+Fleet_1GW!P27*INDEX(B4_FrontRef,1,3))/1000000000,"SLO 不可達")</f>
        <v>67.3808039971155</v>
      </c>
      <c r="Q71" s="96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1773</v>
      </c>
      <c r="B72" s="59" t="s">
        <v>1739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1774</v>
      </c>
      <c r="B73" s="59" t="s">
        <v>93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1775</v>
      </c>
      <c r="B74" s="59" t="s">
        <v>791</v>
      </c>
      <c r="C74" s="92" t="n">
        <f aca="false">IF(Fleet_1GW!C18=1,(Fleet_1GW!C21*INDEX(B4_EffRef,1,1)+Fleet_1GW!C24*INDEX(B4_EffRef,1,2)+Fleet_1GW!C27*INDEX(B4_EffRef,1,3))/(Fleet_1GW!C19+Fleet_1GW!C20),"SLO 不可達")</f>
        <v>0.456315540982179</v>
      </c>
      <c r="D74" s="92" t="n">
        <f aca="false">IF(Fleet_1GW!D18=1,(Fleet_1GW!D21*INDEX(B4_EffRef,1,1)+Fleet_1GW!D24*INDEX(B4_EffRef,1,2)+Fleet_1GW!D27*INDEX(B4_EffRef,1,3))/(Fleet_1GW!D19+Fleet_1GW!D20),"SLO 不可達")</f>
        <v>0.456315540982179</v>
      </c>
      <c r="E74" s="92" t="n">
        <f aca="false">IF(Fleet_1GW!E18=1,(Fleet_1GW!E21*INDEX(B4_EffRef,1,1)+Fleet_1GW!E24*INDEX(B4_EffRef,1,2)+Fleet_1GW!E27*INDEX(B4_EffRef,1,3))/(Fleet_1GW!E19+Fleet_1GW!E20),"SLO 不可達")</f>
        <v>0.456315540982179</v>
      </c>
      <c r="F74" s="92" t="n">
        <f aca="false">IF(Fleet_1GW!F18=1,(Fleet_1GW!F21*INDEX(B4_EffRef,1,1)+Fleet_1GW!F24*INDEX(B4_EffRef,1,2)+Fleet_1GW!F27*INDEX(B4_EffRef,1,3))/(Fleet_1GW!F19+Fleet_1GW!F20),"SLO 不可達")</f>
        <v>0.4676289657332</v>
      </c>
      <c r="G74" s="92" t="n">
        <f aca="false">IF(Fleet_1GW!G18=1,(Fleet_1GW!G21*INDEX(B4_EffRef,1,1)+Fleet_1GW!G24*INDEX(B4_EffRef,1,2)+Fleet_1GW!G27*INDEX(B4_EffRef,1,3))/(Fleet_1GW!G19+Fleet_1GW!G20),"SLO 不可達")</f>
        <v>0.4676289657332</v>
      </c>
      <c r="H74" s="92" t="n">
        <f aca="false">IF(Fleet_1GW!H18=1,(Fleet_1GW!H21*INDEX(B4_EffRef,1,1)+Fleet_1GW!H24*INDEX(B4_EffRef,1,2)+Fleet_1GW!H27*INDEX(B4_EffRef,1,3))/(Fleet_1GW!H19+Fleet_1GW!H20),"SLO 不可達")</f>
        <v>0.4676289657332</v>
      </c>
      <c r="I74" s="92" t="n">
        <f aca="false">IF(Fleet_1GW!I18=1,(Fleet_1GW!I21*INDEX(B4_EffRef,1,1)+Fleet_1GW!I24*INDEX(B4_EffRef,1,2)+Fleet_1GW!I27*INDEX(B4_EffRef,1,3))/(Fleet_1GW!I19+Fleet_1GW!I20),"SLO 不可達")</f>
        <v>0.428991641549732</v>
      </c>
      <c r="J74" s="92" t="n">
        <f aca="false">IF(Fleet_1GW!J18=1,(Fleet_1GW!J21*INDEX(B4_EffRef,1,1)+Fleet_1GW!J24*INDEX(B4_EffRef,1,2)+Fleet_1GW!J27*INDEX(B4_EffRef,1,3))/(Fleet_1GW!J19+Fleet_1GW!J20),"SLO 不可達")</f>
        <v>0.428991641549732</v>
      </c>
      <c r="K74" s="92" t="n">
        <f aca="false">IF(Fleet_1GW!K18=1,(Fleet_1GW!K21*INDEX(B4_EffRef,1,1)+Fleet_1GW!K24*INDEX(B4_EffRef,1,2)+Fleet_1GW!K27*INDEX(B4_EffRef,1,3))/(Fleet_1GW!K19+Fleet_1GW!K20),"SLO 不可達")</f>
        <v>0.428991641549732</v>
      </c>
      <c r="L74" s="92" t="n">
        <f aca="false">IF(Fleet_1GW!L18=1,(Fleet_1GW!L21*INDEX(B4_EffRef,1,1)+Fleet_1GW!L24*INDEX(B4_EffRef,1,2)+Fleet_1GW!L27*INDEX(B4_EffRef,1,3))/(Fleet_1GW!L19+Fleet_1GW!L20),"SLO 不可達")</f>
        <v>0.506498513793652</v>
      </c>
      <c r="M74" s="92" t="n">
        <f aca="false">IF(Fleet_1GW!M18=1,(Fleet_1GW!M21*INDEX(B4_EffRef,1,1)+Fleet_1GW!M24*INDEX(B4_EffRef,1,2)+Fleet_1GW!M27*INDEX(B4_EffRef,1,3))/(Fleet_1GW!M19+Fleet_1GW!M20),"SLO 不可達")</f>
        <v>0.506498513793652</v>
      </c>
      <c r="N74" s="92" t="n">
        <f aca="false">IF(Fleet_1GW!N18=1,(Fleet_1GW!N21*INDEX(B4_EffRef,1,1)+Fleet_1GW!N24*INDEX(B4_EffRef,1,2)+Fleet_1GW!N27*INDEX(B4_EffRef,1,3))/(Fleet_1GW!N19+Fleet_1GW!N20),"SLO 不可達")</f>
        <v>0.506498513793652</v>
      </c>
      <c r="O74" s="92" t="n">
        <f aca="false">IF(Fleet_1GW!O18=1,(Fleet_1GW!O21*INDEX(B4_EffRef,1,1)+Fleet_1GW!O24*INDEX(B4_EffRef,1,2)+Fleet_1GW!O27*INDEX(B4_EffRef,1,3))/(Fleet_1GW!O19+Fleet_1GW!O20),"SLO 不可達")</f>
        <v>0.522135965346108</v>
      </c>
      <c r="P74" s="92" t="n">
        <f aca="false">IF(Fleet_1GW!P18=1,(Fleet_1GW!P21*INDEX(B4_EffRef,1,1)+Fleet_1GW!P24*INDEX(B4_EffRef,1,2)+Fleet_1GW!P27*INDEX(B4_EffRef,1,3))/(Fleet_1GW!P19+Fleet_1GW!P20),"SLO 不可達")</f>
        <v>0.522135965346108</v>
      </c>
      <c r="Q74" s="92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1776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57" t="s">
        <v>1777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1778</v>
      </c>
      <c r="B78" s="59" t="s">
        <v>419</v>
      </c>
      <c r="C78" s="159" t="n">
        <f aca="false">(Workload!C32*INDEX(B4_EffIn,1,1)+Workload!C33*INDEX(B4_EffCache,1,1)+Workload!C34*INDEX(B4_EffOut,1,1))/1000000</f>
        <v>0.000328</v>
      </c>
      <c r="D78" s="159" t="n">
        <f aca="false">(Workload!D32*INDEX(B4_EffIn,1,1)+Workload!D33*INDEX(B4_EffCache,1,1)+Workload!D34*INDEX(B4_EffOut,1,1))/1000000</f>
        <v>0.001608</v>
      </c>
      <c r="E78" s="159" t="n">
        <f aca="false">(Workload!E32*INDEX(B4_EffIn,1,1)+Workload!E33*INDEX(B4_EffCache,1,1)+Workload!E34*INDEX(B4_EffOut,1,1))/1000000</f>
        <v>0.00165408</v>
      </c>
      <c r="F78" s="159" t="n">
        <f aca="false">(Workload!F32*INDEX(B4_EffIn,1,1)+Workload!F33*INDEX(B4_EffCache,1,1)+Workload!F34*INDEX(B4_EffOut,1,1))/1000000</f>
        <v>0.00661632</v>
      </c>
      <c r="G78" s="159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1779</v>
      </c>
      <c r="B79" s="59" t="s">
        <v>419</v>
      </c>
      <c r="C79" s="159" t="n">
        <f aca="false">(Workload!C32*INDEX(B4_EffIn,1,2)+Workload!C33*INDEX(B4_EffCache,1,2)+Workload!C34*INDEX(B4_EffOut,1,2))/1000000</f>
        <v>0.00656</v>
      </c>
      <c r="D79" s="159" t="n">
        <f aca="false">(Workload!D32*INDEX(B4_EffIn,1,2)+Workload!D33*INDEX(B4_EffCache,1,2)+Workload!D34*INDEX(B4_EffOut,1,2))/1000000</f>
        <v>0.03216</v>
      </c>
      <c r="E79" s="159" t="n">
        <f aca="false">(Workload!E32*INDEX(B4_EffIn,1,2)+Workload!E33*INDEX(B4_EffCache,1,2)+Workload!E34*INDEX(B4_EffOut,1,2))/1000000</f>
        <v>0.0330816</v>
      </c>
      <c r="F79" s="159" t="n">
        <f aca="false">(Workload!F32*INDEX(B4_EffIn,1,2)+Workload!F33*INDEX(B4_EffCache,1,2)+Workload!F34*INDEX(B4_EffOut,1,2))/1000000</f>
        <v>0.1323264</v>
      </c>
      <c r="G79" s="159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1780</v>
      </c>
      <c r="B80" s="59" t="s">
        <v>419</v>
      </c>
      <c r="C80" s="159" t="n">
        <f aca="false">(Workload!C32*INDEX(B4_EffIn,1,3)+Workload!C33*INDEX(B4_EffCache,1,3)+Workload!C34*INDEX(B4_EffOut,1,3))/1000000</f>
        <v>0.0328</v>
      </c>
      <c r="D80" s="159" t="n">
        <f aca="false">(Workload!D32*INDEX(B4_EffIn,1,3)+Workload!D33*INDEX(B4_EffCache,1,3)+Workload!D34*INDEX(B4_EffOut,1,3))/1000000</f>
        <v>0.1608</v>
      </c>
      <c r="E80" s="159" t="n">
        <f aca="false">(Workload!E32*INDEX(B4_EffIn,1,3)+Workload!E33*INDEX(B4_EffCache,1,3)+Workload!E34*INDEX(B4_EffOut,1,3))/1000000</f>
        <v>0.165408</v>
      </c>
      <c r="F80" s="159" t="n">
        <f aca="false">(Workload!F32*INDEX(B4_EffIn,1,3)+Workload!F33*INDEX(B4_EffCache,1,3)+Workload!F34*INDEX(B4_EffOut,1,3))/1000000</f>
        <v>0.661632</v>
      </c>
      <c r="G80" s="159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1781</v>
      </c>
      <c r="B81" s="59" t="s">
        <v>93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1782</v>
      </c>
      <c r="B82" s="59" t="s">
        <v>93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1783</v>
      </c>
      <c r="B83" s="59" t="s">
        <v>93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1784</v>
      </c>
      <c r="B84" s="59" t="s">
        <v>93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1785</v>
      </c>
      <c r="B85" s="59" t="s">
        <v>93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1786</v>
      </c>
      <c r="B86" s="59" t="s">
        <v>93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1787</v>
      </c>
    </row>
    <row r="89" customFormat="false" ht="15" hidden="false" customHeight="false" outlineLevel="0" collapsed="false">
      <c r="A89" s="73" t="s">
        <v>1788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1789</v>
      </c>
      <c r="B90" s="59" t="s">
        <v>1739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8" t="s">
        <v>1790</v>
      </c>
      <c r="B91" s="59" t="s">
        <v>1739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8" t="s">
        <v>1791</v>
      </c>
      <c r="B92" s="59" t="s">
        <v>1739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8" t="s">
        <v>1792</v>
      </c>
      <c r="B93" s="59" t="s">
        <v>1739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7" t="s">
        <v>1793</v>
      </c>
    </row>
    <row r="96" customFormat="false" ht="15" hidden="false" customHeight="false" outlineLevel="0" collapsed="false">
      <c r="A96" s="56" t="s">
        <v>1794</v>
      </c>
      <c r="C96" s="109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9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9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9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9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9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9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9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9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9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9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9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9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9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9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6" t="s">
        <v>1795</v>
      </c>
      <c r="C97" s="109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9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9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9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9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9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9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9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9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9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9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9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9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9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9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6" t="s">
        <v>1796</v>
      </c>
      <c r="C98" s="109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9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9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9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9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9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9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9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9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9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9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9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9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9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9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6" t="s">
        <v>1797</v>
      </c>
      <c r="C99" s="109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9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9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9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9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9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9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9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9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9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9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9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9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9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9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1798</v>
      </c>
    </row>
    <row r="2" customFormat="false" ht="15" hidden="false" customHeight="false" outlineLevel="0" collapsed="false">
      <c r="A2" s="71" t="s">
        <v>1799</v>
      </c>
    </row>
    <row r="4" customFormat="false" ht="29.85" hidden="false" customHeight="false" outlineLevel="0" collapsed="false">
      <c r="A4" s="81" t="s">
        <v>1800</v>
      </c>
      <c r="B4" s="81" t="s">
        <v>320</v>
      </c>
      <c r="C4" s="82" t="s">
        <v>1801</v>
      </c>
      <c r="D4" s="81" t="s">
        <v>1802</v>
      </c>
      <c r="E4" s="81" t="s">
        <v>1803</v>
      </c>
      <c r="F4" s="81" t="s">
        <v>1802</v>
      </c>
      <c r="G4" s="81" t="s">
        <v>321</v>
      </c>
    </row>
    <row r="5" customFormat="false" ht="15" hidden="false" customHeight="false" outlineLevel="0" collapsed="false">
      <c r="A5" s="58" t="s">
        <v>75</v>
      </c>
      <c r="B5" s="109" t="s">
        <v>604</v>
      </c>
      <c r="C5" s="150" t="n">
        <f aca="false">Theory_Rev!M33*D5</f>
        <v>18.7157019208829</v>
      </c>
      <c r="D5" s="74" t="n">
        <f aca="false">1</f>
        <v>1</v>
      </c>
      <c r="E5" s="160" t="n">
        <f aca="false">Theory_Rev!M73*F5</f>
        <v>3.98542534236299</v>
      </c>
      <c r="F5" s="74" t="n">
        <f aca="false">1</f>
        <v>1</v>
      </c>
      <c r="G5" s="85" t="s">
        <v>1804</v>
      </c>
    </row>
    <row r="6" customFormat="false" ht="15" hidden="false" customHeight="false" outlineLevel="0" collapsed="false">
      <c r="A6" s="58" t="s">
        <v>1805</v>
      </c>
      <c r="B6" s="63" t="n">
        <v>0.4</v>
      </c>
      <c r="C6" s="150" t="n">
        <f aca="false">Theory_Rev!M33*D6</f>
        <v>12.4771346139219</v>
      </c>
      <c r="D6" s="74" t="n">
        <f aca="false">B6/IF_Util</f>
        <v>0.666666666666667</v>
      </c>
      <c r="E6" s="160" t="n">
        <f aca="false">Theory_Rev!M73*F6</f>
        <v>2.656950228242</v>
      </c>
      <c r="F6" s="74" t="n">
        <f aca="false">B6/IF_Util</f>
        <v>0.666666666666667</v>
      </c>
      <c r="G6" s="91" t="s">
        <v>1806</v>
      </c>
    </row>
    <row r="7" customFormat="false" ht="15" hidden="false" customHeight="false" outlineLevel="0" collapsed="false">
      <c r="A7" s="58" t="s">
        <v>1807</v>
      </c>
      <c r="B7" s="63" t="n">
        <v>0.8</v>
      </c>
      <c r="C7" s="150" t="n">
        <f aca="false">Theory_Rev!M33*D7</f>
        <v>24.9542692278439</v>
      </c>
      <c r="D7" s="74" t="n">
        <f aca="false">B7/IF_Util</f>
        <v>1.33333333333333</v>
      </c>
      <c r="E7" s="160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1808</v>
      </c>
      <c r="B8" s="63" t="n">
        <v>0.1</v>
      </c>
      <c r="C8" s="150" t="n">
        <f aca="false">Theory_Rev!M33*D8</f>
        <v>21.0551646609933</v>
      </c>
      <c r="D8" s="74" t="n">
        <f aca="false">(1-B8)/(1-B4_Disc)</f>
        <v>1.125</v>
      </c>
      <c r="E8" s="160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1809</v>
      </c>
      <c r="B9" s="63" t="n">
        <v>0.3</v>
      </c>
      <c r="C9" s="150" t="n">
        <f aca="false">Theory_Rev!M33*D9</f>
        <v>16.3762391807725</v>
      </c>
      <c r="D9" s="74" t="n">
        <f aca="false">(1-B9)/(1-B4_Disc)</f>
        <v>0.875</v>
      </c>
      <c r="E9" s="160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1810</v>
      </c>
      <c r="B10" s="63" t="n">
        <v>0.3</v>
      </c>
      <c r="C10" s="150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604</v>
      </c>
      <c r="F10" s="59" t="s">
        <v>604</v>
      </c>
      <c r="G10" s="91" t="s">
        <v>1811</v>
      </c>
    </row>
    <row r="11" customFormat="false" ht="15" hidden="false" customHeight="false" outlineLevel="0" collapsed="false">
      <c r="A11" s="58" t="s">
        <v>1812</v>
      </c>
      <c r="B11" s="63" t="n">
        <v>0.75</v>
      </c>
      <c r="C11" s="150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604</v>
      </c>
      <c r="F11" s="59" t="s">
        <v>604</v>
      </c>
      <c r="G11" s="91"/>
    </row>
    <row r="12" customFormat="false" ht="15" hidden="false" customHeight="false" outlineLevel="0" collapsed="false">
      <c r="A12" s="58" t="s">
        <v>1813</v>
      </c>
      <c r="B12" s="63" t="n">
        <v>0.3</v>
      </c>
      <c r="C12" s="150" t="n">
        <f aca="false">Theory_Rev!M33*D12</f>
        <v>18.7157019208829</v>
      </c>
      <c r="D12" s="74" t="n">
        <f aca="false">1</f>
        <v>1</v>
      </c>
      <c r="E12" s="160" t="n">
        <f aca="false">Theory_Rev!M73*F12</f>
        <v>2.91616488465585</v>
      </c>
      <c r="F12" s="74" t="n">
        <f aca="false">B12/B4_Serve</f>
        <v>0.731707317073171</v>
      </c>
      <c r="G12" s="91" t="s">
        <v>1814</v>
      </c>
    </row>
    <row r="13" customFormat="false" ht="15" hidden="false" customHeight="false" outlineLevel="0" collapsed="false">
      <c r="A13" s="58" t="s">
        <v>1815</v>
      </c>
      <c r="B13" s="63" t="n">
        <v>0.6</v>
      </c>
      <c r="C13" s="150" t="n">
        <f aca="false">Theory_Rev!M33*D13</f>
        <v>18.7157019208829</v>
      </c>
      <c r="D13" s="74" t="n">
        <f aca="false">1</f>
        <v>1</v>
      </c>
      <c r="E13" s="160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1816</v>
      </c>
      <c r="B14" s="63" t="n">
        <v>0.35</v>
      </c>
      <c r="C14" s="150" t="n">
        <f aca="false">Theory_Rev!M33*D14</f>
        <v>18.7157019208829</v>
      </c>
      <c r="D14" s="74" t="n">
        <f aca="false">1</f>
        <v>1</v>
      </c>
      <c r="E14" s="160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1817</v>
      </c>
      <c r="B15" s="63" t="n">
        <v>0.6</v>
      </c>
      <c r="C15" s="150" t="n">
        <f aca="false">Theory_Rev!M33*D15</f>
        <v>18.7157019208829</v>
      </c>
      <c r="D15" s="74" t="n">
        <f aca="false">1</f>
        <v>1</v>
      </c>
      <c r="E15" s="160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1818</v>
      </c>
      <c r="B16" s="109" t="s">
        <v>604</v>
      </c>
      <c r="C16" s="150" t="n">
        <f aca="false">Theory_Rev!M33*D16</f>
        <v>18.7157019208829</v>
      </c>
      <c r="D16" s="74" t="n">
        <f aca="false">INDEX(B4_FrontRef,1,2)/INDEX(B4_EffRef,1,2)</f>
        <v>1</v>
      </c>
      <c r="E16" s="59" t="s">
        <v>604</v>
      </c>
      <c r="F16" s="59" t="s">
        <v>604</v>
      </c>
      <c r="G16" s="85" t="s">
        <v>1819</v>
      </c>
    </row>
    <row r="17" customFormat="false" ht="15" hidden="false" customHeight="false" outlineLevel="0" collapsed="false">
      <c r="A17" s="59" t="s">
        <v>1820</v>
      </c>
      <c r="B17" s="64" t="n">
        <v>7</v>
      </c>
      <c r="C17" s="150" t="n">
        <f aca="false">Theory_Rev!M33*D17</f>
        <v>49.51709289467</v>
      </c>
      <c r="D17" s="95" t="n">
        <f aca="false">EXP(CST_Eps*LN(B17))/Price_Frontier!D38</f>
        <v>2.64575131106459</v>
      </c>
      <c r="E17" s="160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1821</v>
      </c>
    </row>
    <row r="18" customFormat="false" ht="26.85" hidden="false" customHeight="false" outlineLevel="0" collapsed="false">
      <c r="A18" s="59" t="s">
        <v>1822</v>
      </c>
      <c r="B18" s="78" t="n">
        <v>0.5</v>
      </c>
      <c r="G18" s="91" t="s">
        <v>1823</v>
      </c>
    </row>
    <row r="19" customFormat="false" ht="15" hidden="false" customHeight="false" outlineLevel="0" collapsed="false">
      <c r="A19" s="57" t="s">
        <v>1824</v>
      </c>
    </row>
    <row r="20" customFormat="false" ht="15" hidden="false" customHeight="false" outlineLevel="0" collapsed="false">
      <c r="A20" s="58" t="s">
        <v>1825</v>
      </c>
      <c r="B20" s="64" t="n">
        <v>6</v>
      </c>
      <c r="C20" s="161" t="n">
        <f aca="false">Amortize!M22*INDEX(B4_Life,1,2)/B20</f>
        <v>0.00857123081335788</v>
      </c>
      <c r="D20" s="95" t="n">
        <f aca="false">C20/Amortize!M22</f>
        <v>2</v>
      </c>
      <c r="G20" s="56" t="s">
        <v>1826</v>
      </c>
    </row>
    <row r="21" customFormat="false" ht="15" hidden="false" customHeight="false" outlineLevel="0" collapsed="false">
      <c r="A21" s="58" t="s">
        <v>1827</v>
      </c>
      <c r="B21" s="64" t="n">
        <v>24</v>
      </c>
      <c r="C21" s="161" t="n">
        <f aca="false">Amortize!M22*INDEX(B4_Life,1,2)/B21</f>
        <v>0.00214280770333947</v>
      </c>
      <c r="D21" s="95" t="n">
        <f aca="false">C21/Amortize!M22</f>
        <v>0.5</v>
      </c>
      <c r="G21" s="56" t="s">
        <v>1826</v>
      </c>
    </row>
    <row r="23" customFormat="false" ht="15" hidden="false" customHeight="false" outlineLevel="0" collapsed="false">
      <c r="A23" s="71" t="s">
        <v>1828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1829</v>
      </c>
    </row>
    <row r="2" customFormat="false" ht="15" hidden="false" customHeight="false" outlineLevel="0" collapsed="false">
      <c r="A2" s="71" t="s">
        <v>1830</v>
      </c>
    </row>
    <row r="4" customFormat="false" ht="15" hidden="false" customHeight="false" outlineLevel="0" collapsed="false">
      <c r="A4" s="73" t="s">
        <v>1831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1832</v>
      </c>
      <c r="B5" s="58" t="s">
        <v>85</v>
      </c>
      <c r="C5" s="64" t="n">
        <v>2</v>
      </c>
      <c r="H5" s="56" t="s">
        <v>82</v>
      </c>
      <c r="I5" s="71" t="s">
        <v>1833</v>
      </c>
    </row>
    <row r="6" customFormat="false" ht="15" hidden="false" customHeight="false" outlineLevel="0" collapsed="false">
      <c r="A6" s="58" t="s">
        <v>1834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1835</v>
      </c>
      <c r="B7" s="59" t="s">
        <v>93</v>
      </c>
      <c r="C7" s="160" t="n">
        <f aca="false">Tech_Registry!O16*Tech_Registry!N16</f>
        <v>0</v>
      </c>
      <c r="I7" s="56" t="s">
        <v>1836</v>
      </c>
    </row>
    <row r="8" customFormat="false" ht="15" hidden="false" customHeight="false" outlineLevel="0" collapsed="false">
      <c r="A8" s="58" t="s">
        <v>1837</v>
      </c>
      <c r="B8" s="59" t="s">
        <v>89</v>
      </c>
      <c r="C8" s="63" t="n">
        <v>0.5</v>
      </c>
      <c r="H8" s="56" t="s">
        <v>82</v>
      </c>
      <c r="I8" s="56" t="s">
        <v>1838</v>
      </c>
    </row>
    <row r="9" customFormat="false" ht="15" hidden="false" customHeight="false" outlineLevel="0" collapsed="false">
      <c r="A9" s="73" t="s">
        <v>1839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57" t="s">
        <v>1840</v>
      </c>
    </row>
    <row r="11" customFormat="false" ht="30" hidden="false" customHeight="true" outlineLevel="0" collapsed="false">
      <c r="A11" s="57" t="s">
        <v>72</v>
      </c>
      <c r="B11" s="57" t="s">
        <v>73</v>
      </c>
      <c r="C11" s="162" t="str">
        <f aca="false">Workload!C4</f>
        <v>一般聊天</v>
      </c>
      <c r="D11" s="162" t="str">
        <f aca="false">Workload!D4</f>
        <v>推理聊天</v>
      </c>
      <c r="E11" s="162" t="str">
        <f aca="false">Workload!E4</f>
        <v>單代理（工具迴圈）</v>
      </c>
      <c r="F11" s="162" t="str">
        <f aca="false">Workload!F4</f>
        <v>多代理研究</v>
      </c>
      <c r="G11" s="162" t="str">
        <f aca="false">Workload!G4</f>
        <v>Coding agent（長程）</v>
      </c>
      <c r="H11" s="57" t="s">
        <v>77</v>
      </c>
      <c r="I11" s="57" t="s">
        <v>321</v>
      </c>
    </row>
    <row r="12" customFormat="false" ht="26.85" hidden="false" customHeight="false" outlineLevel="0" collapsed="false">
      <c r="A12" s="58" t="s">
        <v>1841</v>
      </c>
      <c r="B12" s="59" t="s">
        <v>93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90</v>
      </c>
      <c r="I12" s="91" t="s">
        <v>1842</v>
      </c>
    </row>
    <row r="13" customFormat="false" ht="15" hidden="false" customHeight="false" outlineLevel="0" collapsed="false">
      <c r="A13" s="58" t="s">
        <v>1843</v>
      </c>
      <c r="B13" s="59" t="s">
        <v>89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1844</v>
      </c>
      <c r="I13" s="85" t="s">
        <v>1845</v>
      </c>
    </row>
    <row r="14" customFormat="false" ht="15" hidden="false" customHeight="false" outlineLevel="0" collapsed="false">
      <c r="A14" s="58" t="s">
        <v>1846</v>
      </c>
      <c r="B14" s="59" t="s">
        <v>93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90</v>
      </c>
      <c r="I14" s="91" t="s">
        <v>1847</v>
      </c>
    </row>
    <row r="15" customFormat="false" ht="15" hidden="false" customHeight="false" outlineLevel="0" collapsed="false">
      <c r="A15" s="58" t="s">
        <v>1848</v>
      </c>
      <c r="B15" s="59" t="s">
        <v>93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90</v>
      </c>
      <c r="I15" s="91" t="s">
        <v>1849</v>
      </c>
    </row>
    <row r="16" customFormat="false" ht="15" hidden="false" customHeight="false" outlineLevel="0" collapsed="false">
      <c r="A16" s="58" t="s">
        <v>1850</v>
      </c>
      <c r="B16" s="58" t="s">
        <v>1851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90</v>
      </c>
      <c r="I16" s="91" t="s">
        <v>1852</v>
      </c>
    </row>
    <row r="17" customFormat="false" ht="15" hidden="false" customHeight="false" outlineLevel="0" collapsed="false">
      <c r="A17" s="58" t="s">
        <v>1853</v>
      </c>
      <c r="B17" s="58" t="s">
        <v>312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90</v>
      </c>
      <c r="I17" s="91" t="s">
        <v>1854</v>
      </c>
    </row>
    <row r="18" customFormat="false" ht="15" hidden="false" customHeight="false" outlineLevel="0" collapsed="false">
      <c r="A18" s="58" t="s">
        <v>1855</v>
      </c>
      <c r="B18" s="59" t="s">
        <v>1146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94</v>
      </c>
      <c r="I18" s="85" t="s">
        <v>1856</v>
      </c>
    </row>
    <row r="19" customFormat="false" ht="26.85" hidden="false" customHeight="false" outlineLevel="0" collapsed="false">
      <c r="A19" s="58" t="s">
        <v>1857</v>
      </c>
      <c r="B19" s="59" t="s">
        <v>93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90</v>
      </c>
      <c r="I19" s="85" t="s">
        <v>1858</v>
      </c>
    </row>
    <row r="20" customFormat="false" ht="15" hidden="false" customHeight="false" outlineLevel="0" collapsed="false">
      <c r="A20" s="58" t="s">
        <v>1859</v>
      </c>
      <c r="B20" s="58" t="s">
        <v>1688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125</v>
      </c>
      <c r="I20" s="91" t="s">
        <v>1860</v>
      </c>
    </row>
    <row r="22" customFormat="false" ht="15" hidden="false" customHeight="false" outlineLevel="0" collapsed="false">
      <c r="A22" s="57" t="s">
        <v>1861</v>
      </c>
    </row>
    <row r="23" customFormat="false" ht="30" hidden="false" customHeight="true" outlineLevel="0" collapsed="false">
      <c r="A23" s="57" t="s">
        <v>72</v>
      </c>
      <c r="B23" s="57" t="s">
        <v>73</v>
      </c>
      <c r="C23" s="162" t="str">
        <f aca="false">Workload!C4</f>
        <v>一般聊天</v>
      </c>
      <c r="D23" s="162" t="str">
        <f aca="false">Workload!D4</f>
        <v>推理聊天</v>
      </c>
      <c r="E23" s="162" t="str">
        <f aca="false">Workload!E4</f>
        <v>單代理（工具迴圈）</v>
      </c>
      <c r="F23" s="162" t="str">
        <f aca="false">Workload!F4</f>
        <v>多代理研究</v>
      </c>
      <c r="G23" s="162" t="str">
        <f aca="false">Workload!G4</f>
        <v>Coding agent（長程）</v>
      </c>
      <c r="H23" s="57" t="s">
        <v>77</v>
      </c>
      <c r="I23" s="57" t="s">
        <v>321</v>
      </c>
    </row>
    <row r="24" customFormat="false" ht="15" hidden="false" customHeight="false" outlineLevel="0" collapsed="false">
      <c r="A24" s="58" t="s">
        <v>1841</v>
      </c>
      <c r="B24" s="59" t="s">
        <v>93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90</v>
      </c>
      <c r="I24" s="91"/>
    </row>
    <row r="25" customFormat="false" ht="15" hidden="false" customHeight="false" outlineLevel="0" collapsed="false">
      <c r="A25" s="58" t="s">
        <v>1843</v>
      </c>
      <c r="B25" s="59" t="s">
        <v>89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90</v>
      </c>
      <c r="I25" s="91"/>
    </row>
    <row r="26" customFormat="false" ht="15" hidden="false" customHeight="false" outlineLevel="0" collapsed="false">
      <c r="A26" s="58" t="s">
        <v>1846</v>
      </c>
      <c r="B26" s="59" t="s">
        <v>93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90</v>
      </c>
      <c r="I26" s="91"/>
    </row>
    <row r="27" customFormat="false" ht="15" hidden="false" customHeight="false" outlineLevel="0" collapsed="false">
      <c r="A27" s="58" t="s">
        <v>1848</v>
      </c>
      <c r="B27" s="59" t="s">
        <v>93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90</v>
      </c>
      <c r="I27" s="91"/>
    </row>
    <row r="28" customFormat="false" ht="15" hidden="false" customHeight="false" outlineLevel="0" collapsed="false">
      <c r="A28" s="58" t="s">
        <v>1850</v>
      </c>
      <c r="B28" s="58" t="s">
        <v>1851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90</v>
      </c>
      <c r="I28" s="91"/>
    </row>
    <row r="29" customFormat="false" ht="26.85" hidden="false" customHeight="false" outlineLevel="0" collapsed="false">
      <c r="A29" s="58" t="s">
        <v>1853</v>
      </c>
      <c r="B29" s="58" t="s">
        <v>312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94</v>
      </c>
      <c r="I29" s="85" t="s">
        <v>1862</v>
      </c>
    </row>
    <row r="30" customFormat="false" ht="15" hidden="false" customHeight="false" outlineLevel="0" collapsed="false">
      <c r="A30" s="58" t="s">
        <v>1855</v>
      </c>
      <c r="B30" s="59" t="s">
        <v>1146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90</v>
      </c>
      <c r="I30" s="91"/>
    </row>
    <row r="31" customFormat="false" ht="15" hidden="false" customHeight="false" outlineLevel="0" collapsed="false">
      <c r="A31" s="58" t="s">
        <v>1857</v>
      </c>
      <c r="B31" s="59" t="s">
        <v>93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90</v>
      </c>
      <c r="I31" s="85" t="s">
        <v>1863</v>
      </c>
    </row>
    <row r="32" customFormat="false" ht="15" hidden="false" customHeight="false" outlineLevel="0" collapsed="false">
      <c r="A32" s="58" t="s">
        <v>1859</v>
      </c>
      <c r="B32" s="58" t="s">
        <v>1688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90</v>
      </c>
      <c r="I32" s="91" t="s">
        <v>1864</v>
      </c>
    </row>
    <row r="34" customFormat="false" ht="15" hidden="false" customHeight="false" outlineLevel="0" collapsed="false">
      <c r="A34" s="57" t="s">
        <v>1865</v>
      </c>
    </row>
    <row r="35" customFormat="false" ht="30" hidden="false" customHeight="true" outlineLevel="0" collapsed="false">
      <c r="A35" s="57" t="s">
        <v>72</v>
      </c>
      <c r="B35" s="57" t="s">
        <v>73</v>
      </c>
      <c r="C35" s="162" t="str">
        <f aca="false">Workload!C4</f>
        <v>一般聊天</v>
      </c>
      <c r="D35" s="162" t="str">
        <f aca="false">Workload!D4</f>
        <v>推理聊天</v>
      </c>
      <c r="E35" s="162" t="str">
        <f aca="false">Workload!E4</f>
        <v>單代理（工具迴圈）</v>
      </c>
      <c r="F35" s="162" t="str">
        <f aca="false">Workload!F4</f>
        <v>多代理研究</v>
      </c>
      <c r="G35" s="162" t="str">
        <f aca="false">Workload!G4</f>
        <v>Coding agent（長程）</v>
      </c>
    </row>
    <row r="36" customFormat="false" ht="15" hidden="false" customHeight="false" outlineLevel="0" collapsed="false">
      <c r="A36" s="58" t="s">
        <v>1841</v>
      </c>
      <c r="B36" s="59" t="s">
        <v>93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1843</v>
      </c>
      <c r="B37" s="59" t="s">
        <v>89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1846</v>
      </c>
      <c r="B38" s="59" t="s">
        <v>93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1848</v>
      </c>
      <c r="B39" s="59" t="s">
        <v>93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1850</v>
      </c>
      <c r="B40" s="58" t="s">
        <v>1851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1853</v>
      </c>
      <c r="B41" s="58" t="s">
        <v>312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1855</v>
      </c>
      <c r="B42" s="59" t="s">
        <v>1146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1857</v>
      </c>
      <c r="B43" s="59" t="s">
        <v>93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1859</v>
      </c>
      <c r="B44" s="58" t="s">
        <v>1688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1866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57" t="s">
        <v>353</v>
      </c>
      <c r="B47" s="57" t="s">
        <v>73</v>
      </c>
      <c r="C47" s="10" t="s">
        <v>245</v>
      </c>
      <c r="D47" s="10" t="s">
        <v>246</v>
      </c>
      <c r="E47" s="10" t="s">
        <v>247</v>
      </c>
      <c r="H47" s="57" t="s">
        <v>77</v>
      </c>
      <c r="I47" s="57" t="s">
        <v>321</v>
      </c>
    </row>
    <row r="48" customFormat="false" ht="26.85" hidden="false" customHeight="false" outlineLevel="0" collapsed="false">
      <c r="A48" s="59" t="s">
        <v>1867</v>
      </c>
      <c r="B48" s="59" t="s">
        <v>1146</v>
      </c>
      <c r="C48" s="75" t="n">
        <v>1.5</v>
      </c>
      <c r="D48" s="75" t="n">
        <v>8</v>
      </c>
      <c r="E48" s="75" t="n">
        <v>16</v>
      </c>
      <c r="H48" s="56" t="s">
        <v>94</v>
      </c>
      <c r="I48" s="85" t="s">
        <v>1868</v>
      </c>
    </row>
    <row r="49" customFormat="false" ht="15" hidden="false" customHeight="false" outlineLevel="0" collapsed="false">
      <c r="A49" s="59" t="s">
        <v>1869</v>
      </c>
      <c r="B49" s="59" t="s">
        <v>1146</v>
      </c>
      <c r="C49" s="75" t="n">
        <v>0.5</v>
      </c>
      <c r="D49" s="75" t="n">
        <v>4</v>
      </c>
      <c r="E49" s="75" t="n">
        <v>11</v>
      </c>
      <c r="H49" s="56" t="s">
        <v>94</v>
      </c>
      <c r="I49" s="91"/>
    </row>
    <row r="50" customFormat="false" ht="15" hidden="false" customHeight="false" outlineLevel="0" collapsed="false">
      <c r="A50" s="59" t="s">
        <v>1870</v>
      </c>
      <c r="B50" s="59" t="s">
        <v>1146</v>
      </c>
      <c r="C50" s="75" t="n">
        <v>4</v>
      </c>
      <c r="D50" s="75" t="n">
        <v>12</v>
      </c>
      <c r="E50" s="75" t="n">
        <v>40</v>
      </c>
      <c r="H50" s="56" t="s">
        <v>94</v>
      </c>
      <c r="I50" s="85" t="s">
        <v>1871</v>
      </c>
    </row>
    <row r="51" customFormat="false" ht="26.85" hidden="false" customHeight="false" outlineLevel="0" collapsed="false">
      <c r="A51" s="58" t="s">
        <v>1872</v>
      </c>
      <c r="B51" s="59" t="s">
        <v>93</v>
      </c>
      <c r="C51" s="76" t="n">
        <v>0.75</v>
      </c>
      <c r="D51" s="76" t="n">
        <v>0.65</v>
      </c>
      <c r="E51" s="76" t="n">
        <v>1</v>
      </c>
      <c r="H51" s="56" t="s">
        <v>137</v>
      </c>
      <c r="I51" s="91" t="s">
        <v>1873</v>
      </c>
    </row>
    <row r="52" customFormat="false" ht="30" hidden="false" customHeight="true" outlineLevel="0" collapsed="false">
      <c r="A52" s="57" t="s">
        <v>1874</v>
      </c>
      <c r="B52" s="57" t="s">
        <v>73</v>
      </c>
      <c r="C52" s="162" t="str">
        <f aca="false">Workload!C4</f>
        <v>一般聊天</v>
      </c>
      <c r="D52" s="162" t="str">
        <f aca="false">Workload!D4</f>
        <v>推理聊天</v>
      </c>
      <c r="E52" s="162" t="str">
        <f aca="false">Workload!E4</f>
        <v>單代理（工具迴圈）</v>
      </c>
      <c r="F52" s="162" t="str">
        <f aca="false">Workload!F4</f>
        <v>多代理研究</v>
      </c>
      <c r="G52" s="162" t="str">
        <f aca="false">Workload!G4</f>
        <v>Coding agent（長程）</v>
      </c>
    </row>
    <row r="53" customFormat="false" ht="15" hidden="false" customHeight="false" outlineLevel="0" collapsed="false">
      <c r="A53" s="58" t="s">
        <v>1875</v>
      </c>
      <c r="B53" s="59" t="s">
        <v>1146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90</v>
      </c>
      <c r="I53" s="71" t="s">
        <v>1876</v>
      </c>
    </row>
    <row r="54" customFormat="false" ht="15" hidden="false" customHeight="false" outlineLevel="0" collapsed="false">
      <c r="A54" s="58" t="s">
        <v>1877</v>
      </c>
      <c r="B54" s="58"/>
      <c r="C54" s="103" t="s">
        <v>1878</v>
      </c>
      <c r="D54" s="103" t="s">
        <v>1878</v>
      </c>
      <c r="E54" s="103" t="s">
        <v>1878</v>
      </c>
      <c r="F54" s="103" t="s">
        <v>1879</v>
      </c>
      <c r="G54" s="103" t="s">
        <v>1879</v>
      </c>
      <c r="I54" s="56" t="s">
        <v>1880</v>
      </c>
    </row>
    <row r="55" customFormat="false" ht="15" hidden="false" customHeight="false" outlineLevel="0" collapsed="false">
      <c r="A55" s="58" t="s">
        <v>1881</v>
      </c>
      <c r="B55" s="59" t="s">
        <v>89</v>
      </c>
      <c r="C55" s="63"/>
      <c r="D55" s="63"/>
      <c r="E55" s="63"/>
      <c r="F55" s="63"/>
      <c r="G55" s="63"/>
      <c r="I55" s="71" t="s">
        <v>1882</v>
      </c>
    </row>
    <row r="56" customFormat="false" ht="15" hidden="false" customHeight="false" outlineLevel="0" collapsed="false">
      <c r="A56" s="58" t="s">
        <v>1883</v>
      </c>
      <c r="B56" s="59" t="s">
        <v>89</v>
      </c>
      <c r="C56" s="63"/>
      <c r="D56" s="63"/>
      <c r="E56" s="63"/>
      <c r="F56" s="63"/>
      <c r="G56" s="63"/>
      <c r="I56" s="71" t="s">
        <v>1882</v>
      </c>
    </row>
    <row r="57" customFormat="false" ht="15" hidden="false" customHeight="false" outlineLevel="0" collapsed="false">
      <c r="A57" s="58" t="s">
        <v>1884</v>
      </c>
      <c r="B57" s="59" t="s">
        <v>89</v>
      </c>
      <c r="C57" s="63"/>
      <c r="D57" s="63"/>
      <c r="E57" s="63"/>
      <c r="F57" s="63"/>
      <c r="G57" s="63"/>
      <c r="I57" s="71" t="s">
        <v>1882</v>
      </c>
    </row>
    <row r="59" customFormat="false" ht="15" hidden="false" customHeight="false" outlineLevel="0" collapsed="false">
      <c r="A59" s="73" t="s">
        <v>1885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57" t="s">
        <v>72</v>
      </c>
      <c r="C60" s="57" t="s">
        <v>1133</v>
      </c>
      <c r="D60" s="57" t="s">
        <v>1134</v>
      </c>
      <c r="I60" s="57" t="s">
        <v>321</v>
      </c>
    </row>
    <row r="61" customFormat="false" ht="15" hidden="false" customHeight="false" outlineLevel="0" collapsed="false">
      <c r="A61" s="58" t="s">
        <v>1841</v>
      </c>
      <c r="C61" s="76" t="n">
        <v>0.5</v>
      </c>
      <c r="D61" s="76" t="n">
        <v>1</v>
      </c>
      <c r="H61" s="56" t="s">
        <v>90</v>
      </c>
      <c r="I61" s="71"/>
    </row>
    <row r="62" customFormat="false" ht="15" hidden="false" customHeight="false" outlineLevel="0" collapsed="false">
      <c r="A62" s="58" t="s">
        <v>1846</v>
      </c>
      <c r="C62" s="76" t="n">
        <v>0.6</v>
      </c>
      <c r="D62" s="76" t="n">
        <v>1</v>
      </c>
      <c r="H62" s="56" t="s">
        <v>90</v>
      </c>
      <c r="I62" s="71"/>
    </row>
    <row r="63" customFormat="false" ht="15" hidden="false" customHeight="false" outlineLevel="0" collapsed="false">
      <c r="A63" s="58" t="s">
        <v>1843</v>
      </c>
      <c r="C63" s="63" t="n">
        <v>0.5</v>
      </c>
      <c r="D63" s="63" t="n">
        <v>1</v>
      </c>
      <c r="H63" s="56" t="s">
        <v>90</v>
      </c>
      <c r="I63" s="71"/>
    </row>
    <row r="64" customFormat="false" ht="15" hidden="false" customHeight="false" outlineLevel="0" collapsed="false">
      <c r="A64" s="58" t="s">
        <v>1886</v>
      </c>
      <c r="C64" s="76" t="n">
        <v>0.5</v>
      </c>
      <c r="D64" s="76" t="n">
        <v>1</v>
      </c>
      <c r="H64" s="56" t="s">
        <v>90</v>
      </c>
      <c r="I64" s="71"/>
    </row>
    <row r="65" customFormat="false" ht="15" hidden="false" customHeight="false" outlineLevel="0" collapsed="false">
      <c r="A65" s="58" t="s">
        <v>1887</v>
      </c>
      <c r="C65" s="76" t="n">
        <v>1</v>
      </c>
      <c r="D65" s="76" t="n">
        <v>4</v>
      </c>
      <c r="H65" s="56" t="s">
        <v>90</v>
      </c>
      <c r="I65" s="56" t="s">
        <v>1888</v>
      </c>
    </row>
    <row r="66" customFormat="false" ht="15" hidden="false" customHeight="false" outlineLevel="0" collapsed="false">
      <c r="A66" s="58" t="s">
        <v>1855</v>
      </c>
      <c r="C66" s="146" t="n">
        <v>0.0833333333333333</v>
      </c>
      <c r="D66" s="146" t="n">
        <v>2</v>
      </c>
      <c r="H66" s="56" t="s">
        <v>90</v>
      </c>
      <c r="I66" s="56" t="s">
        <v>1146</v>
      </c>
    </row>
    <row r="68" customFormat="false" ht="15" hidden="false" customHeight="false" outlineLevel="0" collapsed="false">
      <c r="A68" s="73" t="s">
        <v>1889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57" t="s">
        <v>1890</v>
      </c>
      <c r="B69" s="57" t="s">
        <v>73</v>
      </c>
      <c r="C69" s="57" t="s">
        <v>1891</v>
      </c>
      <c r="D69" s="57" t="s">
        <v>1892</v>
      </c>
      <c r="E69" s="10" t="s">
        <v>1893</v>
      </c>
      <c r="H69" s="57" t="s">
        <v>77</v>
      </c>
      <c r="I69" s="57" t="s">
        <v>78</v>
      </c>
    </row>
    <row r="70" customFormat="false" ht="39.55" hidden="false" customHeight="false" outlineLevel="0" collapsed="false">
      <c r="A70" s="6" t="s">
        <v>1894</v>
      </c>
      <c r="C70" s="107" t="n">
        <f aca="false">SRC_HAR_003</f>
        <v>0.627</v>
      </c>
      <c r="D70" s="60" t="n">
        <f aca="false">SRC_HAR_004</f>
        <v>26098</v>
      </c>
      <c r="H70" s="85" t="s">
        <v>1895</v>
      </c>
      <c r="I70" s="85" t="s">
        <v>1896</v>
      </c>
    </row>
    <row r="71" customFormat="false" ht="29.85" hidden="false" customHeight="false" outlineLevel="0" collapsed="false">
      <c r="A71" s="6" t="s">
        <v>1897</v>
      </c>
      <c r="C71" s="107" t="n">
        <f aca="false">SRC_HAR_005</f>
        <v>0.986</v>
      </c>
      <c r="D71" s="60" t="n">
        <f aca="false">SRC_HAR_006</f>
        <v>17332</v>
      </c>
      <c r="H71" s="85" t="s">
        <v>1898</v>
      </c>
      <c r="I71" s="85" t="s">
        <v>1896</v>
      </c>
    </row>
    <row r="72" customFormat="false" ht="29.85" hidden="false" customHeight="false" outlineLevel="0" collapsed="false">
      <c r="A72" s="6" t="s">
        <v>1899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1898</v>
      </c>
      <c r="I72" s="85" t="s">
        <v>1900</v>
      </c>
    </row>
    <row r="73" customFormat="false" ht="26.85" hidden="false" customHeight="false" outlineLevel="0" collapsed="false">
      <c r="A73" s="6" t="s">
        <v>1901</v>
      </c>
      <c r="C73" s="107" t="n">
        <f aca="false">SRC_HAR_012</f>
        <v>0.302</v>
      </c>
      <c r="H73" s="85" t="s">
        <v>1898</v>
      </c>
      <c r="I73" s="85" t="s">
        <v>1896</v>
      </c>
    </row>
    <row r="74" customFormat="false" ht="24.6" hidden="false" customHeight="false" outlineLevel="0" collapsed="false">
      <c r="A74" s="6" t="s">
        <v>1902</v>
      </c>
      <c r="C74" s="107" t="n">
        <f aca="false">SRC_HAR_015</f>
        <v>1</v>
      </c>
      <c r="H74" s="85" t="s">
        <v>1903</v>
      </c>
      <c r="I74" s="85" t="s">
        <v>1904</v>
      </c>
    </row>
    <row r="75" customFormat="false" ht="26.85" hidden="false" customHeight="false" outlineLevel="0" collapsed="false">
      <c r="A75" s="6" t="s">
        <v>1905</v>
      </c>
      <c r="E75" s="95" t="n">
        <f aca="false">SRC_HAR_002/SRC_HAR_001</f>
        <v>3.75</v>
      </c>
      <c r="H75" s="85" t="s">
        <v>1906</v>
      </c>
      <c r="I75" s="85" t="s">
        <v>1907</v>
      </c>
    </row>
    <row r="76" customFormat="false" ht="15" hidden="false" customHeight="false" outlineLevel="0" collapsed="false">
      <c r="A76" s="10" t="s">
        <v>1908</v>
      </c>
      <c r="B76" s="57"/>
      <c r="C76" s="10" t="s">
        <v>1909</v>
      </c>
      <c r="D76" s="10" t="s">
        <v>1910</v>
      </c>
      <c r="E76" s="57" t="s">
        <v>1911</v>
      </c>
      <c r="F76" s="57" t="s">
        <v>1912</v>
      </c>
      <c r="H76" s="57" t="s">
        <v>77</v>
      </c>
      <c r="I76" s="57" t="s">
        <v>447</v>
      </c>
    </row>
    <row r="77" customFormat="false" ht="15" hidden="false" customHeight="false" outlineLevel="0" collapsed="false">
      <c r="A77" s="59" t="s">
        <v>1913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1914</v>
      </c>
      <c r="I77" s="56" t="s">
        <v>1915</v>
      </c>
    </row>
    <row r="78" customFormat="false" ht="15" hidden="false" customHeight="false" outlineLevel="0" collapsed="false">
      <c r="A78" s="59" t="s">
        <v>1916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1914</v>
      </c>
      <c r="I78" s="56" t="s">
        <v>1915</v>
      </c>
    </row>
    <row r="79" customFormat="false" ht="15" hidden="false" customHeight="false" outlineLevel="0" collapsed="false">
      <c r="A79" s="59" t="s">
        <v>1917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1914</v>
      </c>
      <c r="I79" s="56" t="s">
        <v>1915</v>
      </c>
    </row>
    <row r="80" customFormat="false" ht="15" hidden="false" customHeight="false" outlineLevel="0" collapsed="false">
      <c r="A80" s="59" t="s">
        <v>1918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1914</v>
      </c>
      <c r="I80" s="56" t="s">
        <v>1915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1919</v>
      </c>
    </row>
    <row r="2" customFormat="false" ht="15" hidden="false" customHeight="false" outlineLevel="0" collapsed="false">
      <c r="A2" s="71" t="s">
        <v>1920</v>
      </c>
    </row>
    <row r="4" customFormat="false" ht="30" hidden="false" customHeight="true" outlineLevel="0" collapsed="false">
      <c r="A4" s="57" t="s">
        <v>353</v>
      </c>
      <c r="B4" s="57" t="s">
        <v>73</v>
      </c>
      <c r="C4" s="162" t="str">
        <f aca="false">Workload!C4</f>
        <v>一般聊天</v>
      </c>
      <c r="D4" s="162" t="str">
        <f aca="false">Workload!D4</f>
        <v>推理聊天</v>
      </c>
      <c r="E4" s="162" t="str">
        <f aca="false">Workload!E4</f>
        <v>單代理（工具迴圈）</v>
      </c>
      <c r="F4" s="162" t="str">
        <f aca="false">Workload!F4</f>
        <v>多代理研究</v>
      </c>
      <c r="G4" s="162" t="str">
        <f aca="false">Workload!G4</f>
        <v>Coding agent（長程）</v>
      </c>
    </row>
    <row r="5" customFormat="false" ht="15" hidden="false" customHeight="false" outlineLevel="0" collapsed="false">
      <c r="A5" s="73" t="s">
        <v>1921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57" t="s">
        <v>1922</v>
      </c>
    </row>
    <row r="7" customFormat="false" ht="15" hidden="false" customHeight="false" outlineLevel="0" collapsed="false">
      <c r="A7" s="5" t="s">
        <v>374</v>
      </c>
      <c r="B7" s="58" t="s">
        <v>375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1923</v>
      </c>
      <c r="B8" s="59" t="s">
        <v>275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1843</v>
      </c>
      <c r="B9" s="59" t="s">
        <v>89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1924</v>
      </c>
      <c r="B10" s="59" t="s">
        <v>89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1925</v>
      </c>
      <c r="B11" s="58" t="s">
        <v>312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1886</v>
      </c>
      <c r="B12" s="59" t="s">
        <v>93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401</v>
      </c>
      <c r="B13" s="59" t="s">
        <v>275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402</v>
      </c>
      <c r="B14" s="59" t="s">
        <v>275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1926</v>
      </c>
      <c r="B15" s="59" t="s">
        <v>275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1927</v>
      </c>
      <c r="B16" s="59" t="s">
        <v>275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1928</v>
      </c>
      <c r="B17" s="59" t="s">
        <v>93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407</v>
      </c>
      <c r="B18" s="59" t="s">
        <v>275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408</v>
      </c>
      <c r="B19" s="59" t="s">
        <v>275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409</v>
      </c>
      <c r="B20" s="59" t="s">
        <v>275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410</v>
      </c>
      <c r="B21" s="59" t="s">
        <v>275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57" t="s">
        <v>1929</v>
      </c>
    </row>
    <row r="24" customFormat="false" ht="15" hidden="false" customHeight="false" outlineLevel="0" collapsed="false">
      <c r="A24" s="5" t="s">
        <v>374</v>
      </c>
      <c r="B24" s="58" t="s">
        <v>375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1923</v>
      </c>
      <c r="B25" s="59" t="s">
        <v>275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1843</v>
      </c>
      <c r="B26" s="59" t="s">
        <v>89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1924</v>
      </c>
      <c r="B27" s="59" t="s">
        <v>89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1925</v>
      </c>
      <c r="B28" s="58" t="s">
        <v>312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1886</v>
      </c>
      <c r="B29" s="59" t="s">
        <v>93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401</v>
      </c>
      <c r="B30" s="59" t="s">
        <v>275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402</v>
      </c>
      <c r="B31" s="59" t="s">
        <v>275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1926</v>
      </c>
      <c r="B32" s="59" t="s">
        <v>275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1927</v>
      </c>
      <c r="B33" s="59" t="s">
        <v>275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1928</v>
      </c>
      <c r="B34" s="59" t="s">
        <v>93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407</v>
      </c>
      <c r="B35" s="59" t="s">
        <v>275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408</v>
      </c>
      <c r="B36" s="59" t="s">
        <v>275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409</v>
      </c>
      <c r="B37" s="59" t="s">
        <v>275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410</v>
      </c>
      <c r="B38" s="59" t="s">
        <v>275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57" t="s">
        <v>1930</v>
      </c>
    </row>
    <row r="41" customFormat="false" ht="15" hidden="false" customHeight="false" outlineLevel="0" collapsed="false">
      <c r="A41" s="5" t="s">
        <v>407</v>
      </c>
      <c r="B41" s="59" t="s">
        <v>275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408</v>
      </c>
      <c r="B42" s="59" t="s">
        <v>275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409</v>
      </c>
      <c r="B43" s="59" t="s">
        <v>275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410</v>
      </c>
      <c r="B44" s="59" t="s">
        <v>275</v>
      </c>
      <c r="C44" s="163" t="n">
        <f aca="false">Workload!C35</f>
        <v>3000</v>
      </c>
      <c r="D44" s="163" t="n">
        <f aca="false">Workload!D35</f>
        <v>6200</v>
      </c>
      <c r="E44" s="163" t="n">
        <f aca="false">Workload!E35</f>
        <v>27600</v>
      </c>
      <c r="F44" s="163" t="n">
        <f aca="false">Workload!F35</f>
        <v>110400</v>
      </c>
      <c r="G44" s="163" t="n">
        <f aca="false">Workload!G35</f>
        <v>1494000</v>
      </c>
    </row>
    <row r="45" customFormat="false" ht="15" hidden="false" customHeight="false" outlineLevel="0" collapsed="false">
      <c r="A45" s="5" t="s">
        <v>1931</v>
      </c>
      <c r="B45" s="59" t="s">
        <v>93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1932</v>
      </c>
    </row>
    <row r="47" customFormat="false" ht="15" hidden="false" customHeight="false" outlineLevel="0" collapsed="false">
      <c r="A47" s="73" t="s">
        <v>1933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1934</v>
      </c>
      <c r="B48" s="59" t="s">
        <v>1146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1935</v>
      </c>
      <c r="B49" s="59" t="s">
        <v>1146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1936</v>
      </c>
      <c r="B50" s="59" t="s">
        <v>1146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1937</v>
      </c>
      <c r="B51" s="59" t="s">
        <v>93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1938</v>
      </c>
      <c r="B52" s="59" t="s">
        <v>93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1939</v>
      </c>
      <c r="B53" s="59" t="s">
        <v>93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1940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1941</v>
      </c>
      <c r="B56" s="59" t="s">
        <v>89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1942</v>
      </c>
      <c r="B57" s="59" t="s">
        <v>89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1943</v>
      </c>
      <c r="B58" s="59" t="s">
        <v>89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1944</v>
      </c>
      <c r="B59" s="59" t="s">
        <v>89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1945</v>
      </c>
      <c r="B60" s="59" t="s">
        <v>89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1946</v>
      </c>
      <c r="B61" s="59" t="s">
        <v>89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1947</v>
      </c>
      <c r="B62" s="59" t="s">
        <v>89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1948</v>
      </c>
      <c r="B63" s="59" t="s">
        <v>89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1949</v>
      </c>
      <c r="B64" s="59" t="s">
        <v>89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1950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1951</v>
      </c>
      <c r="B67" s="59" t="s">
        <v>419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1952</v>
      </c>
      <c r="B68" s="59" t="s">
        <v>419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1953</v>
      </c>
      <c r="B69" s="59" t="s">
        <v>419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1954</v>
      </c>
      <c r="B70" s="59" t="s">
        <v>419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1955</v>
      </c>
      <c r="B71" s="59" t="s">
        <v>419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1956</v>
      </c>
      <c r="B72" s="59" t="s">
        <v>419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1957</v>
      </c>
      <c r="B73" s="59" t="s">
        <v>419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1958</v>
      </c>
      <c r="B74" s="59" t="s">
        <v>419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1959</v>
      </c>
      <c r="B75" s="59" t="s">
        <v>419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1960</v>
      </c>
      <c r="B76" s="59" t="s">
        <v>419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1961</v>
      </c>
      <c r="B77" s="59" t="s">
        <v>419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1962</v>
      </c>
      <c r="B78" s="59" t="s">
        <v>419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1963</v>
      </c>
      <c r="B79" s="59" t="s">
        <v>419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1964</v>
      </c>
      <c r="B80" s="59" t="s">
        <v>419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1965</v>
      </c>
      <c r="B81" s="59" t="s">
        <v>419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1966</v>
      </c>
      <c r="B82" s="59" t="s">
        <v>419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1967</v>
      </c>
      <c r="B83" s="59" t="s">
        <v>419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1968</v>
      </c>
      <c r="B84" s="59" t="s">
        <v>419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1969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1951</v>
      </c>
      <c r="B87" s="59" t="s">
        <v>419</v>
      </c>
      <c r="C87" s="164" t="n">
        <f aca="false">IF(AND(ISNUMBER(C67),C56&gt;0),C67/C56,"SLO 不可達")</f>
        <v>0.000102418941208421</v>
      </c>
      <c r="D87" s="164" t="n">
        <f aca="false">IF(AND(ISNUMBER(D67),D56&gt;0),D67/D56,"SLO 不可達")</f>
        <v>0.000736788526866689</v>
      </c>
      <c r="E87" s="164" t="n">
        <f aca="false">IF(AND(ISNUMBER(E67),E56&gt;0),E67/E56,"SLO 不可達")</f>
        <v>0.000677859629711026</v>
      </c>
      <c r="F87" s="164" t="n">
        <f aca="false">IF(AND(ISNUMBER(F67),F56&gt;0),F67/F56,"SLO 不可達")</f>
        <v>0.00422314977569979</v>
      </c>
      <c r="G87" s="164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1952</v>
      </c>
      <c r="B88" s="59" t="s">
        <v>419</v>
      </c>
      <c r="C88" s="165" t="n">
        <f aca="false">IF(AND(ISNUMBER(C68),C57&gt;0),C68/C57,"SLO 不可達")</f>
        <v>0.000102418941208421</v>
      </c>
      <c r="D88" s="165" t="n">
        <f aca="false">IF(AND(ISNUMBER(D68),D57&gt;0),D68/D57,"SLO 不可達")</f>
        <v>0.000736788526866689</v>
      </c>
      <c r="E88" s="165" t="n">
        <f aca="false">IF(AND(ISNUMBER(E68),E57&gt;0),E68/E57,"SLO 不可達")</f>
        <v>0.000677859629711026</v>
      </c>
      <c r="F88" s="165" t="n">
        <f aca="false">IF(AND(ISNUMBER(F68),F57&gt;0),F68/F57,"SLO 不可達")</f>
        <v>0.00422314977569979</v>
      </c>
      <c r="G88" s="165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1953</v>
      </c>
      <c r="B89" s="59" t="s">
        <v>419</v>
      </c>
      <c r="C89" s="164" t="n">
        <f aca="false">IF(AND(ISNUMBER(C69),C58&gt;0),C69/C58,"SLO 不可達")</f>
        <v>0.000102418941208421</v>
      </c>
      <c r="D89" s="164" t="n">
        <f aca="false">IF(AND(ISNUMBER(D69),D58&gt;0),D69/D58,"SLO 不可達")</f>
        <v>0.000736788526866689</v>
      </c>
      <c r="E89" s="164" t="n">
        <f aca="false">IF(AND(ISNUMBER(E69),E58&gt;0),E69/E58,"SLO 不可達")</f>
        <v>0.000400399903202603</v>
      </c>
      <c r="F89" s="164" t="n">
        <f aca="false">IF(AND(ISNUMBER(F69),F58&gt;0),F69/F58,"SLO 不可達")</f>
        <v>0.00201301212487506</v>
      </c>
      <c r="G89" s="164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1954</v>
      </c>
      <c r="B90" s="59" t="s">
        <v>419</v>
      </c>
      <c r="C90" s="164" t="n">
        <f aca="false">IF(AND(ISNUMBER(C70),C59&gt;0),C70/C59,"SLO 不可達")</f>
        <v>0.000320037803771877</v>
      </c>
      <c r="D90" s="164" t="n">
        <f aca="false">IF(AND(ISNUMBER(D70),D59&gt;0),D70/D59,"SLO 不可達")</f>
        <v>0.00215001015603622</v>
      </c>
      <c r="E90" s="164" t="n">
        <f aca="false">IF(AND(ISNUMBER(E70),E59&gt;0),E70/E59,"SLO 不可達")</f>
        <v>0.00169937973226251</v>
      </c>
      <c r="F90" s="164" t="n">
        <f aca="false">IF(AND(ISNUMBER(F70),F59&gt;0),F70/F59,"SLO 不可達")</f>
        <v>0.00817849315025566</v>
      </c>
      <c r="G90" s="164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1955</v>
      </c>
      <c r="B91" s="59" t="s">
        <v>419</v>
      </c>
      <c r="C91" s="165" t="n">
        <f aca="false">IF(AND(ISNUMBER(C71),C60&gt;0),C71/C60,"SLO 不可達")</f>
        <v>0.000320037803771877</v>
      </c>
      <c r="D91" s="165" t="n">
        <f aca="false">IF(AND(ISNUMBER(D71),D60&gt;0),D71/D60,"SLO 不可達")</f>
        <v>0.00215001015603622</v>
      </c>
      <c r="E91" s="165" t="n">
        <f aca="false">IF(AND(ISNUMBER(E71),E60&gt;0),E71/E60,"SLO 不可達")</f>
        <v>0.00169937973226251</v>
      </c>
      <c r="F91" s="165" t="n">
        <f aca="false">IF(AND(ISNUMBER(F71),F60&gt;0),F71/F60,"SLO 不可達")</f>
        <v>0.00817849315025566</v>
      </c>
      <c r="G91" s="165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1956</v>
      </c>
      <c r="B92" s="59" t="s">
        <v>419</v>
      </c>
      <c r="C92" s="164" t="n">
        <f aca="false">IF(AND(ISNUMBER(C72),C61&gt;0),C72/C61,"SLO 不可達")</f>
        <v>0.000320037803771877</v>
      </c>
      <c r="D92" s="164" t="n">
        <f aca="false">IF(AND(ISNUMBER(D72),D61&gt;0),D72/D61,"SLO 不可達")</f>
        <v>0.00215001015603622</v>
      </c>
      <c r="E92" s="164" t="n">
        <f aca="false">IF(AND(ISNUMBER(E72),E61&gt;0),E72/E61,"SLO 不可達")</f>
        <v>0.00102872192666894</v>
      </c>
      <c r="F92" s="164" t="n">
        <f aca="false">IF(AND(ISNUMBER(F72),F61&gt;0),F72/F61,"SLO 不可達")</f>
        <v>0.00449037538436144</v>
      </c>
      <c r="G92" s="164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1957</v>
      </c>
      <c r="B93" s="59" t="s">
        <v>419</v>
      </c>
      <c r="C93" s="164" t="n">
        <f aca="false">IF(AND(ISNUMBER(C73),C62&gt;0),C73/C62,"SLO 不可達")</f>
        <v>0.00157160157133891</v>
      </c>
      <c r="D93" s="164" t="n">
        <f aca="false">IF(AND(ISNUMBER(D73),D62&gt;0),D73/D62,"SLO 不可達")</f>
        <v>0.0108878916138528</v>
      </c>
      <c r="E93" s="164" t="n">
        <f aca="false">IF(AND(ISNUMBER(E73),E62&gt;0),E73/E62,"SLO 不可達")</f>
        <v>0.00803749287272112</v>
      </c>
      <c r="F93" s="164" t="n">
        <f aca="false">IF(AND(ISNUMBER(F73),F62&gt;0),F73/F62,"SLO 不可達")</f>
        <v>0.03621683785633</v>
      </c>
      <c r="G93" s="164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1958</v>
      </c>
      <c r="B94" s="59" t="s">
        <v>419</v>
      </c>
      <c r="C94" s="165" t="n">
        <f aca="false">IF(AND(ISNUMBER(C74),C63&gt;0),C74/C63,"SLO 不可達")</f>
        <v>0.00157160157133891</v>
      </c>
      <c r="D94" s="165" t="n">
        <f aca="false">IF(AND(ISNUMBER(D74),D63&gt;0),D74/D63,"SLO 不可達")</f>
        <v>0.0108878916138528</v>
      </c>
      <c r="E94" s="165" t="n">
        <f aca="false">IF(AND(ISNUMBER(E74),E63&gt;0),E74/E63,"SLO 不可達")</f>
        <v>0.00803749287272112</v>
      </c>
      <c r="F94" s="165" t="n">
        <f aca="false">IF(AND(ISNUMBER(F74),F63&gt;0),F74/F63,"SLO 不可達")</f>
        <v>0.03621683785633</v>
      </c>
      <c r="G94" s="165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1959</v>
      </c>
      <c r="B95" s="59" t="s">
        <v>419</v>
      </c>
      <c r="C95" s="164" t="n">
        <f aca="false">IF(AND(ISNUMBER(C75),C64&gt;0),C75/C64,"SLO 不可達")</f>
        <v>0.00157160157133891</v>
      </c>
      <c r="D95" s="164" t="n">
        <f aca="false">IF(AND(ISNUMBER(D75),D64&gt;0),D75/D64,"SLO 不可達")</f>
        <v>0.0108878916138528</v>
      </c>
      <c r="E95" s="164" t="n">
        <f aca="false">IF(AND(ISNUMBER(E75),E64&gt;0),E75/E64,"SLO 不可達")</f>
        <v>0.00488770705750587</v>
      </c>
      <c r="F95" s="164" t="n">
        <f aca="false">IF(AND(ISNUMBER(F75),F64&gt;0),F75/F64,"SLO 不可達")</f>
        <v>0.0206556512445227</v>
      </c>
      <c r="G95" s="164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1960</v>
      </c>
      <c r="B96" s="59" t="s">
        <v>419</v>
      </c>
      <c r="C96" s="164" t="n">
        <f aca="false">IF(AND(ISNUMBER(C76),C56&gt;0),C76/C56,"SLO 不可達")</f>
        <v>0.000134816391831662</v>
      </c>
      <c r="D96" s="164" t="n">
        <f aca="false">IF(AND(ISNUMBER(D76),D56&gt;0),D76/D56,"SLO 不可達")</f>
        <v>0.000976510141922234</v>
      </c>
      <c r="E96" s="164" t="n">
        <f aca="false">IF(AND(ISNUMBER(E76),E56&gt;0),E76/E56,"SLO 不可達")</f>
        <v>0.000891554068947909</v>
      </c>
      <c r="F96" s="164" t="n">
        <f aca="false">IF(AND(ISNUMBER(F76),F56&gt;0),F76/F56,"SLO 不可達")</f>
        <v>0.00555449270213466</v>
      </c>
      <c r="G96" s="164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1961</v>
      </c>
      <c r="B97" s="59" t="s">
        <v>419</v>
      </c>
      <c r="C97" s="164" t="n">
        <f aca="false">IF(AND(ISNUMBER(C77),C57&gt;0),C77/C57,"SLO 不可達")</f>
        <v>0.000134816391831662</v>
      </c>
      <c r="D97" s="164" t="n">
        <f aca="false">IF(AND(ISNUMBER(D77),D57&gt;0),D77/D57,"SLO 不可達")</f>
        <v>0.000976510141922234</v>
      </c>
      <c r="E97" s="164" t="n">
        <f aca="false">IF(AND(ISNUMBER(E77),E57&gt;0),E77/E57,"SLO 不可達")</f>
        <v>0.000891554068947909</v>
      </c>
      <c r="F97" s="164" t="n">
        <f aca="false">IF(AND(ISNUMBER(F77),F57&gt;0),F77/F57,"SLO 不可達")</f>
        <v>0.00555449270213466</v>
      </c>
      <c r="G97" s="164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1962</v>
      </c>
      <c r="B98" s="59" t="s">
        <v>419</v>
      </c>
      <c r="C98" s="164" t="n">
        <f aca="false">IF(AND(ISNUMBER(C78),C58&gt;0),C78/C58,"SLO 不可達")</f>
        <v>0.000134816391831662</v>
      </c>
      <c r="D98" s="164" t="n">
        <f aca="false">IF(AND(ISNUMBER(D78),D58&gt;0),D78/D58,"SLO 不可達")</f>
        <v>0.000976510141922234</v>
      </c>
      <c r="E98" s="164" t="n">
        <f aca="false">IF(AND(ISNUMBER(E78),E58&gt;0),E78/E58,"SLO 不可達")</f>
        <v>0.000525988799905916</v>
      </c>
      <c r="F98" s="164" t="n">
        <f aca="false">IF(AND(ISNUMBER(F78),F58&gt;0),F78/F58,"SLO 不可達")</f>
        <v>0.00264441080851941</v>
      </c>
      <c r="G98" s="164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1963</v>
      </c>
      <c r="B99" s="59" t="s">
        <v>419</v>
      </c>
      <c r="C99" s="164" t="n">
        <f aca="false">IF(AND(ISNUMBER(C79),C59&gt;0),C79/C59,"SLO 不可達")</f>
        <v>0.000456557468166472</v>
      </c>
      <c r="D99" s="164" t="n">
        <f aca="false">IF(AND(ISNUMBER(D79),D59&gt;0),D79/D59,"SLO 不可達")</f>
        <v>0.00311845448138764</v>
      </c>
      <c r="E99" s="164" t="n">
        <f aca="false">IF(AND(ISNUMBER(E79),E59&gt;0),E79/E59,"SLO 不可達")</f>
        <v>0.00242503421880443</v>
      </c>
      <c r="F99" s="164" t="n">
        <f aca="false">IF(AND(ISNUMBER(F79),F59&gt;0),F79/F59,"SLO 不可達")</f>
        <v>0.0116708028059287</v>
      </c>
      <c r="G99" s="164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1964</v>
      </c>
      <c r="B100" s="59" t="s">
        <v>419</v>
      </c>
      <c r="C100" s="164" t="n">
        <f aca="false">IF(AND(ISNUMBER(C80),C60&gt;0),C80/C60,"SLO 不可達")</f>
        <v>0.000456557468166472</v>
      </c>
      <c r="D100" s="164" t="n">
        <f aca="false">IF(AND(ISNUMBER(D80),D60&gt;0),D80/D60,"SLO 不可達")</f>
        <v>0.00311845448138764</v>
      </c>
      <c r="E100" s="164" t="n">
        <f aca="false">IF(AND(ISNUMBER(E80),E60&gt;0),E80/E60,"SLO 不可達")</f>
        <v>0.00242503421880443</v>
      </c>
      <c r="F100" s="164" t="n">
        <f aca="false">IF(AND(ISNUMBER(F80),F60&gt;0),F80/F60,"SLO 不可達")</f>
        <v>0.0116708028059287</v>
      </c>
      <c r="G100" s="164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1965</v>
      </c>
      <c r="B101" s="59" t="s">
        <v>419</v>
      </c>
      <c r="C101" s="164" t="n">
        <f aca="false">IF(AND(ISNUMBER(C81),C61&gt;0),C81/C61,"SLO 不可達")</f>
        <v>0.000456557468166472</v>
      </c>
      <c r="D101" s="164" t="n">
        <f aca="false">IF(AND(ISNUMBER(D81),D61&gt;0),D81/D61,"SLO 不可達")</f>
        <v>0.00311845448138764</v>
      </c>
      <c r="E101" s="164" t="n">
        <f aca="false">IF(AND(ISNUMBER(E81),E61&gt;0),E81/E61,"SLO 不可達")</f>
        <v>0.00146542851715529</v>
      </c>
      <c r="F101" s="164" t="n">
        <f aca="false">IF(AND(ISNUMBER(F81),F61&gt;0),F81/F61,"SLO 不可達")</f>
        <v>0.00639660142394636</v>
      </c>
      <c r="G101" s="164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1966</v>
      </c>
      <c r="B102" s="59" t="s">
        <v>419</v>
      </c>
      <c r="C102" s="164" t="n">
        <f aca="false">IF(AND(ISNUMBER(C82),C62&gt;0),C82/C62,"SLO 不可達")</f>
        <v>0.00310142651340531</v>
      </c>
      <c r="D102" s="164" t="n">
        <f aca="false">IF(AND(ISNUMBER(D82),D62&gt;0),D82/D62,"SLO 不可達")</f>
        <v>0.0221645926254829</v>
      </c>
      <c r="E102" s="164" t="n">
        <f aca="false">IF(AND(ISNUMBER(E82),E62&gt;0),E82/E62,"SLO 不可達")</f>
        <v>0.0158568743601987</v>
      </c>
      <c r="F102" s="164" t="n">
        <f aca="false">IF(AND(ISNUMBER(F82),F62&gt;0),F82/F62,"SLO 不可達")</f>
        <v>0.0714508686608747</v>
      </c>
      <c r="G102" s="164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1967</v>
      </c>
      <c r="B103" s="59" t="s">
        <v>419</v>
      </c>
      <c r="C103" s="164" t="n">
        <f aca="false">IF(AND(ISNUMBER(C83),C63&gt;0),C83/C63,"SLO 不可達")</f>
        <v>0.00310142651340531</v>
      </c>
      <c r="D103" s="164" t="n">
        <f aca="false">IF(AND(ISNUMBER(D83),D63&gt;0),D83/D63,"SLO 不可達")</f>
        <v>0.0221645926254829</v>
      </c>
      <c r="E103" s="164" t="n">
        <f aca="false">IF(AND(ISNUMBER(E83),E63&gt;0),E83/E63,"SLO 不可達")</f>
        <v>0.0158568743601987</v>
      </c>
      <c r="F103" s="164" t="n">
        <f aca="false">IF(AND(ISNUMBER(F83),F63&gt;0),F83/F63,"SLO 不可達")</f>
        <v>0.0714508686608747</v>
      </c>
      <c r="G103" s="164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1968</v>
      </c>
      <c r="B104" s="59" t="s">
        <v>419</v>
      </c>
      <c r="C104" s="164" t="n">
        <f aca="false">IF(AND(ISNUMBER(C84),C64&gt;0),C84/C64,"SLO 不可達")</f>
        <v>0.00310142651340531</v>
      </c>
      <c r="D104" s="164" t="n">
        <f aca="false">IF(AND(ISNUMBER(D84),D64&gt;0),D84/D64,"SLO 不可達")</f>
        <v>0.0221645926254829</v>
      </c>
      <c r="E104" s="164" t="n">
        <f aca="false">IF(AND(ISNUMBER(E84),E64&gt;0),E84/E64,"SLO 不可達")</f>
        <v>0.00959862411011258</v>
      </c>
      <c r="F104" s="164" t="n">
        <f aca="false">IF(AND(ISNUMBER(F84),F64&gt;0),F84/F64,"SLO 不可達")</f>
        <v>0.0405641806501645</v>
      </c>
      <c r="G104" s="164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1970</v>
      </c>
      <c r="B105" s="59" t="s">
        <v>275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1971</v>
      </c>
      <c r="B106" s="59" t="s">
        <v>275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1972</v>
      </c>
      <c r="B107" s="59" t="s">
        <v>275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1973</v>
      </c>
      <c r="B108" s="59" t="s">
        <v>275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1974</v>
      </c>
      <c r="B109" s="59" t="s">
        <v>275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1975</v>
      </c>
      <c r="B110" s="59" t="s">
        <v>275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1976</v>
      </c>
      <c r="B111" s="59" t="s">
        <v>275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1977</v>
      </c>
      <c r="B112" s="59" t="s">
        <v>275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1978</v>
      </c>
      <c r="B113" s="59" t="s">
        <v>275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1979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1980</v>
      </c>
      <c r="B116" s="59" t="s">
        <v>419</v>
      </c>
      <c r="C116" s="164" t="n">
        <f aca="false">(C18*INDEX(B4_EffIn,1,1)+C19*INDEX(B4_EffCache,1,1)+C20*INDEX(B4_EffOut,1,1))/1000000</f>
        <v>0.000328</v>
      </c>
      <c r="D116" s="164" t="n">
        <f aca="false">(D18*INDEX(B4_EffIn,1,1)+D19*INDEX(B4_EffCache,1,1)+D20*INDEX(B4_EffOut,1,1))/1000000</f>
        <v>0.001608</v>
      </c>
      <c r="E116" s="164" t="n">
        <f aca="false">(E18*INDEX(B4_EffIn,1,1)+E19*INDEX(B4_EffCache,1,1)+E20*INDEX(B4_EffOut,1,1))/1000000</f>
        <v>0.00165408</v>
      </c>
      <c r="F116" s="164" t="n">
        <f aca="false">(F18*INDEX(B4_EffIn,1,1)+F19*INDEX(B4_EffCache,1,1)+F20*INDEX(B4_EffOut,1,1))/1000000</f>
        <v>0.00661632</v>
      </c>
      <c r="G116" s="16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1981</v>
      </c>
      <c r="B117" s="59" t="s">
        <v>419</v>
      </c>
      <c r="C117" s="164" t="n">
        <f aca="false">(C41*INDEX(B4_EffIn,1,1)+C42*INDEX(B4_EffCache,1,1)+C43*INDEX(B4_EffOut,1,1))/1000000</f>
        <v>0.000328</v>
      </c>
      <c r="D117" s="164" t="n">
        <f aca="false">(D41*INDEX(B4_EffIn,1,1)+D42*INDEX(B4_EffCache,1,1)+D43*INDEX(B4_EffOut,1,1))/1000000</f>
        <v>0.001608</v>
      </c>
      <c r="E117" s="164" t="n">
        <f aca="false">(E41*INDEX(B4_EffIn,1,1)+E42*INDEX(B4_EffCache,1,1)+E43*INDEX(B4_EffOut,1,1))/1000000</f>
        <v>0.00165408</v>
      </c>
      <c r="F117" s="164" t="n">
        <f aca="false">(F41*INDEX(B4_EffIn,1,1)+F42*INDEX(B4_EffCache,1,1)+F43*INDEX(B4_EffOut,1,1))/1000000</f>
        <v>0.00661632</v>
      </c>
      <c r="G117" s="16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1982</v>
      </c>
      <c r="B118" s="59" t="s">
        <v>419</v>
      </c>
      <c r="C118" s="164" t="n">
        <f aca="false">(C35*INDEX(B4_EffIn,1,1)+C36*INDEX(B4_EffCache,1,1)+C37*INDEX(B4_EffOut,1,1))/1000000</f>
        <v>0.000328</v>
      </c>
      <c r="D118" s="164" t="n">
        <f aca="false">(D35*INDEX(B4_EffIn,1,1)+D36*INDEX(B4_EffCache,1,1)+D37*INDEX(B4_EffOut,1,1))/1000000</f>
        <v>0.001608</v>
      </c>
      <c r="E118" s="164" t="n">
        <f aca="false">(E35*INDEX(B4_EffIn,1,1)+E36*INDEX(B4_EffCache,1,1)+E37*INDEX(B4_EffOut,1,1))/1000000</f>
        <v>0.001024998016</v>
      </c>
      <c r="F118" s="164" t="n">
        <f aca="false">(F35*INDEX(B4_EffIn,1,1)+F36*INDEX(B4_EffCache,1,1)+F37*INDEX(B4_EffOut,1,1))/1000000</f>
        <v>0.004099992064</v>
      </c>
      <c r="G118" s="16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1983</v>
      </c>
      <c r="B119" s="59" t="s">
        <v>419</v>
      </c>
      <c r="C119" s="164" t="n">
        <f aca="false">(C18*INDEX(B4_EffIn,1,2)+C19*INDEX(B4_EffCache,1,2)+C20*INDEX(B4_EffOut,1,2))/1000000</f>
        <v>0.00656</v>
      </c>
      <c r="D119" s="164" t="n">
        <f aca="false">(D18*INDEX(B4_EffIn,1,2)+D19*INDEX(B4_EffCache,1,2)+D20*INDEX(B4_EffOut,1,2))/1000000</f>
        <v>0.03216</v>
      </c>
      <c r="E119" s="164" t="n">
        <f aca="false">(E18*INDEX(B4_EffIn,1,2)+E19*INDEX(B4_EffCache,1,2)+E20*INDEX(B4_EffOut,1,2))/1000000</f>
        <v>0.0330816</v>
      </c>
      <c r="F119" s="164" t="n">
        <f aca="false">(F18*INDEX(B4_EffIn,1,2)+F19*INDEX(B4_EffCache,1,2)+F20*INDEX(B4_EffOut,1,2))/1000000</f>
        <v>0.1323264</v>
      </c>
      <c r="G119" s="16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1984</v>
      </c>
      <c r="B120" s="59" t="s">
        <v>419</v>
      </c>
      <c r="C120" s="164" t="n">
        <f aca="false">(C41*INDEX(B4_EffIn,1,2)+C42*INDEX(B4_EffCache,1,2)+C43*INDEX(B4_EffOut,1,2))/1000000</f>
        <v>0.00656</v>
      </c>
      <c r="D120" s="164" t="n">
        <f aca="false">(D41*INDEX(B4_EffIn,1,2)+D42*INDEX(B4_EffCache,1,2)+D43*INDEX(B4_EffOut,1,2))/1000000</f>
        <v>0.03216</v>
      </c>
      <c r="E120" s="164" t="n">
        <f aca="false">(E41*INDEX(B4_EffIn,1,2)+E42*INDEX(B4_EffCache,1,2)+E43*INDEX(B4_EffOut,1,2))/1000000</f>
        <v>0.0330816</v>
      </c>
      <c r="F120" s="164" t="n">
        <f aca="false">(F41*INDEX(B4_EffIn,1,2)+F42*INDEX(B4_EffCache,1,2)+F43*INDEX(B4_EffOut,1,2))/1000000</f>
        <v>0.1323264</v>
      </c>
      <c r="G120" s="16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1985</v>
      </c>
      <c r="B121" s="59" t="s">
        <v>419</v>
      </c>
      <c r="C121" s="164" t="n">
        <f aca="false">(C35*INDEX(B4_EffIn,1,2)+C36*INDEX(B4_EffCache,1,2)+C37*INDEX(B4_EffOut,1,2))/1000000</f>
        <v>0.00656</v>
      </c>
      <c r="D121" s="164" t="n">
        <f aca="false">(D35*INDEX(B4_EffIn,1,2)+D36*INDEX(B4_EffCache,1,2)+D37*INDEX(B4_EffOut,1,2))/1000000</f>
        <v>0.03216</v>
      </c>
      <c r="E121" s="164" t="n">
        <f aca="false">(E35*INDEX(B4_EffIn,1,2)+E36*INDEX(B4_EffCache,1,2)+E37*INDEX(B4_EffOut,1,2))/1000000</f>
        <v>0.02049996032</v>
      </c>
      <c r="F121" s="164" t="n">
        <f aca="false">(F35*INDEX(B4_EffIn,1,2)+F36*INDEX(B4_EffCache,1,2)+F37*INDEX(B4_EffOut,1,2))/1000000</f>
        <v>0.08199984128</v>
      </c>
      <c r="G121" s="16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1986</v>
      </c>
      <c r="B122" s="59" t="s">
        <v>419</v>
      </c>
      <c r="C122" s="164" t="n">
        <f aca="false">(C18*INDEX(B4_EffIn,1,3)+C19*INDEX(B4_EffCache,1,3)+C20*INDEX(B4_EffOut,1,3))/1000000</f>
        <v>0.0328</v>
      </c>
      <c r="D122" s="164" t="n">
        <f aca="false">(D18*INDEX(B4_EffIn,1,3)+D19*INDEX(B4_EffCache,1,3)+D20*INDEX(B4_EffOut,1,3))/1000000</f>
        <v>0.1608</v>
      </c>
      <c r="E122" s="164" t="n">
        <f aca="false">(E18*INDEX(B4_EffIn,1,3)+E19*INDEX(B4_EffCache,1,3)+E20*INDEX(B4_EffOut,1,3))/1000000</f>
        <v>0.165408</v>
      </c>
      <c r="F122" s="164" t="n">
        <f aca="false">(F18*INDEX(B4_EffIn,1,3)+F19*INDEX(B4_EffCache,1,3)+F20*INDEX(B4_EffOut,1,3))/1000000</f>
        <v>0.661632</v>
      </c>
      <c r="G122" s="16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1987</v>
      </c>
      <c r="B123" s="59" t="s">
        <v>419</v>
      </c>
      <c r="C123" s="164" t="n">
        <f aca="false">(C41*INDEX(B4_EffIn,1,3)+C42*INDEX(B4_EffCache,1,3)+C43*INDEX(B4_EffOut,1,3))/1000000</f>
        <v>0.0328</v>
      </c>
      <c r="D123" s="164" t="n">
        <f aca="false">(D41*INDEX(B4_EffIn,1,3)+D42*INDEX(B4_EffCache,1,3)+D43*INDEX(B4_EffOut,1,3))/1000000</f>
        <v>0.1608</v>
      </c>
      <c r="E123" s="164" t="n">
        <f aca="false">(E41*INDEX(B4_EffIn,1,3)+E42*INDEX(B4_EffCache,1,3)+E43*INDEX(B4_EffOut,1,3))/1000000</f>
        <v>0.165408</v>
      </c>
      <c r="F123" s="164" t="n">
        <f aca="false">(F41*INDEX(B4_EffIn,1,3)+F42*INDEX(B4_EffCache,1,3)+F43*INDEX(B4_EffOut,1,3))/1000000</f>
        <v>0.661632</v>
      </c>
      <c r="G123" s="16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1988</v>
      </c>
      <c r="B124" s="59" t="s">
        <v>419</v>
      </c>
      <c r="C124" s="164" t="n">
        <f aca="false">(C35*INDEX(B4_EffIn,1,3)+C36*INDEX(B4_EffCache,1,3)+C37*INDEX(B4_EffOut,1,3))/1000000</f>
        <v>0.0328</v>
      </c>
      <c r="D124" s="164" t="n">
        <f aca="false">(D35*INDEX(B4_EffIn,1,3)+D36*INDEX(B4_EffCache,1,3)+D37*INDEX(B4_EffOut,1,3))/1000000</f>
        <v>0.1608</v>
      </c>
      <c r="E124" s="164" t="n">
        <f aca="false">(E35*INDEX(B4_EffIn,1,3)+E36*INDEX(B4_EffCache,1,3)+E37*INDEX(B4_EffOut,1,3))/1000000</f>
        <v>0.1024998016</v>
      </c>
      <c r="F124" s="164" t="n">
        <f aca="false">(F35*INDEX(B4_EffIn,1,3)+F36*INDEX(B4_EffCache,1,3)+F37*INDEX(B4_EffOut,1,3))/1000000</f>
        <v>0.4099992064</v>
      </c>
      <c r="G124" s="16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1989</v>
      </c>
      <c r="B125" s="59" t="s">
        <v>419</v>
      </c>
      <c r="C125" s="164" t="n">
        <f aca="false">IF(C56&gt;0,C116/C56,0)</f>
        <v>0.000340869980715914</v>
      </c>
      <c r="D125" s="164" t="n">
        <f aca="false">IF(D56&gt;0,D116/D56,0)</f>
        <v>0.00181896849275965</v>
      </c>
      <c r="E125" s="164" t="n">
        <f aca="false">IF(E56&gt;0,E116/E56,0)</f>
        <v>0.00237971056778149</v>
      </c>
      <c r="F125" s="164" t="n">
        <f aca="false">IF(F56&gt;0,F116/F56,0)</f>
        <v>0.0148258927218325</v>
      </c>
      <c r="G125" s="164" t="n">
        <f aca="false">IF(G56&gt;0,G116/G56,0)</f>
        <v>0.171997108568582</v>
      </c>
    </row>
    <row r="126" customFormat="false" ht="15" hidden="false" customHeight="false" outlineLevel="0" collapsed="false">
      <c r="A126" s="5" t="s">
        <v>1990</v>
      </c>
      <c r="B126" s="59" t="s">
        <v>419</v>
      </c>
      <c r="C126" s="164" t="n">
        <f aca="false">IF(C57&gt;0,C117/C57,0)</f>
        <v>0.000340869980715914</v>
      </c>
      <c r="D126" s="164" t="n">
        <f aca="false">IF(D57&gt;0,D117/D57,0)</f>
        <v>0.00181896849275965</v>
      </c>
      <c r="E126" s="164" t="n">
        <f aca="false">IF(E57&gt;0,E117/E57,0)</f>
        <v>0.00237971056778149</v>
      </c>
      <c r="F126" s="164" t="n">
        <f aca="false">IF(F57&gt;0,F117/F57,0)</f>
        <v>0.0148258927218325</v>
      </c>
      <c r="G126" s="164" t="n">
        <f aca="false">IF(G57&gt;0,G117/G57,0)</f>
        <v>0.171997108568582</v>
      </c>
    </row>
    <row r="127" customFormat="false" ht="15" hidden="false" customHeight="false" outlineLevel="0" collapsed="false">
      <c r="A127" s="5" t="s">
        <v>1991</v>
      </c>
      <c r="B127" s="59" t="s">
        <v>419</v>
      </c>
      <c r="C127" s="164" t="n">
        <f aca="false">IF(C58&gt;0,C118/C58,0)</f>
        <v>0.000340869980715914</v>
      </c>
      <c r="D127" s="164" t="n">
        <f aca="false">IF(D58&gt;0,D118/D58,0)</f>
        <v>0.00181896849275965</v>
      </c>
      <c r="E127" s="164" t="n">
        <f aca="false">IF(E58&gt;0,E118/E58,0)</f>
        <v>0.00141718768484371</v>
      </c>
      <c r="F127" s="164" t="n">
        <f aca="false">IF(F58&gt;0,F118/F58,0)</f>
        <v>0.00712491678942907</v>
      </c>
      <c r="G127" s="164" t="n">
        <f aca="false">IF(G58&gt;0,G118/G58,0)</f>
        <v>0.0648763004524294</v>
      </c>
    </row>
    <row r="128" customFormat="false" ht="15" hidden="false" customHeight="false" outlineLevel="0" collapsed="false">
      <c r="A128" s="5" t="s">
        <v>1992</v>
      </c>
      <c r="B128" s="59" t="s">
        <v>419</v>
      </c>
      <c r="C128" s="164" t="n">
        <f aca="false">IF(C59&gt;0,C119/C59,0)</f>
        <v>0.00663334302966199</v>
      </c>
      <c r="D128" s="164" t="n">
        <f aca="false">IF(D59&gt;0,D119/D59,0)</f>
        <v>0.0333622604201019</v>
      </c>
      <c r="E128" s="164" t="n">
        <f aca="false">IF(E59&gt;0,E119/E59,0)</f>
        <v>0.0372168</v>
      </c>
      <c r="F128" s="164" t="n">
        <f aca="false">IF(F59&gt;0,F119/F59,0)</f>
        <v>0.179110847385002</v>
      </c>
      <c r="G128" s="164" t="n">
        <f aca="false">IF(G59&gt;0,G119/G59,0)</f>
        <v>1.525632</v>
      </c>
    </row>
    <row r="129" customFormat="false" ht="15" hidden="false" customHeight="false" outlineLevel="0" collapsed="false">
      <c r="A129" s="5" t="s">
        <v>1993</v>
      </c>
      <c r="B129" s="59" t="s">
        <v>419</v>
      </c>
      <c r="C129" s="164" t="n">
        <f aca="false">IF(C60&gt;0,C120/C60,0)</f>
        <v>0.00663334302966199</v>
      </c>
      <c r="D129" s="164" t="n">
        <f aca="false">IF(D60&gt;0,D120/D60,0)</f>
        <v>0.0333622604201019</v>
      </c>
      <c r="E129" s="164" t="n">
        <f aca="false">IF(E60&gt;0,E120/E60,0)</f>
        <v>0.0372168</v>
      </c>
      <c r="F129" s="164" t="n">
        <f aca="false">IF(F60&gt;0,F120/F60,0)</f>
        <v>0.179110847385002</v>
      </c>
      <c r="G129" s="164" t="n">
        <f aca="false">IF(G60&gt;0,G120/G60,0)</f>
        <v>1.525632</v>
      </c>
    </row>
    <row r="130" customFormat="false" ht="15" hidden="false" customHeight="false" outlineLevel="0" collapsed="false">
      <c r="A130" s="5" t="s">
        <v>1994</v>
      </c>
      <c r="B130" s="59" t="s">
        <v>419</v>
      </c>
      <c r="C130" s="164" t="n">
        <f aca="false">IF(C61&gt;0,C121/C61,0)</f>
        <v>0.00663334302966199</v>
      </c>
      <c r="D130" s="164" t="n">
        <f aca="false">IF(D61&gt;0,D121/D61,0)</f>
        <v>0.0333622604201019</v>
      </c>
      <c r="E130" s="164" t="n">
        <f aca="false">IF(E61&gt;0,E121/E61,0)</f>
        <v>0.022734958114485</v>
      </c>
      <c r="F130" s="164" t="n">
        <f aca="false">IF(F61&gt;0,F121/F61,0)</f>
        <v>0.0992381844259314</v>
      </c>
      <c r="G130" s="164" t="n">
        <f aca="false">IF(G61&gt;0,G121/G61,0)</f>
        <v>0.670290712417705</v>
      </c>
    </row>
    <row r="131" customFormat="false" ht="15" hidden="false" customHeight="false" outlineLevel="0" collapsed="false">
      <c r="A131" s="5" t="s">
        <v>1995</v>
      </c>
      <c r="B131" s="59" t="s">
        <v>419</v>
      </c>
      <c r="C131" s="164" t="n">
        <f aca="false">IF(C62&gt;0,C122/C62,0)</f>
        <v>0.0330180501317747</v>
      </c>
      <c r="D131" s="164" t="n">
        <f aca="false">IF(D62&gt;0,D122/D62,0)</f>
        <v>0.164374341614178</v>
      </c>
      <c r="E131" s="164" t="n">
        <f aca="false">IF(E62&gt;0,E122/E62,0)</f>
        <v>0.177702023154898</v>
      </c>
      <c r="F131" s="164" t="n">
        <f aca="false">IF(F62&gt;0,F122/F62,0)</f>
        <v>0.800722994254286</v>
      </c>
      <c r="G131" s="164" t="n">
        <f aca="false">IF(G62&gt;0,G122/G62,0)</f>
        <v>6.08194553659479</v>
      </c>
    </row>
    <row r="132" customFormat="false" ht="15" hidden="false" customHeight="false" outlineLevel="0" collapsed="false">
      <c r="A132" s="5" t="s">
        <v>1996</v>
      </c>
      <c r="B132" s="59" t="s">
        <v>419</v>
      </c>
      <c r="C132" s="164" t="n">
        <f aca="false">IF(C63&gt;0,C123/C63,0)</f>
        <v>0.0330180501317747</v>
      </c>
      <c r="D132" s="164" t="n">
        <f aca="false">IF(D63&gt;0,D123/D63,0)</f>
        <v>0.164374341614178</v>
      </c>
      <c r="E132" s="164" t="n">
        <f aca="false">IF(E63&gt;0,E123/E63,0)</f>
        <v>0.177702023154898</v>
      </c>
      <c r="F132" s="164" t="n">
        <f aca="false">IF(F63&gt;0,F123/F63,0)</f>
        <v>0.800722994254286</v>
      </c>
      <c r="G132" s="164" t="n">
        <f aca="false">IF(G63&gt;0,G123/G63,0)</f>
        <v>6.08194553659479</v>
      </c>
    </row>
    <row r="133" customFormat="false" ht="15" hidden="false" customHeight="false" outlineLevel="0" collapsed="false">
      <c r="A133" s="5" t="s">
        <v>1997</v>
      </c>
      <c r="B133" s="59" t="s">
        <v>419</v>
      </c>
      <c r="C133" s="164" t="n">
        <f aca="false">IF(C64&gt;0,C124/C64,0)</f>
        <v>0.0330180501317747</v>
      </c>
      <c r="D133" s="164" t="n">
        <f aca="false">IF(D64&gt;0,D124/D64,0)</f>
        <v>0.164374341614178</v>
      </c>
      <c r="E133" s="164" t="n">
        <f aca="false">IF(E64&gt;0,E124/E64,0)</f>
        <v>0.109144489798042</v>
      </c>
      <c r="F133" s="164" t="n">
        <f aca="false">IF(F64&gt;0,F124/F64,0)</f>
        <v>0.4612491072</v>
      </c>
      <c r="G133" s="164" t="n">
        <f aca="false">IF(G64&gt;0,G124/G64,0)</f>
        <v>2.84482704872992</v>
      </c>
    </row>
    <row r="135" customFormat="false" ht="15" hidden="false" customHeight="false" outlineLevel="0" collapsed="false">
      <c r="A135" s="73" t="s">
        <v>1998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1999</v>
      </c>
      <c r="B136" s="59" t="s">
        <v>93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2000</v>
      </c>
      <c r="B137" s="59" t="s">
        <v>93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2001</v>
      </c>
      <c r="B138" s="59" t="s">
        <v>93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2002</v>
      </c>
      <c r="B139" s="59" t="s">
        <v>93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2003</v>
      </c>
      <c r="B140" s="59" t="s">
        <v>93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2004</v>
      </c>
      <c r="B141" s="59" t="s">
        <v>93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2005</v>
      </c>
      <c r="B142" s="59" t="s">
        <v>93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2006</v>
      </c>
      <c r="B143" s="59" t="s">
        <v>93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2007</v>
      </c>
      <c r="B144" s="59" t="s">
        <v>93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2008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2009</v>
      </c>
      <c r="B147" s="59" t="s">
        <v>419</v>
      </c>
      <c r="C147" s="164" t="n">
        <f aca="false">MIN(C87,C90,C93,C89,C92,C95)</f>
        <v>0.000102418941208421</v>
      </c>
      <c r="D147" s="164" t="n">
        <f aca="false">MIN(D87,D90,D93,D89,D92,D95)</f>
        <v>0.000736788526866689</v>
      </c>
      <c r="E147" s="164" t="n">
        <f aca="false">MIN(E87,E90,E93,E89,E92,E95)</f>
        <v>0.000400399903202603</v>
      </c>
      <c r="F147" s="164" t="n">
        <f aca="false">MIN(F87,F90,F93,F89,F92,F95)</f>
        <v>0.00201301212487506</v>
      </c>
      <c r="G147" s="164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2010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2011</v>
      </c>
      <c r="B149" s="59" t="s">
        <v>419</v>
      </c>
      <c r="C149" s="164" t="n">
        <f aca="false">MIN(C96,C99,C102,C98,C101,C104)</f>
        <v>0.000134816391831662</v>
      </c>
      <c r="D149" s="164" t="n">
        <f aca="false">MIN(D96,D99,D102,D98,D101,D104)</f>
        <v>0.000976510141922234</v>
      </c>
      <c r="E149" s="164" t="n">
        <f aca="false">MIN(E96,E99,E102,E98,E101,E104)</f>
        <v>0.000525988799905916</v>
      </c>
      <c r="F149" s="164" t="n">
        <f aca="false">MIN(F96,F99,F102,F98,F101,F104)</f>
        <v>0.00264441080851941</v>
      </c>
      <c r="G149" s="164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2012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2013</v>
      </c>
      <c r="B151" s="59" t="s">
        <v>419</v>
      </c>
      <c r="C151" s="16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2014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2015</v>
      </c>
      <c r="B153" s="59" t="s">
        <v>89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2016</v>
      </c>
      <c r="B154" s="59" t="s">
        <v>419</v>
      </c>
      <c r="C154" s="16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2017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2018</v>
      </c>
      <c r="B156" s="59" t="s">
        <v>89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2019</v>
      </c>
    </row>
    <row r="159" customFormat="false" ht="15" hidden="false" customHeight="false" outlineLevel="0" collapsed="false">
      <c r="A159" s="73" t="s">
        <v>2020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2021</v>
      </c>
      <c r="B160" s="59" t="s">
        <v>1146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2022</v>
      </c>
      <c r="B161" s="59" t="s">
        <v>1146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2023</v>
      </c>
      <c r="B162" s="59" t="s">
        <v>1146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2024</v>
      </c>
    </row>
    <row r="2" customFormat="false" ht="15" hidden="false" customHeight="false" outlineLevel="0" collapsed="false">
      <c r="A2" s="71" t="s">
        <v>2025</v>
      </c>
    </row>
    <row r="4" customFormat="false" ht="42" hidden="false" customHeight="true" outlineLevel="0" collapsed="false">
      <c r="A4" s="57" t="s">
        <v>813</v>
      </c>
      <c r="C4" s="81" t="s">
        <v>75</v>
      </c>
      <c r="D4" s="81" t="s">
        <v>2026</v>
      </c>
      <c r="E4" s="81" t="s">
        <v>2027</v>
      </c>
      <c r="F4" s="81" t="s">
        <v>2028</v>
      </c>
      <c r="G4" s="81" t="s">
        <v>2029</v>
      </c>
      <c r="H4" s="81" t="s">
        <v>2030</v>
      </c>
      <c r="I4" s="81" t="s">
        <v>2031</v>
      </c>
      <c r="J4" s="81" t="s">
        <v>2032</v>
      </c>
      <c r="K4" s="81" t="s">
        <v>2033</v>
      </c>
      <c r="L4" s="81" t="s">
        <v>2034</v>
      </c>
      <c r="M4" s="81" t="s">
        <v>2035</v>
      </c>
      <c r="N4" s="81" t="s">
        <v>2036</v>
      </c>
      <c r="O4" s="81" t="s">
        <v>2037</v>
      </c>
      <c r="P4" s="82" t="s">
        <v>2038</v>
      </c>
      <c r="Q4" s="82" t="s">
        <v>2039</v>
      </c>
      <c r="R4" s="82" t="s">
        <v>2040</v>
      </c>
      <c r="S4" s="82" t="s">
        <v>2041</v>
      </c>
    </row>
    <row r="5" customFormat="false" ht="15" hidden="false" customHeight="false" outlineLevel="0" collapsed="false">
      <c r="A5" s="58" t="s">
        <v>1841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1846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1843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1886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2042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2043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2044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2045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2046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2047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2048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2049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2050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2051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2052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2053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2054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2055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2056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2057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2058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2059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2060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2061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2062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2063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2064</v>
      </c>
      <c r="C33" s="160" t="n">
        <f aca="false">IF(AND(ISNUMBER(C30),ISNUMBER(Harness!$G$70)),(C30/C32)/(Harness!$G$70/C31),"SLO 不可達")</f>
        <v>0.4793958062764</v>
      </c>
      <c r="D33" s="160" t="n">
        <f aca="false">IF(AND(ISNUMBER(D30),ISNUMBER(Harness!$G$70)),(D30/D32)/(Harness!$G$70/D31),"SLO 不可達")</f>
        <v>0.332602499219998</v>
      </c>
      <c r="E33" s="160" t="n">
        <f aca="false">IF(AND(ISNUMBER(E30),ISNUMBER(Harness!$G$70)),(E30/E32)/(Harness!$G$70/E31),"SLO 不可達")</f>
        <v>0.714320381898577</v>
      </c>
      <c r="F33" s="160" t="n">
        <f aca="false">IF(AND(ISNUMBER(F30),ISNUMBER(Harness!$G$70)),(F30/F32)/(Harness!$G$70/F31),"SLO 不可達")</f>
        <v>0.427843906241251</v>
      </c>
      <c r="G33" s="160" t="n">
        <f aca="false">IF(AND(ISNUMBER(G30),ISNUMBER(Harness!$G$70)),(G30/G32)/(Harness!$G$70/G31),"SLO 不可達")</f>
        <v>0.530947706311549</v>
      </c>
      <c r="H33" s="160" t="n">
        <f aca="false">IF(AND(ISNUMBER(H30),ISNUMBER(Harness!$G$70)),(H30/H32)/(Harness!$G$70/H31),"SLO 不可達")</f>
        <v>0.475575720896288</v>
      </c>
      <c r="I33" s="160" t="n">
        <f aca="false">IF(AND(ISNUMBER(I30),ISNUMBER(Harness!$G$70)),(I30/I32)/(Harness!$G$70/I31),"SLO 不可達")</f>
        <v>0.4793958062764</v>
      </c>
      <c r="J33" s="160" t="n">
        <f aca="false">IF(AND(ISNUMBER(J30),ISNUMBER(Harness!$G$70)),(J30/J32)/(Harness!$G$70/J31),"SLO 不可達")</f>
        <v>0.466298370687445</v>
      </c>
      <c r="K33" s="160" t="n">
        <f aca="false">IF(AND(ISNUMBER(K30),ISNUMBER(Harness!$G$70)),(K30/K32)/(Harness!$G$70/K31),"SLO 不可達")</f>
        <v>0.499041959659832</v>
      </c>
      <c r="L33" s="160" t="n">
        <f aca="false">IF(AND(ISNUMBER(L30),ISNUMBER(Harness!$G$70)),(L30/L32)/(Harness!$G$70/L31),"SLO 不可達")</f>
        <v>0.601272716370434</v>
      </c>
      <c r="M33" s="160" t="n">
        <f aca="false">IF(AND(ISNUMBER(M30),ISNUMBER(Harness!$G$70)),(M30/M32)/(Harness!$G$70/M31),"SLO 不可達")</f>
        <v>0.406927361957214</v>
      </c>
      <c r="N33" s="160" t="n">
        <f aca="false">IF(AND(ISNUMBER(N30),ISNUMBER(Harness!$G$70)),(N30/N32)/(Harness!$G$70/N31),"SLO 不可達")</f>
        <v>0.476498840381676</v>
      </c>
      <c r="O33" s="160" t="n">
        <f aca="false">IF(AND(ISNUMBER(O30),ISNUMBER(Harness!$G$70)),(O30/O32)/(Harness!$G$70/O31),"SLO 不可達")</f>
        <v>0.485963359640006</v>
      </c>
      <c r="P33" s="160" t="n">
        <f aca="false">IF(AND(ISNUMBER(P30),ISNUMBER(Harness!$G$70)),(P30/P32)/(Harness!$G$70/P31),"SLO 不可達")</f>
        <v>0.492225990826981</v>
      </c>
      <c r="Q33" s="160" t="n">
        <f aca="false">IF(AND(ISNUMBER(Q30),ISNUMBER(Harness!$G$70)),(Q30/Q32)/(Harness!$G$70/Q31),"SLO 不可達")</f>
        <v>0.450954537277825</v>
      </c>
      <c r="R33" s="160" t="n">
        <f aca="false">IF(AND(ISNUMBER(R30),ISNUMBER(Harness!$G$70)),(R30/R32)/(Harness!$G$70/R31),"SLO 不可達")</f>
        <v>0.448411010373732</v>
      </c>
      <c r="S33" s="160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2065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2066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2067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2068</v>
      </c>
      <c r="C37" s="160" t="n">
        <f aca="false">IF(AND(ISNUMBER(C34),ISNUMBER(Harness!$G$73)),(C34/C36)/(Harness!$G$73/C35),"SLO 不可達")</f>
        <v>0.519797101771478</v>
      </c>
      <c r="D37" s="160" t="n">
        <f aca="false">IF(AND(ISNUMBER(D34),ISNUMBER(Harness!$G$73)),(D34/D36)/(Harness!$G$73/D35),"SLO 不可達")</f>
        <v>0.362241890594745</v>
      </c>
      <c r="E37" s="160" t="n">
        <f aca="false">IF(AND(ISNUMBER(E34),ISNUMBER(Harness!$G$73)),(E34/E36)/(Harness!$G$73/E35),"SLO 不可達")</f>
        <v>0.769692548828187</v>
      </c>
      <c r="F37" s="160" t="n">
        <f aca="false">IF(AND(ISNUMBER(F34),ISNUMBER(Harness!$G$73)),(F34/F36)/(Harness!$G$73/F35),"SLO 不可達")</f>
        <v>0.460605957450429</v>
      </c>
      <c r="G37" s="160" t="n">
        <f aca="false">IF(AND(ISNUMBER(G34),ISNUMBER(Harness!$G$73)),(G34/G36)/(Harness!$G$73/G35),"SLO 不可達")</f>
        <v>0.578988246092527</v>
      </c>
      <c r="H37" s="160" t="n">
        <f aca="false">IF(AND(ISNUMBER(H34),ISNUMBER(Harness!$G$73)),(H34/H36)/(Harness!$G$73/H35),"SLO 不可達")</f>
        <v>0.516280864288468</v>
      </c>
      <c r="I37" s="160" t="n">
        <f aca="false">IF(AND(ISNUMBER(I34),ISNUMBER(Harness!$G$73)),(I34/I36)/(Harness!$G$73/I35),"SLO 不可達")</f>
        <v>0.519797101771478</v>
      </c>
      <c r="J37" s="160" t="n">
        <f aca="false">IF(AND(ISNUMBER(J34),ISNUMBER(Harness!$G$73)),(J34/J36)/(Harness!$G$73/J35),"SLO 不可達")</f>
        <v>0.507741430401159</v>
      </c>
      <c r="K37" s="160" t="n">
        <f aca="false">IF(AND(ISNUMBER(K34),ISNUMBER(Harness!$G$73)),(K34/K36)/(Harness!$G$73/K35),"SLO 不可達")</f>
        <v>0.537880608826957</v>
      </c>
      <c r="L37" s="160" t="n">
        <f aca="false">IF(AND(ISNUMBER(L34),ISNUMBER(Harness!$G$73)),(L34/L36)/(Harness!$G$73/L35),"SLO 不可達")</f>
        <v>0.61236617145955</v>
      </c>
      <c r="M37" s="160" t="n">
        <f aca="false">IF(AND(ISNUMBER(M34),ISNUMBER(Harness!$G$73)),(M34/M36)/(Harness!$G$73/M35),"SLO 不可達")</f>
        <v>0.464755203620359</v>
      </c>
      <c r="N37" s="160" t="n">
        <f aca="false">IF(AND(ISNUMBER(N34),ISNUMBER(Harness!$G$73)),(N34/N36)/(Harness!$G$73/N35),"SLO 不可達")</f>
        <v>0.510391010720315</v>
      </c>
      <c r="O37" s="160" t="n">
        <f aca="false">IF(AND(ISNUMBER(O34),ISNUMBER(Harness!$G$73)),(O34/O36)/(Harness!$G$73/O35),"SLO 不可達")</f>
        <v>0.541121137734059</v>
      </c>
      <c r="P37" s="160" t="n">
        <f aca="false">IF(AND(ISNUMBER(P34),ISNUMBER(Harness!$G$73)),(P34/P36)/(Harness!$G$73/P35),"SLO 不可達")</f>
        <v>0.525911237912991</v>
      </c>
      <c r="Q37" s="160" t="n">
        <f aca="false">IF(AND(ISNUMBER(Q34),ISNUMBER(Harness!$G$73)),(Q34/Q36)/(Harness!$G$73/Q35),"SLO 不可達")</f>
        <v>0.510305142882958</v>
      </c>
      <c r="R37" s="160" t="n">
        <f aca="false">IF(AND(ISNUMBER(R34),ISNUMBER(Harness!$G$73)),(R34/R36)/(Harness!$G$73/R35),"SLO 不可達")</f>
        <v>0.502993662282698</v>
      </c>
      <c r="S37" s="160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2069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2070</v>
      </c>
    </row>
    <row r="2" customFormat="false" ht="15" hidden="false" customHeight="false" outlineLevel="0" collapsed="false">
      <c r="A2" s="71" t="s">
        <v>2071</v>
      </c>
    </row>
    <row r="4" customFormat="false" ht="15" hidden="false" customHeight="false" outlineLevel="0" collapsed="false">
      <c r="A4" s="81" t="s">
        <v>2072</v>
      </c>
      <c r="B4" s="81" t="s">
        <v>73</v>
      </c>
      <c r="C4" s="81" t="s">
        <v>75</v>
      </c>
      <c r="D4" s="81" t="s">
        <v>1133</v>
      </c>
      <c r="E4" s="81" t="s">
        <v>1134</v>
      </c>
      <c r="F4" s="81" t="s">
        <v>77</v>
      </c>
      <c r="G4" s="81" t="s">
        <v>2073</v>
      </c>
    </row>
    <row r="5" customFormat="false" ht="15" hidden="false" customHeight="false" outlineLevel="0" collapsed="false">
      <c r="A5" s="58" t="s">
        <v>2074</v>
      </c>
      <c r="B5" s="58" t="s">
        <v>85</v>
      </c>
      <c r="C5" s="166" t="s">
        <v>1195</v>
      </c>
      <c r="D5" s="59" t="s">
        <v>604</v>
      </c>
      <c r="E5" s="59" t="s">
        <v>604</v>
      </c>
      <c r="F5" s="59" t="s">
        <v>82</v>
      </c>
      <c r="G5" s="85" t="s">
        <v>2075</v>
      </c>
    </row>
    <row r="6" customFormat="false" ht="15" hidden="false" customHeight="false" outlineLevel="0" collapsed="false">
      <c r="A6" s="58" t="s">
        <v>2076</v>
      </c>
      <c r="B6" s="58" t="s">
        <v>2077</v>
      </c>
      <c r="C6" s="167" t="n">
        <v>1</v>
      </c>
      <c r="D6" s="75" t="n">
        <v>1</v>
      </c>
      <c r="E6" s="75" t="n">
        <v>2</v>
      </c>
      <c r="F6" s="59" t="s">
        <v>90</v>
      </c>
      <c r="G6" s="85" t="s">
        <v>2078</v>
      </c>
    </row>
    <row r="7" customFormat="false" ht="15" hidden="false" customHeight="false" outlineLevel="0" collapsed="false">
      <c r="A7" s="58" t="s">
        <v>2079</v>
      </c>
      <c r="B7" s="58" t="s">
        <v>2077</v>
      </c>
      <c r="C7" s="167" t="n">
        <v>2</v>
      </c>
      <c r="D7" s="75" t="n">
        <v>0</v>
      </c>
      <c r="E7" s="75" t="n">
        <v>6</v>
      </c>
      <c r="F7" s="59" t="s">
        <v>90</v>
      </c>
      <c r="G7" s="85" t="s">
        <v>2080</v>
      </c>
    </row>
    <row r="8" customFormat="false" ht="15" hidden="false" customHeight="false" outlineLevel="0" collapsed="false">
      <c r="A8" s="58" t="s">
        <v>2081</v>
      </c>
      <c r="B8" s="59" t="s">
        <v>93</v>
      </c>
      <c r="C8" s="167" t="n">
        <v>1</v>
      </c>
      <c r="D8" s="75" t="n">
        <v>0.5</v>
      </c>
      <c r="E8" s="75" t="n">
        <v>7</v>
      </c>
      <c r="F8" s="59" t="s">
        <v>90</v>
      </c>
      <c r="G8" s="85" t="s">
        <v>2082</v>
      </c>
    </row>
    <row r="9" customFormat="false" ht="39.55" hidden="false" customHeight="false" outlineLevel="0" collapsed="false">
      <c r="A9" s="58" t="s">
        <v>2083</v>
      </c>
      <c r="B9" s="59" t="s">
        <v>89</v>
      </c>
      <c r="C9" s="168" t="n">
        <v>0.6</v>
      </c>
      <c r="D9" s="63" t="n">
        <v>0</v>
      </c>
      <c r="E9" s="63" t="n">
        <v>1</v>
      </c>
      <c r="F9" s="59" t="s">
        <v>90</v>
      </c>
      <c r="G9" s="91" t="s">
        <v>2084</v>
      </c>
    </row>
    <row r="10" customFormat="false" ht="15" hidden="false" customHeight="false" outlineLevel="0" collapsed="false">
      <c r="A10" s="58" t="s">
        <v>2085</v>
      </c>
      <c r="B10" s="59" t="s">
        <v>89</v>
      </c>
      <c r="C10" s="168" t="n">
        <v>0.4</v>
      </c>
      <c r="D10" s="63" t="n">
        <v>0</v>
      </c>
      <c r="E10" s="63" t="n">
        <v>1</v>
      </c>
      <c r="F10" s="59" t="s">
        <v>90</v>
      </c>
      <c r="G10" s="85" t="s">
        <v>2086</v>
      </c>
    </row>
    <row r="11" customFormat="false" ht="26.85" hidden="false" customHeight="false" outlineLevel="0" collapsed="false">
      <c r="A11" s="58" t="s">
        <v>2087</v>
      </c>
      <c r="B11" s="59" t="s">
        <v>89</v>
      </c>
      <c r="C11" s="168" t="n">
        <v>0</v>
      </c>
      <c r="D11" s="63" t="n">
        <v>0</v>
      </c>
      <c r="E11" s="63" t="n">
        <v>1</v>
      </c>
      <c r="F11" s="59" t="s">
        <v>90</v>
      </c>
      <c r="G11" s="91" t="s">
        <v>2088</v>
      </c>
    </row>
    <row r="12" customFormat="false" ht="26.85" hidden="false" customHeight="false" outlineLevel="0" collapsed="false">
      <c r="A12" s="58" t="s">
        <v>2089</v>
      </c>
      <c r="B12" s="59" t="s">
        <v>89</v>
      </c>
      <c r="C12" s="168" t="n">
        <v>0</v>
      </c>
      <c r="D12" s="63" t="n">
        <v>0</v>
      </c>
      <c r="E12" s="63" t="n">
        <v>1</v>
      </c>
      <c r="F12" s="59" t="s">
        <v>90</v>
      </c>
      <c r="G12" s="91" t="s">
        <v>2088</v>
      </c>
    </row>
    <row r="13" customFormat="false" ht="15" hidden="false" customHeight="false" outlineLevel="0" collapsed="false">
      <c r="A13" s="58" t="s">
        <v>2090</v>
      </c>
      <c r="B13" s="59" t="s">
        <v>89</v>
      </c>
      <c r="C13" s="168" t="n">
        <v>0</v>
      </c>
      <c r="D13" s="63" t="n">
        <v>0</v>
      </c>
      <c r="E13" s="63" t="n">
        <v>1</v>
      </c>
      <c r="F13" s="59" t="s">
        <v>2091</v>
      </c>
      <c r="G13" s="85" t="s">
        <v>2092</v>
      </c>
    </row>
    <row r="14" customFormat="false" ht="15" hidden="false" customHeight="false" outlineLevel="0" collapsed="false">
      <c r="A14" s="59" t="s">
        <v>2093</v>
      </c>
      <c r="B14" s="59" t="s">
        <v>93</v>
      </c>
      <c r="C14" s="167" t="n">
        <v>0.75</v>
      </c>
      <c r="D14" s="75" t="n">
        <v>0.6</v>
      </c>
      <c r="E14" s="75" t="n">
        <v>0.9</v>
      </c>
      <c r="F14" s="59" t="s">
        <v>90</v>
      </c>
      <c r="G14" s="85" t="s">
        <v>2094</v>
      </c>
    </row>
    <row r="15" customFormat="false" ht="64.9" hidden="false" customHeight="false" outlineLevel="0" collapsed="false">
      <c r="A15" s="58" t="s">
        <v>2095</v>
      </c>
      <c r="B15" s="59" t="s">
        <v>275</v>
      </c>
      <c r="C15" s="80" t="n">
        <v>4000</v>
      </c>
      <c r="D15" s="61" t="n">
        <v>2000</v>
      </c>
      <c r="E15" s="61" t="n">
        <v>11000</v>
      </c>
      <c r="F15" s="59" t="s">
        <v>90</v>
      </c>
      <c r="G15" s="85" t="s">
        <v>2096</v>
      </c>
    </row>
    <row r="16" customFormat="false" ht="15" hidden="false" customHeight="false" outlineLevel="0" collapsed="false">
      <c r="A16" s="59" t="s">
        <v>2097</v>
      </c>
      <c r="B16" s="59" t="s">
        <v>89</v>
      </c>
      <c r="C16" s="168" t="n">
        <v>0.6</v>
      </c>
      <c r="D16" s="63" t="n">
        <v>0.4</v>
      </c>
      <c r="E16" s="63" t="n">
        <v>0.8</v>
      </c>
      <c r="F16" s="59" t="s">
        <v>90</v>
      </c>
      <c r="G16" s="91" t="s">
        <v>2098</v>
      </c>
    </row>
    <row r="18" customFormat="false" ht="15" hidden="false" customHeight="false" outlineLevel="0" collapsed="false">
      <c r="A18" s="57" t="s">
        <v>2099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2100</v>
      </c>
    </row>
    <row r="22" customFormat="false" ht="15" hidden="false" customHeight="false" outlineLevel="0" collapsed="false">
      <c r="A22" s="73" t="s">
        <v>2101</v>
      </c>
      <c r="B22" s="67"/>
      <c r="C22" s="67"/>
      <c r="D22" s="67"/>
      <c r="E22" s="67"/>
      <c r="F22" s="67"/>
      <c r="G22" s="67"/>
    </row>
    <row r="23" customFormat="false" ht="26.85" hidden="false" customHeight="false" outlineLevel="0" collapsed="false">
      <c r="A23" s="5" t="s">
        <v>2102</v>
      </c>
      <c r="B23" s="59" t="s">
        <v>93</v>
      </c>
      <c r="C23" s="169" t="n">
        <v>2</v>
      </c>
      <c r="D23" s="76" t="n">
        <v>1.5</v>
      </c>
      <c r="E23" s="76" t="n">
        <v>3</v>
      </c>
      <c r="F23" s="59" t="s">
        <v>90</v>
      </c>
      <c r="G23" s="85" t="s">
        <v>2103</v>
      </c>
    </row>
    <row r="24" customFormat="false" ht="26.85" hidden="false" customHeight="false" outlineLevel="0" collapsed="false">
      <c r="A24" s="5" t="s">
        <v>2104</v>
      </c>
      <c r="B24" s="59" t="s">
        <v>93</v>
      </c>
      <c r="C24" s="169" t="n">
        <v>0.35</v>
      </c>
      <c r="D24" s="76" t="n">
        <v>0.3</v>
      </c>
      <c r="E24" s="76" t="n">
        <v>0.4</v>
      </c>
      <c r="F24" s="59" t="s">
        <v>90</v>
      </c>
      <c r="G24" s="85" t="s">
        <v>2105</v>
      </c>
    </row>
    <row r="25" customFormat="false" ht="29.85" hidden="false" customHeight="false" outlineLevel="0" collapsed="false">
      <c r="A25" s="5" t="s">
        <v>2106</v>
      </c>
      <c r="B25" s="59" t="s">
        <v>275</v>
      </c>
      <c r="C25" s="61" t="n">
        <v>2000</v>
      </c>
      <c r="D25" s="59" t="s">
        <v>604</v>
      </c>
      <c r="E25" s="59" t="s">
        <v>604</v>
      </c>
      <c r="F25" s="59" t="s">
        <v>2107</v>
      </c>
      <c r="G25" s="85" t="s">
        <v>2108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2109</v>
      </c>
    </row>
    <row r="2" customFormat="false" ht="15" hidden="false" customHeight="false" outlineLevel="0" collapsed="false">
      <c r="A2" s="71" t="s">
        <v>2110</v>
      </c>
    </row>
    <row r="4" customFormat="false" ht="15" hidden="false" customHeight="false" outlineLevel="0" collapsed="false">
      <c r="A4" s="73" t="s">
        <v>2111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2112</v>
      </c>
      <c r="B5" s="59" t="s">
        <v>783</v>
      </c>
      <c r="C5" s="65" t="n">
        <f aca="false">SRC_DEM_010*1000000000*525600*AL_APIratio/1000000</f>
        <v>2365200000</v>
      </c>
      <c r="G5" s="56" t="s">
        <v>2113</v>
      </c>
    </row>
    <row r="6" customFormat="false" ht="15" hidden="false" customHeight="false" outlineLevel="0" collapsed="false">
      <c r="A6" s="6" t="s">
        <v>2114</v>
      </c>
      <c r="B6" s="59" t="s">
        <v>783</v>
      </c>
      <c r="C6" s="65" t="n">
        <f aca="false">SRC_DEM_012*1000000000*AL_TokPerPrompt*365/1000000</f>
        <v>3650000000</v>
      </c>
      <c r="G6" s="56" t="s">
        <v>2115</v>
      </c>
    </row>
    <row r="7" customFormat="false" ht="15" hidden="false" customHeight="false" outlineLevel="0" collapsed="false">
      <c r="A7" s="6" t="s">
        <v>2116</v>
      </c>
      <c r="B7" s="59" t="s">
        <v>783</v>
      </c>
      <c r="C7" s="65" t="n">
        <f aca="false">AL_DChat*AL_FreeShare</f>
        <v>2190000000</v>
      </c>
      <c r="G7" s="56" t="s">
        <v>2117</v>
      </c>
    </row>
    <row r="8" customFormat="false" ht="15" hidden="false" customHeight="false" outlineLevel="0" collapsed="false">
      <c r="A8" s="6" t="s">
        <v>2118</v>
      </c>
      <c r="B8" s="59" t="s">
        <v>783</v>
      </c>
      <c r="C8" s="65" t="n">
        <f aca="false">AL_DChat-AL_DChatFree</f>
        <v>1460000000</v>
      </c>
      <c r="G8" s="56" t="s">
        <v>2119</v>
      </c>
    </row>
    <row r="9" customFormat="false" ht="15" hidden="false" customHeight="false" outlineLevel="0" collapsed="false">
      <c r="A9" s="5" t="s">
        <v>2120</v>
      </c>
      <c r="B9" s="59" t="s">
        <v>783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2121</v>
      </c>
      <c r="B10" s="59" t="s">
        <v>783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2122</v>
      </c>
      <c r="B11" s="59" t="s">
        <v>783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2123</v>
      </c>
      <c r="B12" s="59" t="s">
        <v>1292</v>
      </c>
      <c r="C12" s="69" t="n">
        <f aca="false">AL_D/365/1000000</f>
        <v>16.48</v>
      </c>
      <c r="G12" s="56" t="s">
        <v>2124</v>
      </c>
    </row>
    <row r="14" customFormat="false" ht="15" hidden="false" customHeight="false" outlineLevel="0" collapsed="false">
      <c r="A14" s="73" t="s">
        <v>2125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57" t="s">
        <v>161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2126</v>
      </c>
      <c r="B16" s="58" t="s">
        <v>929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2127</v>
      </c>
      <c r="B17" s="58" t="s">
        <v>929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2128</v>
      </c>
      <c r="B18" s="59" t="s">
        <v>89</v>
      </c>
      <c r="C18" s="83" t="n">
        <f aca="false">AL_MixHopper</f>
        <v>0.6</v>
      </c>
      <c r="D18" s="83" t="n">
        <f aca="false">AL_MixGB200</f>
        <v>0.4</v>
      </c>
      <c r="E18" s="83" t="n">
        <f aca="false">AL_MixGB300</f>
        <v>0</v>
      </c>
      <c r="F18" s="83" t="n">
        <f aca="false">AL_MixVR200</f>
        <v>0</v>
      </c>
    </row>
    <row r="19" customFormat="false" ht="29.85" hidden="false" customHeight="false" outlineLevel="0" collapsed="false">
      <c r="A19" s="5" t="s">
        <v>2129</v>
      </c>
      <c r="B19" s="58" t="s">
        <v>1688</v>
      </c>
      <c r="C19" s="109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9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9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9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2130</v>
      </c>
      <c r="B20" s="59" t="s">
        <v>2131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2132</v>
      </c>
    </row>
    <row r="21" customFormat="false" ht="15" hidden="false" customHeight="false" outlineLevel="0" collapsed="false">
      <c r="A21" s="6" t="s">
        <v>2133</v>
      </c>
      <c r="B21" s="59" t="s">
        <v>2131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2134</v>
      </c>
      <c r="B22" s="59" t="s">
        <v>1342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2135</v>
      </c>
    </row>
    <row r="23" customFormat="false" ht="15" hidden="false" customHeight="false" outlineLevel="0" collapsed="false">
      <c r="A23" s="5" t="s">
        <v>2136</v>
      </c>
      <c r="B23" s="59" t="s">
        <v>1342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2137</v>
      </c>
    </row>
    <row r="24" customFormat="false" ht="15" hidden="false" customHeight="false" outlineLevel="0" collapsed="false">
      <c r="A24" s="5" t="s">
        <v>2138</v>
      </c>
      <c r="B24" s="59" t="s">
        <v>1342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24125625824.4492</v>
      </c>
    </row>
    <row r="25" customFormat="false" ht="15" hidden="false" customHeight="false" outlineLevel="0" collapsed="false">
      <c r="A25" s="5" t="s">
        <v>2139</v>
      </c>
      <c r="B25" s="59" t="s">
        <v>1342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91100077130.4794</v>
      </c>
    </row>
    <row r="26" customFormat="false" ht="15" hidden="false" customHeight="false" outlineLevel="0" collapsed="false">
      <c r="A26" s="5" t="s">
        <v>2140</v>
      </c>
      <c r="B26" s="59" t="s">
        <v>81</v>
      </c>
      <c r="C26" s="70" t="n">
        <f aca="false">IF(AND(ISNUMBER(AL_BlendPaid),AL_DPaid&gt;=0),IF(AL_BlendPaid&gt;0,AL_DPaid/AL_BlendPaid,"SLO 不可達"),"SLO 不可達")</f>
        <v>0.15855339993392</v>
      </c>
    </row>
    <row r="27" customFormat="false" ht="15" hidden="false" customHeight="false" outlineLevel="0" collapsed="false">
      <c r="A27" s="5" t="s">
        <v>2141</v>
      </c>
      <c r="B27" s="59" t="s">
        <v>81</v>
      </c>
      <c r="C27" s="70" t="n">
        <f aca="false">IF(AND(ISNUMBER(AL_BlendFree),AL_DFree&gt;=0),IF(AL_BlendFree&gt;0,AL_DFree/AL_BlendFree,"SLO 不可達"),"SLO 不可達")</f>
        <v>0.0240394966610549</v>
      </c>
    </row>
    <row r="28" customFormat="false" ht="15" hidden="false" customHeight="false" outlineLevel="0" collapsed="false">
      <c r="A28" s="5" t="s">
        <v>2142</v>
      </c>
      <c r="B28" s="59" t="s">
        <v>81</v>
      </c>
      <c r="C28" s="170" t="n">
        <f aca="false">IF(AND(ISNUMBER(AL_ServeGWPaid),ISNUMBER(AL_ServeGWFree)),AL_ServeGWPaid+AL_ServeGWFree,"SLO 不可達")</f>
        <v>0.182592896594975</v>
      </c>
    </row>
    <row r="29" customFormat="false" ht="15" hidden="false" customHeight="false" outlineLevel="0" collapsed="false">
      <c r="A29" s="5" t="s">
        <v>2143</v>
      </c>
      <c r="B29" s="59" t="s">
        <v>81</v>
      </c>
      <c r="C29" s="70" t="n">
        <f aca="false">IF(ISNUMBER(AL_ServeGW),AL_ServeGW*C18,"SLO 不可達")</f>
        <v>0.109555737956985</v>
      </c>
      <c r="D29" s="70" t="n">
        <f aca="false">IF(ISNUMBER(AL_ServeGW),AL_ServeGW*D18,"SLO 不可達")</f>
        <v>0.0730371586379899</v>
      </c>
      <c r="E29" s="70" t="n">
        <f aca="false">IF(ISNUMBER(AL_ServeGW),AL_ServeGW*E18,"SLO 不可達")</f>
        <v>0</v>
      </c>
      <c r="F29" s="70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2144</v>
      </c>
      <c r="B30" s="59" t="s">
        <v>1543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2145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2146</v>
      </c>
      <c r="B33" s="58" t="s">
        <v>929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2147</v>
      </c>
      <c r="B34" s="58" t="s">
        <v>929</v>
      </c>
      <c r="C34" s="109" t="n">
        <f aca="false">3*(AL_TrainGen-1)+2</f>
        <v>11</v>
      </c>
    </row>
    <row r="35" customFormat="false" ht="15" hidden="false" customHeight="false" outlineLevel="0" collapsed="false">
      <c r="A35" s="57" t="s">
        <v>706</v>
      </c>
      <c r="C35" s="10" t="s">
        <v>245</v>
      </c>
      <c r="D35" s="10" t="s">
        <v>246</v>
      </c>
      <c r="E35" s="10" t="s">
        <v>247</v>
      </c>
      <c r="F35" s="57" t="s">
        <v>2148</v>
      </c>
    </row>
    <row r="36" customFormat="false" ht="15" hidden="false" customHeight="false" outlineLevel="0" collapsed="false">
      <c r="A36" s="5" t="s">
        <v>707</v>
      </c>
      <c r="B36" s="58" t="s">
        <v>929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2149</v>
      </c>
      <c r="B37" s="59" t="s">
        <v>2150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2151</v>
      </c>
    </row>
    <row r="38" customFormat="false" ht="15" hidden="false" customHeight="false" outlineLevel="0" collapsed="false">
      <c r="A38" s="5" t="s">
        <v>2152</v>
      </c>
      <c r="B38" s="59" t="s">
        <v>1006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6" t="s">
        <v>2153</v>
      </c>
    </row>
    <row r="39" customFormat="false" ht="15" hidden="false" customHeight="false" outlineLevel="0" collapsed="false">
      <c r="A39" s="5" t="s">
        <v>2154</v>
      </c>
      <c r="B39" s="58" t="s">
        <v>719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2155</v>
      </c>
      <c r="B40" s="59" t="s">
        <v>2150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2156</v>
      </c>
    </row>
    <row r="41" customFormat="false" ht="15" hidden="false" customHeight="false" outlineLevel="0" collapsed="false">
      <c r="A41" s="5" t="s">
        <v>2157</v>
      </c>
      <c r="B41" s="59" t="s">
        <v>2150</v>
      </c>
      <c r="C41" s="170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2158</v>
      </c>
      <c r="B42" s="59" t="s">
        <v>2150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2159</v>
      </c>
      <c r="B43" s="59" t="s">
        <v>1543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2160</v>
      </c>
      <c r="B44" s="59" t="s">
        <v>1739</v>
      </c>
      <c r="C44" s="112" t="n">
        <f aca="false">AL_RDGW*AL_HoldTrain</f>
        <v>1.10866321398852</v>
      </c>
    </row>
    <row r="46" customFormat="false" ht="15" hidden="false" customHeight="false" outlineLevel="0" collapsed="false">
      <c r="A46" s="73" t="s">
        <v>2161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2162</v>
      </c>
      <c r="B47" s="59" t="s">
        <v>89</v>
      </c>
      <c r="C47" s="99" t="n">
        <f aca="false">IF(ISNUMBER(AL_ServeGW),AL_RDGW/(AL_RDGW+AL_ServeGW),"SLO 不可達")</f>
        <v>0.331840968713343</v>
      </c>
    </row>
    <row r="48" customFormat="false" ht="26.85" hidden="false" customHeight="false" outlineLevel="0" collapsed="false">
      <c r="A48" s="6" t="s">
        <v>2163</v>
      </c>
      <c r="B48" s="59" t="s">
        <v>89</v>
      </c>
      <c r="C48" s="101" t="n">
        <f aca="false">IF(ISNUMBER(AL_ServeGW),(AL_RDGW+AL_ServeGWFree)/(AL_RDGW+AL_ServeGW),"SLO 不可達")</f>
        <v>0.419808283440258</v>
      </c>
    </row>
    <row r="49" customFormat="false" ht="29.85" hidden="false" customHeight="false" outlineLevel="0" collapsed="false">
      <c r="A49" s="6" t="s">
        <v>2164</v>
      </c>
      <c r="B49" s="59" t="s">
        <v>89</v>
      </c>
      <c r="C49" s="99" t="n">
        <f aca="false">IF(ISNUMBER(AL_ServeGW),AL_RDGW*AL_HoldTrain/(AL_RDGW*AL_HoldTrain+SUMPRODUCT(AL_ServeGen,AL_HoldGen)),"SLO 不可達")</f>
        <v>0.393634855421224</v>
      </c>
      <c r="G49" s="71" t="s">
        <v>2165</v>
      </c>
    </row>
    <row r="50" customFormat="false" ht="15" hidden="false" customHeight="false" outlineLevel="0" collapsed="false">
      <c r="A50" s="6" t="s">
        <v>2166</v>
      </c>
      <c r="B50" s="59" t="s">
        <v>89</v>
      </c>
      <c r="C50" s="101" t="n">
        <f aca="false">IF(ISNUMBER(AL_ServeGW),AL_RDGWg/(AL_RDGWg+AL_ServeGW),"SLO 不可達")</f>
        <v>0.331840968713343</v>
      </c>
    </row>
    <row r="51" customFormat="false" ht="15" hidden="false" customHeight="false" outlineLevel="0" collapsed="false">
      <c r="A51" s="6" t="s">
        <v>2167</v>
      </c>
      <c r="B51" s="59" t="s">
        <v>89</v>
      </c>
      <c r="C51" s="101" t="n">
        <f aca="false">IF(ISNUMBER(AL_ServeGW),AL_RDGWg*AL_HoldTrain/(AL_RDGWg*AL_HoldTrain+SUMPRODUCT(AL_ServeGen,AL_HoldGen)),"SLO 不可達")</f>
        <v>0.393634855421224</v>
      </c>
    </row>
    <row r="52" customFormat="false" ht="15" hidden="false" customHeight="false" outlineLevel="0" collapsed="false">
      <c r="A52" s="6" t="s">
        <v>2168</v>
      </c>
      <c r="B52" s="58"/>
      <c r="C52" s="58" t="s">
        <v>2169</v>
      </c>
      <c r="G52" s="56" t="s">
        <v>2170</v>
      </c>
    </row>
    <row r="54" customFormat="false" ht="15" hidden="false" customHeight="false" outlineLevel="0" collapsed="false">
      <c r="A54" s="73" t="s">
        <v>2171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2172</v>
      </c>
      <c r="B55" s="59" t="s">
        <v>89</v>
      </c>
      <c r="C55" s="101" t="n">
        <f aca="false">SRC_DEM_006/(SRC_DEM_004+SRC_DEM_006)</f>
        <v>0.588235294117647</v>
      </c>
      <c r="G55" s="56" t="s">
        <v>2173</v>
      </c>
    </row>
    <row r="56" customFormat="false" ht="15" hidden="false" customHeight="false" outlineLevel="0" collapsed="false">
      <c r="A56" s="5" t="s">
        <v>2174</v>
      </c>
      <c r="B56" s="59" t="s">
        <v>81</v>
      </c>
      <c r="C56" s="70" t="n">
        <f aca="false">IF(ISNUMBER(AL_ServeGW),AL_SpendRatio/(1-AL_SpendRatio)*AL_ServeGW,"SLO 不可達")</f>
        <v>0.260846995135678</v>
      </c>
    </row>
    <row r="57" customFormat="false" ht="15" hidden="false" customHeight="false" outlineLevel="0" collapsed="false">
      <c r="A57" s="5" t="s">
        <v>2175</v>
      </c>
      <c r="B57" s="58" t="s">
        <v>312</v>
      </c>
      <c r="C57" s="102" t="n">
        <f aca="false">IF(ISNUMBER(AL_ImpliedRDGW),AL_ImpliedRDGW/AL_FamGWyr,"SLO 不可達")</f>
        <v>5.36244401482318</v>
      </c>
    </row>
    <row r="58" customFormat="false" ht="15" hidden="false" customHeight="false" outlineLevel="0" collapsed="false">
      <c r="A58" s="6" t="s">
        <v>2176</v>
      </c>
      <c r="B58" s="59" t="s">
        <v>93</v>
      </c>
      <c r="C58" s="74" t="n">
        <f aca="false">IF(ISNUMBER(AL_ImpliedNk),AL_ImpliedNk/(AL_Nmajor+AL_Nrefresh*AL_RefGWyr/AL_FamGWyr),"SLO 不可達")</f>
        <v>2.87641669302932</v>
      </c>
      <c r="G58" s="71" t="s">
        <v>2177</v>
      </c>
    </row>
    <row r="60" customFormat="false" ht="15" hidden="false" customHeight="false" outlineLevel="0" collapsed="false">
      <c r="A60" s="73" t="s">
        <v>2178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2179</v>
      </c>
      <c r="B61" s="59" t="s">
        <v>81</v>
      </c>
      <c r="C61" s="70" t="n">
        <f aca="false">SRC_DEM_018/SUMPRODUCT(AL_ShareGen,AL_HoldGen)</f>
        <v>1.34714425652841</v>
      </c>
      <c r="G61" s="71" t="s">
        <v>2180</v>
      </c>
    </row>
    <row r="62" customFormat="false" ht="15" hidden="false" customHeight="false" outlineLevel="0" collapsed="false">
      <c r="A62" s="5" t="s">
        <v>2181</v>
      </c>
      <c r="B62" s="59" t="s">
        <v>89</v>
      </c>
      <c r="C62" s="101" t="n">
        <f aca="false">IF(ISNUMBER(AL_ServeGW),AL_ServeGWFree/AL_ServeGW,"SLO 不可達")</f>
        <v>0.131656253388537</v>
      </c>
    </row>
    <row r="63" customFormat="false" ht="15" hidden="false" customHeight="false" outlineLevel="0" collapsed="false">
      <c r="A63" s="5" t="s">
        <v>2182</v>
      </c>
      <c r="B63" s="59" t="s">
        <v>89</v>
      </c>
      <c r="C63" s="101" t="n">
        <f aca="false">SRC_DEM_005/SRC_DEM_004</f>
        <v>0.464285714285714</v>
      </c>
    </row>
    <row r="64" customFormat="false" ht="15" hidden="false" customHeight="false" outlineLevel="0" collapsed="false">
      <c r="A64" s="6" t="s">
        <v>2183</v>
      </c>
      <c r="B64" s="59" t="s">
        <v>1292</v>
      </c>
      <c r="C64" s="72" t="n">
        <f aca="false">SRC_DEM_013_Lo</f>
        <v>10</v>
      </c>
    </row>
    <row r="65" customFormat="false" ht="15" hidden="false" customHeight="false" outlineLevel="0" collapsed="false">
      <c r="A65" s="6" t="s">
        <v>2184</v>
      </c>
      <c r="B65" s="59" t="s">
        <v>1292</v>
      </c>
      <c r="C65" s="72" t="n">
        <f aca="false">SRC_DEM_013_Hi</f>
        <v>100</v>
      </c>
    </row>
    <row r="66" customFormat="false" ht="15" hidden="false" customHeight="false" outlineLevel="0" collapsed="false">
      <c r="A66" s="5" t="s">
        <v>2185</v>
      </c>
      <c r="B66" s="58"/>
      <c r="C66" s="58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73" t="s">
        <v>2186</v>
      </c>
      <c r="B68" s="67"/>
      <c r="C68" s="67"/>
      <c r="D68" s="67"/>
      <c r="E68" s="67"/>
      <c r="F68" s="67"/>
      <c r="G68" s="67"/>
    </row>
    <row r="69" customFormat="false" ht="15" hidden="false" customHeight="false" outlineLevel="0" collapsed="false">
      <c r="A69" s="71" t="s">
        <v>2187</v>
      </c>
    </row>
    <row r="70" customFormat="false" ht="26.85" hidden="false" customHeight="false" outlineLevel="0" collapsed="false">
      <c r="A70" s="57" t="s">
        <v>813</v>
      </c>
      <c r="B70" s="57" t="s">
        <v>2188</v>
      </c>
      <c r="C70" s="82" t="s">
        <v>2189</v>
      </c>
      <c r="D70" s="82" t="s">
        <v>2190</v>
      </c>
      <c r="E70" s="82" t="s">
        <v>2191</v>
      </c>
      <c r="F70" s="82" t="s">
        <v>2192</v>
      </c>
      <c r="G70" s="81" t="s">
        <v>2193</v>
      </c>
      <c r="H70" s="81" t="s">
        <v>2194</v>
      </c>
      <c r="I70" s="82" t="s">
        <v>2195</v>
      </c>
      <c r="J70" s="82" t="s">
        <v>2196</v>
      </c>
      <c r="K70" s="82" t="s">
        <v>2197</v>
      </c>
      <c r="L70" s="82" t="s">
        <v>2198</v>
      </c>
      <c r="M70" s="81" t="s">
        <v>2199</v>
      </c>
      <c r="N70" s="81" t="s">
        <v>2200</v>
      </c>
      <c r="O70" s="81" t="s">
        <v>2201</v>
      </c>
      <c r="P70" s="81" t="s">
        <v>2202</v>
      </c>
      <c r="Q70" s="81" t="s">
        <v>2203</v>
      </c>
      <c r="R70" s="81" t="s">
        <v>2204</v>
      </c>
      <c r="S70" s="82" t="s">
        <v>2205</v>
      </c>
      <c r="T70" s="82" t="s">
        <v>2206</v>
      </c>
      <c r="U70" s="81" t="s">
        <v>2207</v>
      </c>
      <c r="V70" s="81" t="s">
        <v>2208</v>
      </c>
      <c r="W70" s="81" t="s">
        <v>2209</v>
      </c>
    </row>
    <row r="71" customFormat="false" ht="15" hidden="false" customHeight="false" outlineLevel="0" collapsed="false">
      <c r="A71" s="58" t="s">
        <v>75</v>
      </c>
      <c r="B71" s="59" t="s">
        <v>604</v>
      </c>
      <c r="C71" s="84" t="n">
        <f aca="false">AL_Nmajor</f>
        <v>1</v>
      </c>
      <c r="D71" s="84" t="n">
        <f aca="false">AL_Nrefresh</f>
        <v>2</v>
      </c>
      <c r="E71" s="84" t="n">
        <f aca="false">AL_k</f>
        <v>1</v>
      </c>
      <c r="F71" s="74" t="n">
        <f aca="false">AL_APIratio</f>
        <v>0.75</v>
      </c>
      <c r="G71" s="65" t="n">
        <f aca="false">AL_TokPerPrompt</f>
        <v>4000</v>
      </c>
      <c r="H71" s="83" t="n">
        <f aca="false">AL_FreeShare</f>
        <v>0.6</v>
      </c>
      <c r="I71" s="83" t="n">
        <f aca="false">AL_MixHopper</f>
        <v>0.6</v>
      </c>
      <c r="J71" s="83" t="n">
        <f aca="false">AL_MixGB200</f>
        <v>0.4</v>
      </c>
      <c r="K71" s="83" t="n">
        <f aca="false">AL_MixGB300</f>
        <v>0</v>
      </c>
      <c r="L71" s="83" t="n">
        <f aca="false">AL_MixVR200</f>
        <v>0</v>
      </c>
      <c r="M71" s="65" t="n">
        <f aca="false">SRC_DEM_010*1000000000*525600*F71/1000000+SRC_DEM_012*1000000000*G71*365/1000000*(1-H71)</f>
        <v>3825200000</v>
      </c>
      <c r="N71" s="65" t="n">
        <f aca="false">SRC_DEM_012*1000000000*G71*365/1000000*H71</f>
        <v>2190000000</v>
      </c>
      <c r="O71" s="65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24125625824.4492</v>
      </c>
      <c r="P71" s="65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91100077130.4794</v>
      </c>
      <c r="Q71" s="70" t="n">
        <f aca="false">IF(AND(ISNUMBER(O71),ISNUMBER(P71)),IF(AND(O71&gt;0,P71&gt;0),M71/O71+N71/P71,"SLO 不可達"),"SLO 不可達")</f>
        <v>0.182592896594975</v>
      </c>
      <c r="R71" s="70" t="n">
        <f aca="false">E71*(C71*AL_FamGWyr+D71*AL_RefGWyr)</f>
        <v>0.0906847035646163</v>
      </c>
      <c r="S71" s="101" t="n">
        <f aca="false">IF(ISNUMBER(Q71),R71/(R71+Q71),"SLO 不可達")</f>
        <v>0.331840968713343</v>
      </c>
      <c r="T71" s="101" t="n">
        <f aca="false">IF(ISNUMBER(Q71),R71*AL_HoldTrain/(R71*AL_HoldTrain+Q71*(I71*$C$30+J71*$D$30+K71*$E$30+L71*$F$30)),"SLO 不可達")</f>
        <v>0.393634855421224</v>
      </c>
      <c r="U71" s="112" t="n">
        <f aca="false">R71*AL_HoldTrain</f>
        <v>1.10866321398852</v>
      </c>
      <c r="V71" s="69" t="n">
        <f aca="false">(M71+N71)/365/1000000</f>
        <v>16.48</v>
      </c>
      <c r="W71" s="109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9" t="s">
        <v>2210</v>
      </c>
      <c r="B72" s="59" t="s">
        <v>2189</v>
      </c>
      <c r="C72" s="86" t="n">
        <f aca="false">AL_Nmajor_Lo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0.6</v>
      </c>
      <c r="J72" s="83" t="n">
        <f aca="false">AL_MixGB200</f>
        <v>0.4</v>
      </c>
      <c r="K72" s="83" t="n">
        <f aca="false">AL_MixGB300</f>
        <v>0</v>
      </c>
      <c r="L72" s="83" t="n">
        <f aca="false">AL_MixVR200</f>
        <v>0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24125625824.4492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91100077130.4794</v>
      </c>
      <c r="Q72" s="70" t="n">
        <f aca="false">IF(AND(ISNUMBER(O72),ISNUMBER(P72)),IF(AND(O72&gt;0,P72&gt;0),M72/O72+N72/P72,"SLO 不可達"),"SLO 不可達")</f>
        <v>0.182592896594975</v>
      </c>
      <c r="R72" s="70" t="n">
        <f aca="false">E72*(C72*AL_FamGWyr+D72*AL_RefGWyr)</f>
        <v>0.0906847035646163</v>
      </c>
      <c r="S72" s="101" t="n">
        <f aca="false">IF(ISNUMBER(Q72),R72/(R72+Q72),"SLO 不可達")</f>
        <v>0.331840968713343</v>
      </c>
      <c r="T72" s="101" t="n">
        <f aca="false">IF(ISNUMBER(Q72),R72*AL_HoldTrain/(R72*AL_HoldTrain+Q72*(I72*$C$30+J72*$D$30+K72*$E$30+L72*$F$30)),"SLO 不可達")</f>
        <v>0.393634855421224</v>
      </c>
      <c r="U72" s="112" t="n">
        <f aca="false">R72*AL_HoldTrain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2211</v>
      </c>
      <c r="B73" s="59" t="s">
        <v>2189</v>
      </c>
      <c r="C73" s="86" t="n">
        <f aca="false">AL_Nmajor_Hi</f>
        <v>2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0.6</v>
      </c>
      <c r="J73" s="83" t="n">
        <f aca="false">AL_MixGB200</f>
        <v>0.4</v>
      </c>
      <c r="K73" s="83" t="n">
        <f aca="false">AL_MixGB300</f>
        <v>0</v>
      </c>
      <c r="L73" s="83" t="n">
        <f aca="false">AL_MixVR200</f>
        <v>0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24125625824.4492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91100077130.4794</v>
      </c>
      <c r="Q73" s="70" t="n">
        <f aca="false">IF(AND(ISNUMBER(O73),ISNUMBER(P73)),IF(AND(O73&gt;0,P73&gt;0),M73/O73+N73/P73,"SLO 不可達"),"SLO 不可達")</f>
        <v>0.182592896594975</v>
      </c>
      <c r="R73" s="70" t="n">
        <f aca="false">E73*(C73*AL_FamGWyr+D73*AL_RefGWyr)</f>
        <v>0.139328007702549</v>
      </c>
      <c r="S73" s="101" t="n">
        <f aca="false">IF(ISNUMBER(Q73),R73/(R73+Q73),"SLO 不可達")</f>
        <v>0.432801989068035</v>
      </c>
      <c r="T73" s="101" t="n">
        <f aca="false">IF(ISNUMBER(Q73),R73*AL_HoldTrain/(R73*AL_HoldTrain+Q73*(I73*$C$30+J73*$D$30+K73*$E$30+L73*$F$30)),"SLO 不可達")</f>
        <v>0.499345897862243</v>
      </c>
      <c r="U73" s="112" t="n">
        <f aca="false">R73*AL_HoldTrain</f>
        <v>1.70335051829398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2212</v>
      </c>
      <c r="B74" s="59" t="s">
        <v>2190</v>
      </c>
      <c r="C74" s="84" t="n">
        <f aca="false">AL_Nmajor</f>
        <v>1</v>
      </c>
      <c r="D74" s="86" t="n">
        <f aca="false">AL_Nrefresh_Lo</f>
        <v>0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0.6</v>
      </c>
      <c r="J74" s="83" t="n">
        <f aca="false">AL_MixGB200</f>
        <v>0.4</v>
      </c>
      <c r="K74" s="83" t="n">
        <f aca="false">AL_MixGB300</f>
        <v>0</v>
      </c>
      <c r="L74" s="83" t="n">
        <f aca="false">AL_MixVR200</f>
        <v>0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24125625824.4492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91100077130.4794</v>
      </c>
      <c r="Q74" s="70" t="n">
        <f aca="false">IF(AND(ISNUMBER(O74),ISNUMBER(P74)),IF(AND(O74&gt;0,P74&gt;0),M74/O74+N74/P74,"SLO 不可達"),"SLO 不可達")</f>
        <v>0.182592896594975</v>
      </c>
      <c r="R74" s="70" t="n">
        <f aca="false">E74*(C74*AL_FamGWyr+D74*AL_RefGWyr)</f>
        <v>0.0486433041379322</v>
      </c>
      <c r="S74" s="101" t="n">
        <f aca="false">IF(ISNUMBER(Q74),R74/(R74+Q74),"SLO 不可達")</f>
        <v>0.210361976125522</v>
      </c>
      <c r="T74" s="101" t="n">
        <f aca="false">IF(ISNUMBER(Q74),R74*AL_HoldTrain/(R74*AL_HoldTrain+Q74*(I74*$C$30+J74*$D$30+K74*$E$30+L74*$F$30)),"SLO 不可達")</f>
        <v>0.258278923481027</v>
      </c>
      <c r="U74" s="112" t="n">
        <f aca="false">R74*AL_HoldTrain</f>
        <v>0.594687304305456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2213</v>
      </c>
      <c r="B75" s="59" t="s">
        <v>2190</v>
      </c>
      <c r="C75" s="84" t="n">
        <f aca="false">AL_Nmajor</f>
        <v>1</v>
      </c>
      <c r="D75" s="86" t="n">
        <f aca="false">AL_Nrefresh_Hi</f>
        <v>6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0.6</v>
      </c>
      <c r="J75" s="83" t="n">
        <f aca="false">AL_MixGB200</f>
        <v>0.4</v>
      </c>
      <c r="K75" s="83" t="n">
        <f aca="false">AL_MixGB300</f>
        <v>0</v>
      </c>
      <c r="L75" s="83" t="n">
        <f aca="false">AL_MixVR200</f>
        <v>0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24125625824.4492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91100077130.4794</v>
      </c>
      <c r="Q75" s="70" t="n">
        <f aca="false">IF(AND(ISNUMBER(O75),ISNUMBER(P75)),IF(AND(O75&gt;0,P75&gt;0),M75/O75+N75/P75,"SLO 不可達"),"SLO 不可達")</f>
        <v>0.182592896594975</v>
      </c>
      <c r="R75" s="70" t="n">
        <f aca="false">E75*(C75*AL_FamGWyr+D75*AL_RefGWyr)</f>
        <v>0.174767502417984</v>
      </c>
      <c r="S75" s="101" t="n">
        <f aca="false">IF(ISNUMBER(Q75),R75/(R75+Q75),"SLO 不可達")</f>
        <v>0.489051117305381</v>
      </c>
      <c r="T75" s="101" t="n">
        <f aca="false">IF(ISNUMBER(Q75),R75*AL_HoldTrain/(R75*AL_HoldTrain+Q75*(I75*$C$30+J75*$D$30+K75*$E$30+L75*$F$30)),"SLO 不可達")</f>
        <v>0.555769286187842</v>
      </c>
      <c r="U75" s="112" t="n">
        <f aca="false">R75*AL_HoldTrain</f>
        <v>2.13661503335465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2214</v>
      </c>
      <c r="B76" s="59" t="s">
        <v>2191</v>
      </c>
      <c r="C76" s="84" t="n">
        <f aca="false">AL_Nmajor</f>
        <v>1</v>
      </c>
      <c r="D76" s="84" t="n">
        <f aca="false">AL_Nrefresh</f>
        <v>2</v>
      </c>
      <c r="E76" s="86" t="n">
        <f aca="false">AL_k_Lo</f>
        <v>0.5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0.6</v>
      </c>
      <c r="J76" s="83" t="n">
        <f aca="false">AL_MixGB200</f>
        <v>0.4</v>
      </c>
      <c r="K76" s="83" t="n">
        <f aca="false">AL_MixGB300</f>
        <v>0</v>
      </c>
      <c r="L76" s="83" t="n">
        <f aca="false">AL_MixVR200</f>
        <v>0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24125625824.4492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91100077130.4794</v>
      </c>
      <c r="Q76" s="70" t="n">
        <f aca="false">IF(AND(ISNUMBER(O76),ISNUMBER(P76)),IF(AND(O76&gt;0,P76&gt;0),M76/O76+N76/P76,"SLO 不可達"),"SLO 不可達")</f>
        <v>0.182592896594975</v>
      </c>
      <c r="R76" s="70" t="n">
        <f aca="false">E76*(C76*AL_FamGWyr+D76*AL_RefGWyr)</f>
        <v>0.0453423517823082</v>
      </c>
      <c r="S76" s="101" t="n">
        <f aca="false">IF(ISNUMBER(Q76),R76/(R76+Q76),"SLO 不可達")</f>
        <v>0.198926458742601</v>
      </c>
      <c r="T76" s="101" t="n">
        <f aca="false">IF(ISNUMBER(Q76),R76*AL_HoldTrain/(R76*AL_HoldTrain+Q76*(I76*$C$30+J76*$D$30+K76*$E$30+L76*$F$30)),"SLO 不可達")</f>
        <v>0.245046935156479</v>
      </c>
      <c r="U76" s="112" t="n">
        <f aca="false">R76*AL_HoldTrain</f>
        <v>0.554331606994261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2215</v>
      </c>
      <c r="B77" s="59" t="s">
        <v>2191</v>
      </c>
      <c r="C77" s="84" t="n">
        <f aca="false">AL_Nmajor</f>
        <v>1</v>
      </c>
      <c r="D77" s="84" t="n">
        <f aca="false">AL_Nrefresh</f>
        <v>2</v>
      </c>
      <c r="E77" s="86" t="n">
        <f aca="false">AL_k_Hi</f>
        <v>7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0.6</v>
      </c>
      <c r="J77" s="83" t="n">
        <f aca="false">AL_MixGB200</f>
        <v>0.4</v>
      </c>
      <c r="K77" s="83" t="n">
        <f aca="false">AL_MixGB300</f>
        <v>0</v>
      </c>
      <c r="L77" s="83" t="n">
        <f aca="false">AL_MixVR200</f>
        <v>0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24125625824.4492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91100077130.4794</v>
      </c>
      <c r="Q77" s="70" t="n">
        <f aca="false">IF(AND(ISNUMBER(O77),ISNUMBER(P77)),IF(AND(O77&gt;0,P77&gt;0),M77/O77+N77/P77,"SLO 不可達"),"SLO 不可達")</f>
        <v>0.182592896594975</v>
      </c>
      <c r="R77" s="70" t="n">
        <f aca="false">E77*(C77*AL_FamGWyr+D77*AL_RefGWyr)</f>
        <v>0.634792924952314</v>
      </c>
      <c r="S77" s="101" t="n">
        <f aca="false">IF(ISNUMBER(Q77),R77/(R77+Q77),"SLO 不可達")</f>
        <v>0.776613574909666</v>
      </c>
      <c r="T77" s="101" t="n">
        <f aca="false">IF(ISNUMBER(Q77),R77*AL_HoldTrain/(R77*AL_HoldTrain+Q77*(I77*$C$30+J77*$D$30+K77*$E$30+L77*$F$30)),"SLO 不可達")</f>
        <v>0.819631299495304</v>
      </c>
      <c r="U77" s="112" t="n">
        <f aca="false">R77*AL_HoldTrain</f>
        <v>7.76064249791965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8" t="s">
        <v>2216</v>
      </c>
      <c r="B78" s="58" t="s">
        <v>2095</v>
      </c>
      <c r="C78" s="84" t="n">
        <f aca="false">AL_Nmajor</f>
        <v>1</v>
      </c>
      <c r="D78" s="84" t="n">
        <f aca="false">AL_Nrefresh</f>
        <v>2</v>
      </c>
      <c r="E78" s="84" t="n">
        <f aca="false">AL_k</f>
        <v>1</v>
      </c>
      <c r="F78" s="74" t="n">
        <f aca="false">AL_APIratio</f>
        <v>0.75</v>
      </c>
      <c r="G78" s="68" t="n">
        <f aca="false">AL_TokPerPrompt_Lo</f>
        <v>2000</v>
      </c>
      <c r="H78" s="83" t="n">
        <f aca="false">AL_FreeShare</f>
        <v>0.6</v>
      </c>
      <c r="I78" s="83" t="n">
        <f aca="false">AL_MixHopper</f>
        <v>0.6</v>
      </c>
      <c r="J78" s="83" t="n">
        <f aca="false">AL_MixGB200</f>
        <v>0.4</v>
      </c>
      <c r="K78" s="83" t="n">
        <f aca="false">AL_MixGB300</f>
        <v>0</v>
      </c>
      <c r="L78" s="83" t="n">
        <f aca="false">AL_MixVR200</f>
        <v>0</v>
      </c>
      <c r="M78" s="65" t="n">
        <f aca="false">SRC_DEM_010*1000000000*525600*F78/1000000+SRC_DEM_012*1000000000*G78*365/1000000*(1-H78)</f>
        <v>3095200000</v>
      </c>
      <c r="N78" s="65" t="n">
        <f aca="false">SRC_DEM_012*1000000000*G78*365/1000000*H78</f>
        <v>1095000000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24125625824.4492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91100077130.4794</v>
      </c>
      <c r="Q78" s="70" t="n">
        <f aca="false">IF(AND(ISNUMBER(O78),ISNUMBER(P78)),IF(AND(O78&gt;0,P78&gt;0),M78/O78+N78/P78,"SLO 不可達"),"SLO 不可達")</f>
        <v>0.14031486583431</v>
      </c>
      <c r="R78" s="70" t="n">
        <f aca="false">E78*(C78*AL_FamGWyr+D78*AL_RefGWyr)</f>
        <v>0.0906847035646163</v>
      </c>
      <c r="S78" s="101" t="n">
        <f aca="false">IF(ISNUMBER(Q78),R78/(R78+Q78),"SLO 不可達")</f>
        <v>0.392575206094899</v>
      </c>
      <c r="T78" s="101" t="n">
        <f aca="false">IF(ISNUMBER(Q78),R78*AL_HoldTrain/(R78*AL_HoldTrain+Q78*(I78*$C$30+J78*$D$30+K78*$E$30+L78*$F$30)),"SLO 不可達")</f>
        <v>0.45792759232845</v>
      </c>
      <c r="U78" s="112" t="n">
        <f aca="false">R78*AL_HoldTrain</f>
        <v>1.10866321398852</v>
      </c>
      <c r="V78" s="69" t="n">
        <f aca="false">(M78+N78)/365/1000000</f>
        <v>11.48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2217</v>
      </c>
      <c r="B79" s="58" t="s">
        <v>2095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AL_TokPerPrompt_Hi</f>
        <v>11000</v>
      </c>
      <c r="H79" s="83" t="n">
        <f aca="false">AL_FreeShare</f>
        <v>0.6</v>
      </c>
      <c r="I79" s="83" t="n">
        <f aca="false">AL_MixHopper</f>
        <v>0.6</v>
      </c>
      <c r="J79" s="83" t="n">
        <f aca="false">AL_MixGB200</f>
        <v>0.4</v>
      </c>
      <c r="K79" s="83" t="n">
        <f aca="false">AL_MixGB300</f>
        <v>0</v>
      </c>
      <c r="L79" s="83" t="n">
        <f aca="false">AL_MixVR200</f>
        <v>0</v>
      </c>
      <c r="M79" s="65" t="n">
        <f aca="false">SRC_DEM_010*1000000000*525600*F79/1000000+SRC_DEM_012*1000000000*G79*365/1000000*(1-H79)</f>
        <v>6380200000</v>
      </c>
      <c r="N79" s="65" t="n">
        <f aca="false">SRC_DEM_012*1000000000*G79*365/1000000*H79</f>
        <v>6022500000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24125625824.4492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91100077130.4794</v>
      </c>
      <c r="Q79" s="70" t="n">
        <f aca="false">IF(AND(ISNUMBER(O79),ISNUMBER(P79)),IF(AND(O79&gt;0,P79&gt;0),M79/O79+N79/P79,"SLO 不可達"),"SLO 不可達")</f>
        <v>0.330566004257302</v>
      </c>
      <c r="R79" s="70" t="n">
        <f aca="false">E79*(C79*AL_FamGWyr+D79*AL_RefGWyr)</f>
        <v>0.0906847035646163</v>
      </c>
      <c r="S79" s="101" t="n">
        <f aca="false">IF(ISNUMBER(Q79),R79/(R79+Q79),"SLO 不可達")</f>
        <v>0.215274898963381</v>
      </c>
      <c r="T79" s="101" t="n">
        <f aca="false">IF(ISNUMBER(Q79),R79*AL_HoldTrain/(R79*AL_HoldTrain+Q79*(I79*$C$30+J79*$D$30+K79*$E$30+L79*$F$30)),"SLO 不可達")</f>
        <v>0.263936874529157</v>
      </c>
      <c r="U79" s="112" t="n">
        <f aca="false">R79*AL_HoldTrain</f>
        <v>1.10866321398852</v>
      </c>
      <c r="V79" s="69" t="n">
        <f aca="false">(M79+N79)/365/1000000</f>
        <v>33.98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9" t="s">
        <v>2218</v>
      </c>
      <c r="B80" s="59" t="s">
        <v>2219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102" t="n">
        <f aca="false">AL_APIratio_Lo</f>
        <v>0.6</v>
      </c>
      <c r="G80" s="65" t="n">
        <f aca="false">AL_TokPerPrompt</f>
        <v>4000</v>
      </c>
      <c r="H80" s="83" t="n">
        <f aca="false">AL_FreeShare</f>
        <v>0.6</v>
      </c>
      <c r="I80" s="83" t="n">
        <f aca="false">AL_MixHopper</f>
        <v>0.6</v>
      </c>
      <c r="J80" s="83" t="n">
        <f aca="false">AL_MixGB200</f>
        <v>0.4</v>
      </c>
      <c r="K80" s="83" t="n">
        <f aca="false">AL_MixGB300</f>
        <v>0</v>
      </c>
      <c r="L80" s="83" t="n">
        <f aca="false">AL_MixVR200</f>
        <v>0</v>
      </c>
      <c r="M80" s="65" t="n">
        <f aca="false">SRC_DEM_010*1000000000*525600*F80/1000000+SRC_DEM_012*1000000000*G80*365/1000000*(1-H80)</f>
        <v>3352160000</v>
      </c>
      <c r="N80" s="65" t="n">
        <f aca="false">SRC_DEM_012*1000000000*G80*365/1000000*H80</f>
        <v>2190000000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24125625824.4492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91100077130.4794</v>
      </c>
      <c r="Q80" s="70" t="n">
        <f aca="false">IF(AND(ISNUMBER(O80),ISNUMBER(P80)),IF(AND(O80&gt;0,P80&gt;0),M80/O80+N80/P80,"SLO 不可達"),"SLO 不可達")</f>
        <v>0.162985529580246</v>
      </c>
      <c r="R80" s="70" t="n">
        <f aca="false">E80*(C80*AL_FamGWyr+D80*AL_RefGWyr)</f>
        <v>0.0906847035646163</v>
      </c>
      <c r="S80" s="101" t="n">
        <f aca="false">IF(ISNUMBER(Q80),R80/(R80+Q80),"SLO 不可達")</f>
        <v>0.357490520036025</v>
      </c>
      <c r="T80" s="101" t="n">
        <f aca="false">IF(ISNUMBER(Q80),R80*AL_HoldTrain/(R80*AL_HoldTrain+Q80*(I80*$C$30+J80*$D$30+K80*$E$30+L80*$F$30)),"SLO 不可達")</f>
        <v>0.421050861601232</v>
      </c>
      <c r="U80" s="112" t="n">
        <f aca="false">R80*AL_HoldTrain</f>
        <v>1.10866321398852</v>
      </c>
      <c r="V80" s="69" t="n">
        <f aca="false">(M80+N80)/365/1000000</f>
        <v>15.184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2220</v>
      </c>
      <c r="B81" s="59" t="s">
        <v>2219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AL_APIratio_Hi</f>
        <v>0.9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0.6</v>
      </c>
      <c r="J81" s="83" t="n">
        <f aca="false">AL_MixGB200</f>
        <v>0.4</v>
      </c>
      <c r="K81" s="83" t="n">
        <f aca="false">AL_MixGB300</f>
        <v>0</v>
      </c>
      <c r="L81" s="83" t="n">
        <f aca="false">AL_MixVR200</f>
        <v>0</v>
      </c>
      <c r="M81" s="65" t="n">
        <f aca="false">SRC_DEM_010*1000000000*525600*F81/1000000+SRC_DEM_012*1000000000*G81*365/1000000*(1-H81)</f>
        <v>4298240000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24125625824.4492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91100077130.4794</v>
      </c>
      <c r="Q81" s="70" t="n">
        <f aca="false">IF(AND(ISNUMBER(O81),ISNUMBER(P81)),IF(AND(O81&gt;0,P81&gt;0),M81/O81+N81/P81,"SLO 不可達"),"SLO 不可達")</f>
        <v>0.202200263609704</v>
      </c>
      <c r="R81" s="70" t="n">
        <f aca="false">E81*(C81*AL_FamGWyr+D81*AL_RefGWyr)</f>
        <v>0.0906847035646163</v>
      </c>
      <c r="S81" s="101" t="n">
        <f aca="false">IF(ISNUMBER(Q81),R81/(R81+Q81),"SLO 不可達")</f>
        <v>0.309625667850144</v>
      </c>
      <c r="T81" s="101" t="n">
        <f aca="false">IF(ISNUMBER(Q81),R81*AL_HoldTrain/(R81*AL_HoldTrain+Q81*(I81*$C$30+J81*$D$30+K81*$E$30+L81*$F$30)),"SLO 不可達")</f>
        <v>0.369570880121806</v>
      </c>
      <c r="U81" s="112" t="n">
        <f aca="false">R81*AL_HoldTrain</f>
        <v>1.10866321398852</v>
      </c>
      <c r="V81" s="69" t="n">
        <f aca="false">(M81+N81)/365/1000000</f>
        <v>17.776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8" t="s">
        <v>2221</v>
      </c>
      <c r="B82" s="58" t="s">
        <v>2194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74" t="n">
        <f aca="false">AL_APIratio</f>
        <v>0.75</v>
      </c>
      <c r="G82" s="65" t="n">
        <f aca="false">AL_TokPerPrompt</f>
        <v>4000</v>
      </c>
      <c r="H82" s="116" t="n">
        <f aca="false">AL_FreeShare_Lo</f>
        <v>0.4</v>
      </c>
      <c r="I82" s="83" t="n">
        <f aca="false">AL_MixHopper</f>
        <v>0.6</v>
      </c>
      <c r="J82" s="83" t="n">
        <f aca="false">AL_MixGB200</f>
        <v>0.4</v>
      </c>
      <c r="K82" s="83" t="n">
        <f aca="false">AL_MixGB300</f>
        <v>0</v>
      </c>
      <c r="L82" s="83" t="n">
        <f aca="false">AL_MixVR200</f>
        <v>0</v>
      </c>
      <c r="M82" s="65" t="n">
        <f aca="false">SRC_DEM_010*1000000000*525600*F82/1000000+SRC_DEM_012*1000000000*G82*365/1000000*(1-H82)</f>
        <v>4555200000</v>
      </c>
      <c r="N82" s="65" t="n">
        <f aca="false">SRC_DEM_012*1000000000*G82*365/1000000*H82</f>
        <v>1460000000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24125625824.4492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91100077130.4794</v>
      </c>
      <c r="Q82" s="70" t="n">
        <f aca="false">IF(AND(ISNUMBER(O82),ISNUMBER(P82)),IF(AND(O82&gt;0,P82&gt;0),M82/O82+N82/P82,"SLO 不可達"),"SLO 不可達")</f>
        <v>0.204838013471427</v>
      </c>
      <c r="R82" s="70" t="n">
        <f aca="false">E82*(C82*AL_FamGWyr+D82*AL_RefGWyr)</f>
        <v>0.0906847035646163</v>
      </c>
      <c r="S82" s="101" t="n">
        <f aca="false">IF(ISNUMBER(Q82),R82/(R82+Q82),"SLO 不可達")</f>
        <v>0.306862039149281</v>
      </c>
      <c r="T82" s="101" t="n">
        <f aca="false">IF(ISNUMBER(Q82),R82*AL_HoldTrain/(R82*AL_HoldTrain+Q82*(I82*$C$30+J82*$D$30+K82*$E$30+L82*$F$30)),"SLO 不可達")</f>
        <v>0.366556286135594</v>
      </c>
      <c r="U82" s="112" t="n">
        <f aca="false">R82*AL_HoldTrain</f>
        <v>1.10866321398852</v>
      </c>
      <c r="V82" s="69" t="n">
        <f aca="false">(M82+N82)/365/1000000</f>
        <v>16.48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2222</v>
      </c>
      <c r="B83" s="58" t="s">
        <v>2194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AL_FreeShare_Hi</f>
        <v>0.8</v>
      </c>
      <c r="I83" s="83" t="n">
        <f aca="false">AL_MixHopper</f>
        <v>0.6</v>
      </c>
      <c r="J83" s="83" t="n">
        <f aca="false">AL_MixGB200</f>
        <v>0.4</v>
      </c>
      <c r="K83" s="83" t="n">
        <f aca="false">AL_MixGB300</f>
        <v>0</v>
      </c>
      <c r="L83" s="83" t="n">
        <f aca="false">AL_MixVR200</f>
        <v>0</v>
      </c>
      <c r="M83" s="65" t="n">
        <f aca="false">SRC_DEM_010*1000000000*525600*F83/1000000+SRC_DEM_012*1000000000*G83*365/1000000*(1-H83)</f>
        <v>3095200000</v>
      </c>
      <c r="N83" s="65" t="n">
        <f aca="false">SRC_DEM_012*1000000000*G83*365/1000000*H83</f>
        <v>2920000000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24125625824.4492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91100077130.4794</v>
      </c>
      <c r="Q83" s="70" t="n">
        <f aca="false">IF(AND(ISNUMBER(O83),ISNUMBER(P83)),IF(AND(O83&gt;0,P83&gt;0),M83/O83+N83/P83,"SLO 不可達"),"SLO 不可達")</f>
        <v>0.160347779718522</v>
      </c>
      <c r="R83" s="70" t="n">
        <f aca="false">E83*(C83*AL_FamGWyr+D83*AL_RefGWyr)</f>
        <v>0.0906847035646163</v>
      </c>
      <c r="S83" s="101" t="n">
        <f aca="false">IF(ISNUMBER(Q83),R83/(R83+Q83),"SLO 不可達")</f>
        <v>0.361246888763529</v>
      </c>
      <c r="T83" s="101" t="n">
        <f aca="false">IF(ISNUMBER(Q83),R83*AL_HoldTrain/(R83*AL_HoldTrain+Q83*(I83*$C$30+J83*$D$30+K83*$E$30+L83*$F$30)),"SLO 不可達")</f>
        <v>0.425033289476539</v>
      </c>
      <c r="U83" s="112" t="n">
        <f aca="false">R83*AL_HoldTrain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2223</v>
      </c>
      <c r="B84" s="58" t="s">
        <v>2224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83" t="n">
        <f aca="false">AL_FreeShare</f>
        <v>0.6</v>
      </c>
      <c r="I84" s="116" t="n">
        <f aca="false">AL_MixHopper_Lo</f>
        <v>0</v>
      </c>
      <c r="J84" s="116" t="n">
        <f aca="false">AL_MixGB200_Hi</f>
        <v>1</v>
      </c>
      <c r="K84" s="116" t="n">
        <f aca="false">AL_MixGB300_Lo</f>
        <v>0</v>
      </c>
      <c r="L84" s="116" t="n">
        <f aca="false">AL_MixVR200_Lo</f>
        <v>0</v>
      </c>
      <c r="M84" s="65" t="n">
        <f aca="false">SRC_DEM_010*1000000000*525600*F84/1000000+SRC_DEM_012*1000000000*G84*365/1000000*(1-H84)</f>
        <v>3825200000</v>
      </c>
      <c r="N84" s="65" t="n">
        <f aca="false">SRC_DEM_012*1000000000*G84*365/1000000*H84</f>
        <v>2190000000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70" t="n">
        <f aca="false">IF(AND(ISNUMBER(O84),ISNUMBER(P84)),IF(AND(O84&gt;0,P84&gt;0),M84/O84+N84/P84,"SLO 不可達"),"SLO 不可達")</f>
        <v>0.0948784255730922</v>
      </c>
      <c r="R84" s="70" t="n">
        <f aca="false">E84*(C84*AL_FamGWyr+D84*AL_RefGWyr)</f>
        <v>0.0906847035646163</v>
      </c>
      <c r="S84" s="101" t="n">
        <f aca="false">IF(ISNUMBER(Q84),R84/(R84+Q84),"SLO 不可達")</f>
        <v>0.488700012691197</v>
      </c>
      <c r="T84" s="101" t="n">
        <f aca="false">IF(ISNUMBER(Q84),R84*AL_HoldTrain/(R84*AL_HoldTrain+Q84*(I84*$C$30+J84*$D$30+K84*$E$30+L84*$F$30)),"SLO 不可達")</f>
        <v>0.569636116348958</v>
      </c>
      <c r="U84" s="112" t="n">
        <f aca="false">R84*AL_HoldTrain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2225</v>
      </c>
      <c r="B85" s="58" t="s">
        <v>2224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AL_MixGB200_Lo</f>
        <v>0</v>
      </c>
      <c r="K85" s="116" t="n">
        <f aca="false">AL_MixGB300_Lo</f>
        <v>0</v>
      </c>
      <c r="L85" s="116" t="n">
        <f aca="false">AL_MixVR200_Hi</f>
        <v>1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70" t="n">
        <f aca="false">IF(AND(ISNUMBER(O85),ISNUMBER(P85)),IF(AND(O85&gt;0,P85&gt;0),M85/O85+N85/P85,"SLO 不可達"),"SLO 不可達")</f>
        <v>0.0398689289853989</v>
      </c>
      <c r="R85" s="70" t="n">
        <f aca="false">E85*(C85*AL_FamGWyr+D85*AL_RefGWyr)</f>
        <v>0.0906847035646163</v>
      </c>
      <c r="S85" s="101" t="n">
        <f aca="false">IF(ISNUMBER(Q85),R85/(R85+Q85),"SLO 不可達")</f>
        <v>0.69461647135613</v>
      </c>
      <c r="T85" s="101" t="n">
        <f aca="false">IF(ISNUMBER(Q85),R85*AL_HoldTrain/(R85*AL_HoldTrain+Q85*(I85*$C$30+J85*$D$30+K85*$E$30+L85*$F$30)),"SLO 不可達")</f>
        <v>0.69461647135613</v>
      </c>
      <c r="U85" s="112" t="n">
        <f aca="false">R85*AL_HoldTrain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71" t="s">
        <v>2226</v>
      </c>
      <c r="B87" s="56" t="s">
        <v>604</v>
      </c>
      <c r="C87" s="84" t="n">
        <f aca="false">AL_Nmajor</f>
        <v>1</v>
      </c>
      <c r="D87" s="84" t="n">
        <f aca="false">AL_Nrefresh</f>
        <v>2</v>
      </c>
      <c r="E87" s="84" t="n">
        <f aca="false">AL_k</f>
        <v>1</v>
      </c>
      <c r="F87" s="74" t="n">
        <f aca="false">AL_APIratio</f>
        <v>0.75</v>
      </c>
      <c r="G87" s="65" t="n">
        <f aca="false">AL_TokPerPrompt</f>
        <v>4000</v>
      </c>
      <c r="H87" s="83" t="n">
        <f aca="false">AL_FreeShare</f>
        <v>0.6</v>
      </c>
      <c r="I87" s="83" t="n">
        <f aca="false">AL_MixHopper</f>
        <v>0.6</v>
      </c>
      <c r="J87" s="83" t="n">
        <f aca="false">AL_MixGB200</f>
        <v>0.4</v>
      </c>
      <c r="K87" s="83" t="n">
        <f aca="false">AL_MixGB300</f>
        <v>0</v>
      </c>
      <c r="L87" s="83" t="n">
        <f aca="false">AL_MixVR200</f>
        <v>0</v>
      </c>
      <c r="M87" s="65" t="n">
        <f aca="false">SRC_DEM_010*1000000000*525600*F87/1000000+SRC_DEM_012*1000000000*G87*365/1000000*(1-H87)</f>
        <v>3825200000</v>
      </c>
      <c r="N87" s="65" t="n">
        <f aca="false">SRC_DEM_012*1000000000*G87*365/1000000*H87</f>
        <v>2190000000</v>
      </c>
      <c r="O87" s="65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24125625824.4492</v>
      </c>
      <c r="P87" s="65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91100077130.4794</v>
      </c>
      <c r="Q87" s="70" t="n">
        <f aca="false">IF(AND(ISNUMBER(O87),ISNUMBER(P87)),IF(AND(O87&gt;0,P87&gt;0),M87/O87+N87/P87,"SLO 不可達"),"SLO 不可達")</f>
        <v>0.182592896594975</v>
      </c>
      <c r="R87" s="70" t="n">
        <f aca="false">E87*(C87*AL_FamGWyr+D87*AL_RefGWyr)</f>
        <v>0.0906847035646163</v>
      </c>
      <c r="S87" s="101" t="n">
        <f aca="false">IF(ISNUMBER(Q87),R87/(R87+Q87),"SLO 不可達")</f>
        <v>0.331840968713343</v>
      </c>
      <c r="T87" s="101" t="n">
        <f aca="false">IF(ISNUMBER(Q87),R87*AL_HoldTrain/(R87*AL_HoldTrain+Q87*(I87*$C$30+J87*$D$30+K87*$E$30+L87*$F$30)),"SLO 不可達")</f>
        <v>0.393634855421224</v>
      </c>
      <c r="U87" s="112" t="n">
        <f aca="false">R87*AL_HoldTrain</f>
        <v>1.10866321398852</v>
      </c>
      <c r="V87" s="69" t="n">
        <f aca="false">(M87+N87)/365/1000000</f>
        <v>16.48</v>
      </c>
    </row>
    <row r="88" customFormat="false" ht="15" hidden="false" customHeight="false" outlineLevel="0" collapsed="false">
      <c r="A88" s="71" t="s">
        <v>2227</v>
      </c>
      <c r="B88" s="56" t="s">
        <v>2189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0.6</v>
      </c>
      <c r="J88" s="83" t="n">
        <f aca="false">AL_MixGB200</f>
        <v>0.4</v>
      </c>
      <c r="K88" s="83" t="n">
        <f aca="false">AL_MixGB300</f>
        <v>0</v>
      </c>
      <c r="L88" s="83" t="n">
        <f aca="false">AL_MixVR200</f>
        <v>0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24125625824.4492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91100077130.4794</v>
      </c>
      <c r="Q88" s="70" t="n">
        <f aca="false">IF(AND(ISNUMBER(O88),ISNUMBER(P88)),IF(AND(O88&gt;0,P88&gt;0),M88/O88+N88/P88,"SLO 不可達"),"SLO 不可達")</f>
        <v>0.182592896594975</v>
      </c>
      <c r="R88" s="70" t="n">
        <f aca="false">E88*(C88*AL_FamGWyr+D88*AL_RefGWyr)</f>
        <v>0.0906847035646163</v>
      </c>
      <c r="S88" s="101" t="n">
        <f aca="false">IF(ISNUMBER(Q88),R88/(R88+Q88),"SLO 不可達")</f>
        <v>0.331840968713343</v>
      </c>
      <c r="T88" s="101" t="n">
        <f aca="false">IF(ISNUMBER(Q88),R88*AL_HoldTrain/(R88*AL_HoldTrain+Q88*(I88*$C$30+J88*$D$30+K88*$E$30+L88*$F$30)),"SLO 不可達")</f>
        <v>0.393634855421224</v>
      </c>
      <c r="U88" s="112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2228</v>
      </c>
      <c r="B89" s="56" t="s">
        <v>2189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0.6</v>
      </c>
      <c r="J89" s="83" t="n">
        <f aca="false">AL_MixGB200</f>
        <v>0.4</v>
      </c>
      <c r="K89" s="83" t="n">
        <f aca="false">AL_MixGB300</f>
        <v>0</v>
      </c>
      <c r="L89" s="83" t="n">
        <f aca="false">AL_MixVR200</f>
        <v>0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24125625824.4492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91100077130.4794</v>
      </c>
      <c r="Q89" s="70" t="n">
        <f aca="false">IF(AND(ISNUMBER(O89),ISNUMBER(P89)),IF(AND(O89&gt;0,P89&gt;0),M89/O89+N89/P89,"SLO 不可達"),"SLO 不可達")</f>
        <v>0.182592896594975</v>
      </c>
      <c r="R89" s="70" t="n">
        <f aca="false">E89*(C89*AL_FamGWyr+D89*AL_RefGWyr)</f>
        <v>0.0906847035646163</v>
      </c>
      <c r="S89" s="101" t="n">
        <f aca="false">IF(ISNUMBER(Q89),R89/(R89+Q89),"SLO 不可達")</f>
        <v>0.331840968713343</v>
      </c>
      <c r="T89" s="101" t="n">
        <f aca="false">IF(ISNUMBER(Q89),R89*AL_HoldTrain/(R89*AL_HoldTrain+Q89*(I89*$C$30+J89*$D$30+K89*$E$30+L89*$F$30)),"SLO 不可達")</f>
        <v>0.393634855421224</v>
      </c>
      <c r="U89" s="112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2229</v>
      </c>
      <c r="B90" s="56" t="s">
        <v>2190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0.6</v>
      </c>
      <c r="J90" s="83" t="n">
        <f aca="false">AL_MixGB200</f>
        <v>0.4</v>
      </c>
      <c r="K90" s="83" t="n">
        <f aca="false">AL_MixGB300</f>
        <v>0</v>
      </c>
      <c r="L90" s="83" t="n">
        <f aca="false">AL_MixVR200</f>
        <v>0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24125625824.4492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91100077130.4794</v>
      </c>
      <c r="Q90" s="70" t="n">
        <f aca="false">IF(AND(ISNUMBER(O90),ISNUMBER(P90)),IF(AND(O90&gt;0,P90&gt;0),M90/O90+N90/P90,"SLO 不可達"),"SLO 不可達")</f>
        <v>0.182592896594975</v>
      </c>
      <c r="R90" s="70" t="n">
        <f aca="false">E90*(C90*AL_FamGWyr+D90*AL_RefGWyr)</f>
        <v>0.0906847035646163</v>
      </c>
      <c r="S90" s="101" t="n">
        <f aca="false">IF(ISNUMBER(Q90),R90/(R90+Q90),"SLO 不可達")</f>
        <v>0.331840968713343</v>
      </c>
      <c r="T90" s="101" t="n">
        <f aca="false">IF(ISNUMBER(Q90),R90*AL_HoldTrain/(R90*AL_HoldTrain+Q90*(I90*$C$30+J90*$D$30+K90*$E$30+L90*$F$30)),"SLO 不可達")</f>
        <v>0.393634855421224</v>
      </c>
      <c r="U90" s="112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2230</v>
      </c>
      <c r="B91" s="56" t="s">
        <v>2190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0.6</v>
      </c>
      <c r="J91" s="83" t="n">
        <f aca="false">AL_MixGB200</f>
        <v>0.4</v>
      </c>
      <c r="K91" s="83" t="n">
        <f aca="false">AL_MixGB300</f>
        <v>0</v>
      </c>
      <c r="L91" s="83" t="n">
        <f aca="false">AL_MixVR200</f>
        <v>0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24125625824.4492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91100077130.4794</v>
      </c>
      <c r="Q91" s="70" t="n">
        <f aca="false">IF(AND(ISNUMBER(O91),ISNUMBER(P91)),IF(AND(O91&gt;0,P91&gt;0),M91/O91+N91/P91,"SLO 不可達"),"SLO 不可達")</f>
        <v>0.182592896594975</v>
      </c>
      <c r="R91" s="70" t="n">
        <f aca="false">E91*(C91*AL_FamGWyr+D91*AL_RefGWyr)</f>
        <v>0.0906847035646163</v>
      </c>
      <c r="S91" s="101" t="n">
        <f aca="false">IF(ISNUMBER(Q91),R91/(R91+Q91),"SLO 不可達")</f>
        <v>0.331840968713343</v>
      </c>
      <c r="T91" s="101" t="n">
        <f aca="false">IF(ISNUMBER(Q91),R91*AL_HoldTrain/(R91*AL_HoldTrain+Q91*(I91*$C$30+J91*$D$30+K91*$E$30+L91*$F$30)),"SLO 不可達")</f>
        <v>0.393634855421224</v>
      </c>
      <c r="U91" s="112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2231</v>
      </c>
      <c r="B92" s="56" t="s">
        <v>2191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0.6</v>
      </c>
      <c r="J92" s="83" t="n">
        <f aca="false">AL_MixGB200</f>
        <v>0.4</v>
      </c>
      <c r="K92" s="83" t="n">
        <f aca="false">AL_MixGB300</f>
        <v>0</v>
      </c>
      <c r="L92" s="83" t="n">
        <f aca="false">AL_MixVR200</f>
        <v>0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24125625824.4492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91100077130.4794</v>
      </c>
      <c r="Q92" s="70" t="n">
        <f aca="false">IF(AND(ISNUMBER(O92),ISNUMBER(P92)),IF(AND(O92&gt;0,P92&gt;0),M92/O92+N92/P92,"SLO 不可達"),"SLO 不可達")</f>
        <v>0.182592896594975</v>
      </c>
      <c r="R92" s="70" t="n">
        <f aca="false">E92*(C92*AL_FamGWyr+D92*AL_RefGWyr)</f>
        <v>0.0906847035646163</v>
      </c>
      <c r="S92" s="101" t="n">
        <f aca="false">IF(ISNUMBER(Q92),R92/(R92+Q92),"SLO 不可達")</f>
        <v>0.331840968713343</v>
      </c>
      <c r="T92" s="101" t="n">
        <f aca="false">IF(ISNUMBER(Q92),R92*AL_HoldTrain/(R92*AL_HoldTrain+Q92*(I92*$C$30+J92*$D$30+K92*$E$30+L92*$F$30)),"SLO 不可達")</f>
        <v>0.393634855421224</v>
      </c>
      <c r="U92" s="112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2232</v>
      </c>
      <c r="B93" s="56" t="s">
        <v>2191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0.6</v>
      </c>
      <c r="J93" s="83" t="n">
        <f aca="false">AL_MixGB200</f>
        <v>0.4</v>
      </c>
      <c r="K93" s="83" t="n">
        <f aca="false">AL_MixGB300</f>
        <v>0</v>
      </c>
      <c r="L93" s="83" t="n">
        <f aca="false">AL_MixVR200</f>
        <v>0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24125625824.4492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91100077130.4794</v>
      </c>
      <c r="Q93" s="70" t="n">
        <f aca="false">IF(AND(ISNUMBER(O93),ISNUMBER(P93)),IF(AND(O93&gt;0,P93&gt;0),M93/O93+N93/P93,"SLO 不可達"),"SLO 不可達")</f>
        <v>0.182592896594975</v>
      </c>
      <c r="R93" s="70" t="n">
        <f aca="false">E93*(C93*AL_FamGWyr+D93*AL_RefGWyr)</f>
        <v>0.0906847035646163</v>
      </c>
      <c r="S93" s="101" t="n">
        <f aca="false">IF(ISNUMBER(Q93),R93/(R93+Q93),"SLO 不可達")</f>
        <v>0.331840968713343</v>
      </c>
      <c r="T93" s="101" t="n">
        <f aca="false">IF(ISNUMBER(Q93),R93*AL_HoldTrain/(R93*AL_HoldTrain+Q93*(I93*$C$30+J93*$D$30+K93*$E$30+L93*$F$30)),"SLO 不可達")</f>
        <v>0.393634855421224</v>
      </c>
      <c r="U93" s="112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2233</v>
      </c>
      <c r="B94" s="71" t="s">
        <v>2234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0.6</v>
      </c>
      <c r="J94" s="83" t="n">
        <f aca="false">AL_MixGB200</f>
        <v>0.4</v>
      </c>
      <c r="K94" s="83" t="n">
        <f aca="false">AL_MixGB300</f>
        <v>0</v>
      </c>
      <c r="L94" s="83" t="n">
        <f aca="false">AL_MixVR200</f>
        <v>0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24125625824.4492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91100077130.4794</v>
      </c>
      <c r="Q94" s="70" t="n">
        <f aca="false">IF(AND(ISNUMBER(O94),ISNUMBER(P94)),IF(AND(O94&gt;0,P94&gt;0),M94/O94+N94/P94,"SLO 不可達"),"SLO 不可達")</f>
        <v>0.182592896594975</v>
      </c>
      <c r="R94" s="70" t="n">
        <f aca="false">E94*(C94*AL_FamGWyr+D94*AL_RefGWyr)</f>
        <v>0.0906847035646163</v>
      </c>
      <c r="S94" s="101" t="n">
        <f aca="false">IF(ISNUMBER(Q94),R94/(R94+Q94),"SLO 不可達")</f>
        <v>0.331840968713343</v>
      </c>
      <c r="T94" s="101" t="n">
        <f aca="false">IF(ISNUMBER(Q94),R94*AL_HoldTrain/(R94*AL_HoldTrain+Q94*(I94*$C$30+J94*$D$30+K94*$E$30+L94*$F$30)),"SLO 不可達")</f>
        <v>0.393634855421224</v>
      </c>
      <c r="U94" s="112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2235</v>
      </c>
      <c r="B95" s="71" t="s">
        <v>2234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0.6</v>
      </c>
      <c r="J95" s="83" t="n">
        <f aca="false">AL_MixGB200</f>
        <v>0.4</v>
      </c>
      <c r="K95" s="83" t="n">
        <f aca="false">AL_MixGB300</f>
        <v>0</v>
      </c>
      <c r="L95" s="83" t="n">
        <f aca="false">AL_MixVR200</f>
        <v>0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24125625824.4492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91100077130.4794</v>
      </c>
      <c r="Q95" s="70" t="n">
        <f aca="false">IF(AND(ISNUMBER(O95),ISNUMBER(P95)),IF(AND(O95&gt;0,P95&gt;0),M95/O95+N95/P95,"SLO 不可達"),"SLO 不可達")</f>
        <v>0.182592896594975</v>
      </c>
      <c r="R95" s="70" t="n">
        <f aca="false">E95*(C95*AL_FamGWyr+D95*AL_RefGWyr)</f>
        <v>0.0906847035646163</v>
      </c>
      <c r="S95" s="101" t="n">
        <f aca="false">IF(ISNUMBER(Q95),R95/(R95+Q95),"SLO 不可達")</f>
        <v>0.331840968713343</v>
      </c>
      <c r="T95" s="101" t="n">
        <f aca="false">IF(ISNUMBER(Q95),R95*AL_HoldTrain/(R95*AL_HoldTrain+Q95*(I95*$C$30+J95*$D$30+K95*$E$30+L95*$F$30)),"SLO 不可達")</f>
        <v>0.393634855421224</v>
      </c>
      <c r="U95" s="112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2236</v>
      </c>
      <c r="B96" s="56" t="s">
        <v>2237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0.6</v>
      </c>
      <c r="J96" s="83" t="n">
        <f aca="false">AL_MixGB200</f>
        <v>0.4</v>
      </c>
      <c r="K96" s="83" t="n">
        <f aca="false">AL_MixGB300</f>
        <v>0</v>
      </c>
      <c r="L96" s="83" t="n">
        <f aca="false">AL_MixVR200</f>
        <v>0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24125625824.4492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91100077130.4794</v>
      </c>
      <c r="Q96" s="70" t="n">
        <f aca="false">IF(AND(ISNUMBER(O96),ISNUMBER(P96)),IF(AND(O96&gt;0,P96&gt;0),M96/O96+N96/P96,"SLO 不可達"),"SLO 不可達")</f>
        <v>0.182592896594975</v>
      </c>
      <c r="R96" s="70" t="n">
        <f aca="false">E96*(C96*AL_FamGWyr+D96*AL_RefGWyr)</f>
        <v>0.0906847035646163</v>
      </c>
      <c r="S96" s="101" t="n">
        <f aca="false">IF(ISNUMBER(Q96),R96/(R96+Q96),"SLO 不可達")</f>
        <v>0.331840968713343</v>
      </c>
      <c r="T96" s="101" t="n">
        <f aca="false">IF(ISNUMBER(Q96),R96*AL_HoldTrain/(R96*AL_HoldTrain+Q96*(I96*$C$30+J96*$D$30+K96*$E$30+L96*$F$30)),"SLO 不可達")</f>
        <v>0.393634855421224</v>
      </c>
      <c r="U96" s="112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2238</v>
      </c>
      <c r="B97" s="56" t="s">
        <v>2237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0.6</v>
      </c>
      <c r="J97" s="83" t="n">
        <f aca="false">AL_MixGB200</f>
        <v>0.4</v>
      </c>
      <c r="K97" s="83" t="n">
        <f aca="false">AL_MixGB300</f>
        <v>0</v>
      </c>
      <c r="L97" s="83" t="n">
        <f aca="false">AL_MixVR200</f>
        <v>0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24125625824.4492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91100077130.4794</v>
      </c>
      <c r="Q97" s="70" t="n">
        <f aca="false">IF(AND(ISNUMBER(O97),ISNUMBER(P97)),IF(AND(O97&gt;0,P97&gt;0),M97/O97+N97/P97,"SLO 不可達"),"SLO 不可達")</f>
        <v>0.182592896594975</v>
      </c>
      <c r="R97" s="70" t="n">
        <f aca="false">E97*(C97*AL_FamGWyr+D97*AL_RefGWyr)</f>
        <v>0.0906847035646163</v>
      </c>
      <c r="S97" s="101" t="n">
        <f aca="false">IF(ISNUMBER(Q97),R97/(R97+Q97),"SLO 不可達")</f>
        <v>0.331840968713343</v>
      </c>
      <c r="T97" s="101" t="n">
        <f aca="false">IF(ISNUMBER(Q97),R97*AL_HoldTrain/(R97*AL_HoldTrain+Q97*(I97*$C$30+J97*$D$30+K97*$E$30+L97*$F$30)),"SLO 不可達")</f>
        <v>0.393634855421224</v>
      </c>
      <c r="U97" s="112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2239</v>
      </c>
      <c r="B98" s="71" t="s">
        <v>2194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0.6</v>
      </c>
      <c r="J98" s="83" t="n">
        <f aca="false">AL_MixGB200</f>
        <v>0.4</v>
      </c>
      <c r="K98" s="83" t="n">
        <f aca="false">AL_MixGB300</f>
        <v>0</v>
      </c>
      <c r="L98" s="83" t="n">
        <f aca="false">AL_MixVR200</f>
        <v>0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24125625824.4492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91100077130.4794</v>
      </c>
      <c r="Q98" s="70" t="n">
        <f aca="false">IF(AND(ISNUMBER(O98),ISNUMBER(P98)),IF(AND(O98&gt;0,P98&gt;0),M98/O98+N98/P98,"SLO 不可達"),"SLO 不可達")</f>
        <v>0.182592896594975</v>
      </c>
      <c r="R98" s="70" t="n">
        <f aca="false">E98*(C98*AL_FamGWyr+D98*AL_RefGWyr)</f>
        <v>0.0906847035646163</v>
      </c>
      <c r="S98" s="101" t="n">
        <f aca="false">IF(ISNUMBER(Q98),R98/(R98+Q98),"SLO 不可達")</f>
        <v>0.331840968713343</v>
      </c>
      <c r="T98" s="101" t="n">
        <f aca="false">IF(ISNUMBER(Q98),R98*AL_HoldTrain/(R98*AL_HoldTrain+Q98*(I98*$C$30+J98*$D$30+K98*$E$30+L98*$F$30)),"SLO 不可達")</f>
        <v>0.393634855421224</v>
      </c>
      <c r="U98" s="112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2240</v>
      </c>
      <c r="B99" s="71" t="s">
        <v>2194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0.6</v>
      </c>
      <c r="J99" s="83" t="n">
        <f aca="false">AL_MixGB200</f>
        <v>0.4</v>
      </c>
      <c r="K99" s="83" t="n">
        <f aca="false">AL_MixGB300</f>
        <v>0</v>
      </c>
      <c r="L99" s="83" t="n">
        <f aca="false">AL_MixVR200</f>
        <v>0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24125625824.4492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91100077130.4794</v>
      </c>
      <c r="Q99" s="70" t="n">
        <f aca="false">IF(AND(ISNUMBER(O99),ISNUMBER(P99)),IF(AND(O99&gt;0,P99&gt;0),M99/O99+N99/P99,"SLO 不可達"),"SLO 不可達")</f>
        <v>0.182592896594975</v>
      </c>
      <c r="R99" s="70" t="n">
        <f aca="false">E99*(C99*AL_FamGWyr+D99*AL_RefGWyr)</f>
        <v>0.0906847035646163</v>
      </c>
      <c r="S99" s="101" t="n">
        <f aca="false">IF(ISNUMBER(Q99),R99/(R99+Q99),"SLO 不可達")</f>
        <v>0.331840968713343</v>
      </c>
      <c r="T99" s="101" t="n">
        <f aca="false">IF(ISNUMBER(Q99),R99*AL_HoldTrain/(R99*AL_HoldTrain+Q99*(I99*$C$30+J99*$D$30+K99*$E$30+L99*$F$30)),"SLO 不可達")</f>
        <v>0.393634855421224</v>
      </c>
      <c r="U99" s="112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2241</v>
      </c>
      <c r="B100" s="71" t="s">
        <v>2224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0.6</v>
      </c>
      <c r="J100" s="83" t="n">
        <f aca="false">AL_MixGB200</f>
        <v>0.4</v>
      </c>
      <c r="K100" s="83" t="n">
        <f aca="false">AL_MixGB300</f>
        <v>0</v>
      </c>
      <c r="L100" s="83" t="n">
        <f aca="false">AL_MixVR200</f>
        <v>0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24125625824.4492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91100077130.4794</v>
      </c>
      <c r="Q100" s="70" t="n">
        <f aca="false">IF(AND(ISNUMBER(O100),ISNUMBER(P100)),IF(AND(O100&gt;0,P100&gt;0),M100/O100+N100/P100,"SLO 不可達"),"SLO 不可達")</f>
        <v>0.182592896594975</v>
      </c>
      <c r="R100" s="70" t="n">
        <f aca="false">E100*(C100*AL_FamGWyr+D100*AL_RefGWyr)</f>
        <v>0.0906847035646163</v>
      </c>
      <c r="S100" s="101" t="n">
        <f aca="false">IF(ISNUMBER(Q100),R100/(R100+Q100),"SLO 不可達")</f>
        <v>0.331840968713343</v>
      </c>
      <c r="T100" s="101" t="n">
        <f aca="false">IF(ISNUMBER(Q100),R100*AL_HoldTrain/(R100*AL_HoldTrain+Q100*(I100*$C$30+J100*$D$30+K100*$E$30+L100*$F$30)),"SLO 不可達")</f>
        <v>0.393634855421224</v>
      </c>
      <c r="U100" s="112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2242</v>
      </c>
      <c r="B101" s="71" t="s">
        <v>2224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0.6</v>
      </c>
      <c r="J101" s="83" t="n">
        <f aca="false">AL_MixGB200</f>
        <v>0.4</v>
      </c>
      <c r="K101" s="83" t="n">
        <f aca="false">AL_MixGB300</f>
        <v>0</v>
      </c>
      <c r="L101" s="83" t="n">
        <f aca="false">AL_MixVR200</f>
        <v>0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24125625824.4492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91100077130.4794</v>
      </c>
      <c r="Q101" s="70" t="n">
        <f aca="false">IF(AND(ISNUMBER(O101),ISNUMBER(P101)),IF(AND(O101&gt;0,P101&gt;0),M101/O101+N101/P101,"SLO 不可達"),"SLO 不可達")</f>
        <v>0.182592896594975</v>
      </c>
      <c r="R101" s="70" t="n">
        <f aca="false">E101*(C101*AL_FamGWyr+D101*AL_RefGWyr)</f>
        <v>0.0906847035646163</v>
      </c>
      <c r="S101" s="101" t="n">
        <f aca="false">IF(ISNUMBER(Q101),R101/(R101+Q101),"SLO 不可達")</f>
        <v>0.331840968713343</v>
      </c>
      <c r="T101" s="101" t="n">
        <f aca="false">IF(ISNUMBER(Q101),R101*AL_HoldTrain/(R101*AL_HoldTrain+Q101*(I101*$C$30+J101*$D$30+K101*$E$30+L101*$F$30)),"SLO 不可達")</f>
        <v>0.393634855421224</v>
      </c>
      <c r="U101" s="112" t="n">
        <f aca="false">R101*AL_HoldTrain</f>
        <v>1.10866321398852</v>
      </c>
      <c r="V101" s="69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2243</v>
      </c>
    </row>
    <row r="2" customFormat="false" ht="15" hidden="false" customHeight="false" outlineLevel="0" collapsed="false">
      <c r="A2" s="71" t="s">
        <v>2244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350</v>
      </c>
      <c r="B50" s="56" t="s">
        <v>93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738</v>
      </c>
      <c r="B51" s="56" t="s">
        <v>89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740</v>
      </c>
      <c r="B53" s="56" t="s">
        <v>89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742</v>
      </c>
      <c r="B55" s="56" t="s">
        <v>498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758</v>
      </c>
      <c r="B75" s="56" t="s">
        <v>355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762</v>
      </c>
      <c r="B79" s="56" t="s">
        <v>488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763</v>
      </c>
      <c r="B80" s="56" t="s">
        <v>488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766</v>
      </c>
      <c r="B83" s="56" t="s">
        <v>488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768</v>
      </c>
      <c r="B85" s="71" t="s">
        <v>2246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770</v>
      </c>
      <c r="B87" s="71" t="s">
        <v>2246</v>
      </c>
      <c r="C87" s="158" t="n">
        <f aca="false">MAX(0,MIN(Perf_Prod!C85,Perf!C86))</f>
        <v>2.97535789686839</v>
      </c>
      <c r="D87" s="158" t="n">
        <f aca="false">MAX(0,MIN(Perf_Prod!D85,Perf!D86))</f>
        <v>1.75362694757888</v>
      </c>
      <c r="E87" s="158" t="n">
        <f aca="false">MAX(0,MIN(Perf_Prod!E85,Perf!E86))</f>
        <v>0.193147755423284</v>
      </c>
      <c r="F87" s="158" t="n">
        <f aca="false">MAX(0,MIN(Perf_Prod!F85,Perf!F86))</f>
        <v>21.7702721058496</v>
      </c>
      <c r="G87" s="158" t="n">
        <f aca="false">MAX(0,MIN(Perf_Prod!G85,Perf!G86))</f>
        <v>11.8643926448252</v>
      </c>
      <c r="H87" s="158" t="n">
        <f aca="false">MAX(0,MIN(Perf_Prod!H85,Perf!H86))</f>
        <v>2.18657549988304</v>
      </c>
      <c r="I87" s="158" t="n">
        <f aca="false">MAX(0,MIN(Perf_Prod!I85,Perf!I86))</f>
        <v>32.6554081587744</v>
      </c>
      <c r="J87" s="158" t="n">
        <f aca="false">MAX(0,MIN(Perf_Prod!J85,Perf!J86))</f>
        <v>17.7965889672378</v>
      </c>
      <c r="K87" s="158" t="n">
        <f aca="false">MAX(0,MIN(Perf_Prod!K85,Perf!K86))</f>
        <v>2.5121622572642</v>
      </c>
      <c r="L87" s="158" t="n">
        <f aca="false">MAX(0,MIN(Perf_Prod!L85,Perf!L86))</f>
        <v>81.8267651007047</v>
      </c>
      <c r="M87" s="158" t="n">
        <f aca="false">MAX(0,MIN(Perf_Prod!M85,Perf!M86))</f>
        <v>49.1454573709184</v>
      </c>
      <c r="N87" s="158" t="n">
        <f aca="false">MAX(0,MIN(Perf_Prod!N85,Perf!N86))</f>
        <v>10.5821399713448</v>
      </c>
      <c r="O87" s="158" t="n">
        <f aca="false">MAX(0,MIN(Perf_Prod!O85,Perf!O86))</f>
        <v>166.715339064471</v>
      </c>
      <c r="P87" s="158" t="n">
        <f aca="false">MAX(0,MIN(Perf_Prod!P85,Perf!P86))</f>
        <v>102.74253749343</v>
      </c>
      <c r="Q87" s="158" t="n">
        <f aca="false">MAX(0,MIN(Perf_Prod!Q85,Perf!Q86))</f>
        <v>23.9367901748625</v>
      </c>
      <c r="S87" s="158" t="n">
        <f aca="false">MAX(0,MIN(Perf_Prod!S85,Perf!C86))</f>
        <v>4.8451474032189</v>
      </c>
      <c r="T87" s="158" t="n">
        <f aca="false">MAX(0,MIN(Perf_Prod!T85,Perf!D86))</f>
        <v>2.60634496411254</v>
      </c>
      <c r="U87" s="158" t="n">
        <f aca="false">MAX(0,MIN(Perf_Prod!U85,Perf!E86))</f>
        <v>0.44678684374286</v>
      </c>
      <c r="V87" s="158" t="n">
        <f aca="false">MAX(0,MIN(Perf_Prod!V85,Perf!F86))</f>
        <v>28.6320755060154</v>
      </c>
      <c r="W87" s="158" t="n">
        <f aca="false">MAX(0,MIN(Perf_Prod!W85,Perf!G86))</f>
        <v>15.1781515239196</v>
      </c>
      <c r="X87" s="158" t="n">
        <f aca="false">MAX(0,MIN(Perf_Prod!X85,Perf!H86))</f>
        <v>3.0655172579234</v>
      </c>
      <c r="Y87" s="158" t="n">
        <f aca="false">MAX(0,MIN(Perf_Prod!Y85,Perf!I86))</f>
        <v>42.9481132590231</v>
      </c>
      <c r="Z87" s="158" t="n">
        <f aca="false">MAX(0,MIN(Perf_Prod!Z85,Perf!J86))</f>
        <v>22.7672272858794</v>
      </c>
      <c r="AA87" s="158" t="n">
        <f aca="false">MAX(0,MIN(Perf_Prod!AA85,Perf!K86))</f>
        <v>3.6950982485788</v>
      </c>
      <c r="AB87" s="158" t="n">
        <f aca="false">MAX(0,MIN(Perf_Prod!AB85,Perf!L86))</f>
        <v>106.836749836032</v>
      </c>
      <c r="AC87" s="158" t="n">
        <f aca="false">MAX(0,MIN(Perf_Prod!AC85,Perf!M86))</f>
        <v>62.0883339972837</v>
      </c>
      <c r="AD87" s="158" t="n">
        <f aca="false">MAX(0,MIN(Perf_Prod!AD85,Perf!N86))</f>
        <v>14.1753406636192</v>
      </c>
      <c r="AE87" s="158" t="n">
        <f aca="false">MAX(0,MIN(Perf_Prod!AE85,Perf!O86))</f>
        <v>217.275627746254</v>
      </c>
      <c r="AF87" s="158" t="n">
        <f aca="false">MAX(0,MIN(Perf_Prod!AF85,Perf!P86))</f>
        <v>129.413871231736</v>
      </c>
      <c r="AG87" s="158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771</v>
      </c>
      <c r="B88" s="56" t="s">
        <v>355</v>
      </c>
      <c r="C88" s="163" t="n">
        <f aca="false">IF(Perf_Prod!C87&gt;0,Perf_Prod!C87*Perf!C49/((Perf_Prod!C79+Perf_Prod!C87*Perf_Prod!C83)/1000),0)</f>
        <v>357.042947624207</v>
      </c>
      <c r="D88" s="163" t="n">
        <f aca="false">IF(Perf_Prod!D87&gt;0,Perf_Prod!D87*Perf!D49/((Perf_Prod!D79+Perf_Prod!D87*Perf_Prod!D83)/1000),0)</f>
        <v>113.985751592627</v>
      </c>
      <c r="E88" s="163" t="n">
        <f aca="false">IF(Perf_Prod!E87&gt;0,Perf_Prod!E87*Perf!E49/((Perf_Prod!E79+Perf_Prod!E87*Perf_Prod!E83)/1000),0)</f>
        <v>10.6231265482806</v>
      </c>
      <c r="F88" s="163" t="n">
        <f aca="false">IF(Perf_Prod!F87&gt;0,Perf_Prod!F87*Perf!F49/((Perf_Prod!F79+Perf_Prod!F87*Perf_Prod!F83)/1000),0)</f>
        <v>2612.43265270195</v>
      </c>
      <c r="G88" s="163" t="n">
        <f aca="false">IF(Perf_Prod!G87&gt;0,Perf_Prod!G87*Perf!G49/((Perf_Prod!G79+Perf_Prod!G87*Perf_Prod!G83)/1000),0)</f>
        <v>771.185521913636</v>
      </c>
      <c r="H88" s="163" t="n">
        <f aca="false">IF(Perf_Prod!H87&gt;0,Perf_Prod!H87*Perf!H49/((Perf_Prod!H79+Perf_Prod!H87*Perf_Prod!H83)/1000),0)</f>
        <v>120.261652493567</v>
      </c>
      <c r="I88" s="163" t="n">
        <f aca="false">IF(Perf_Prod!I87&gt;0,Perf_Prod!I87*Perf!I49/((Perf_Prod!I79+Perf_Prod!I87*Perf_Prod!I83)/1000),0)</f>
        <v>3918.64897905293</v>
      </c>
      <c r="J88" s="163" t="n">
        <f aca="false">IF(Perf_Prod!J87&gt;0,Perf_Prod!J87*Perf!J49/((Perf_Prod!J79+Perf_Prod!J87*Perf_Prod!J83)/1000),0)</f>
        <v>1156.77828287045</v>
      </c>
      <c r="K88" s="163" t="n">
        <f aca="false">IF(Perf_Prod!K87&gt;0,Perf_Prod!K87*Perf!K49/((Perf_Prod!K79+Perf_Prod!K87*Perf_Prod!K83)/1000),0)</f>
        <v>138.168924149531</v>
      </c>
      <c r="L88" s="163" t="n">
        <f aca="false">IF(Perf_Prod!L87&gt;0,Perf_Prod!L87*Perf!L49/((Perf_Prod!L79+Perf_Prod!L87*Perf_Prod!L83)/1000),0)</f>
        <v>9819.21181208456</v>
      </c>
      <c r="M88" s="163" t="n">
        <f aca="false">IF(Perf_Prod!M87&gt;0,Perf_Prod!M87*Perf!M49/((Perf_Prod!M79+Perf_Prod!M87*Perf_Prod!M83)/1000),0)</f>
        <v>3194.45472910969</v>
      </c>
      <c r="N88" s="163" t="n">
        <f aca="false">IF(Perf_Prod!N87&gt;0,Perf_Prod!N87*Perf!N49/((Perf_Prod!N79+Perf_Prod!N87*Perf_Prod!N83)/1000),0)</f>
        <v>582.017698423965</v>
      </c>
      <c r="O88" s="163" t="n">
        <f aca="false">IF(Perf_Prod!O87&gt;0,Perf_Prod!O87*Perf!O49/((Perf_Prod!O79+Perf_Prod!O87*Perf_Prod!O83)/1000),0)</f>
        <v>20005.8406877365</v>
      </c>
      <c r="P88" s="163" t="n">
        <f aca="false">IF(Perf_Prod!P87&gt;0,Perf_Prod!P87*Perf!P49/((Perf_Prod!P79+Perf_Prod!P87*Perf_Prod!P83)/1000),0)</f>
        <v>6678.26493707295</v>
      </c>
      <c r="Q88" s="163" t="n">
        <f aca="false">IF(Perf_Prod!Q87&gt;0,Perf_Prod!Q87*Perf!Q49/((Perf_Prod!Q79+Perf_Prod!Q87*Perf_Prod!Q83)/1000),0)</f>
        <v>1316.52345961744</v>
      </c>
      <c r="S88" s="163" t="n">
        <f aca="false">IF(Perf_Prod!S87&gt;0,Perf_Prod!S87*Perf!C49/((Perf_Prod!S79+Perf_Prod!S87*Perf_Prod!S83)/1000),0)</f>
        <v>581.417688386268</v>
      </c>
      <c r="T88" s="163" t="n">
        <f aca="false">IF(Perf_Prod!T87&gt;0,Perf_Prod!T87*Perf!D49/((Perf_Prod!T79+Perf_Prod!T87*Perf_Prod!T83)/1000),0)</f>
        <v>169.412422667315</v>
      </c>
      <c r="U88" s="163" t="n">
        <f aca="false">IF(Perf_Prod!U87&gt;0,Perf_Prod!U87*Perf!E49/((Perf_Prod!U79+Perf_Prod!U87*Perf_Prod!U83)/1000),0)</f>
        <v>24.5732764058573</v>
      </c>
      <c r="V88" s="163" t="n">
        <f aca="false">IF(Perf_Prod!V87&gt;0,Perf_Prod!V87*Perf!F49/((Perf_Prod!V79+Perf_Prod!V87*Perf_Prod!V83)/1000),0)</f>
        <v>3435.84906072185</v>
      </c>
      <c r="W88" s="163" t="n">
        <f aca="false">IF(Perf_Prod!W87&gt;0,Perf_Prod!W87*Perf!G49/((Perf_Prod!W79+Perf_Prod!W87*Perf_Prod!W83)/1000),0)</f>
        <v>986.579849054775</v>
      </c>
      <c r="X88" s="163" t="n">
        <f aca="false">IF(Perf_Prod!X87&gt;0,Perf_Prod!X87*Perf!H49/((Perf_Prod!X79+Perf_Prod!X87*Perf_Prod!X83)/1000),0)</f>
        <v>168.603449185787</v>
      </c>
      <c r="Y88" s="163" t="n">
        <f aca="false">IF(Perf_Prod!Y87&gt;0,Perf_Prod!Y87*Perf!I49/((Perf_Prod!Y79+Perf_Prod!Y87*Perf_Prod!Y83)/1000),0)</f>
        <v>5153.77359108278</v>
      </c>
      <c r="Z88" s="163" t="n">
        <f aca="false">IF(Perf_Prod!Z87&gt;0,Perf_Prod!Z87*Perf!J49/((Perf_Prod!Z79+Perf_Prod!Z87*Perf_Prod!Z83)/1000),0)</f>
        <v>1479.86977358216</v>
      </c>
      <c r="AA88" s="163" t="n">
        <f aca="false">IF(Perf_Prod!AA87&gt;0,Perf_Prod!AA87*Perf!K49/((Perf_Prod!AA79+Perf_Prod!AA87*Perf_Prod!AA83)/1000),0)</f>
        <v>203.230403671834</v>
      </c>
      <c r="AB88" s="163" t="n">
        <f aca="false">IF(Perf_Prod!AB87&gt;0,Perf_Prod!AB87*Perf!L49/((Perf_Prod!AB79+Perf_Prod!AB87*Perf_Prod!AB83)/1000),0)</f>
        <v>12820.4099803238</v>
      </c>
      <c r="AC88" s="163" t="n">
        <f aca="false">IF(Perf_Prod!AC87&gt;0,Perf_Prod!AC87*Perf!M49/((Perf_Prod!AC79+Perf_Prod!AC87*Perf_Prod!AC83)/1000),0)</f>
        <v>4035.74170982344</v>
      </c>
      <c r="AD88" s="163" t="n">
        <f aca="false">IF(Perf_Prod!AD87&gt;0,Perf_Prod!AD87*Perf!N49/((Perf_Prod!AD79+Perf_Prod!AD87*Perf_Prod!AD83)/1000),0)</f>
        <v>779.643736499055</v>
      </c>
      <c r="AE88" s="163" t="n">
        <f aca="false">IF(Perf_Prod!AE87&gt;0,Perf_Prod!AE87*Perf!O49/((Perf_Prod!AE79+Perf_Prod!AE87*Perf_Prod!AE83)/1000),0)</f>
        <v>26073.0753295504</v>
      </c>
      <c r="AF88" s="163" t="n">
        <f aca="false">IF(Perf_Prod!AF87&gt;0,Perf_Prod!AF87*Perf!P49/((Perf_Prod!AF79+Perf_Prod!AF87*Perf_Prod!AF83)/1000),0)</f>
        <v>8411.90163006283</v>
      </c>
      <c r="AG88" s="163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776</v>
      </c>
      <c r="B93" s="56" t="s">
        <v>777</v>
      </c>
      <c r="C93" s="115" t="n">
        <f aca="false">IF(Perf_Prod!C88&gt;0,Perf!C43/Perf_Prod!C75+Perf!C44/Perf_Prod!C88,0)</f>
        <v>4.11078831590177</v>
      </c>
      <c r="D93" s="115" t="n">
        <f aca="false">IF(Perf_Prod!D88&gt;0,Perf!D43/Perf_Prod!D75+Perf!D44/Perf_Prod!D88,0)</f>
        <v>26.5940605545119</v>
      </c>
      <c r="E93" s="115" t="n">
        <f aca="false">IF(Perf_Prod!E88&gt;0,Perf!E43/Perf_Prod!E75+Perf!E44/Perf_Prod!E88,0)</f>
        <v>442.812544665238</v>
      </c>
      <c r="F93" s="115" t="n">
        <f aca="false">IF(Perf_Prod!F88&gt;0,Perf!F43/Perf_Prod!F75+Perf!F44/Perf_Prod!F88,0)</f>
        <v>0.514883362662382</v>
      </c>
      <c r="G93" s="115" t="n">
        <f aca="false">IF(Perf_Prod!G88&gt;0,Perf!G43/Perf_Prod!G75+Perf!G44/Perf_Prod!G88,0)</f>
        <v>3.50885218561265</v>
      </c>
      <c r="H93" s="115" t="n">
        <f aca="false">IF(Perf_Prod!H88&gt;0,Perf!H43/Perf_Prod!H75+Perf!H44/Perf_Prod!H88,0)</f>
        <v>39.7199747238883</v>
      </c>
      <c r="I93" s="115" t="n">
        <f aca="false">IF(Perf_Prod!I88&gt;0,Perf!I43/Perf_Prod!I75+Perf!I44/Perf_Prod!I88,0)</f>
        <v>0.343255575108254</v>
      </c>
      <c r="J93" s="115" t="n">
        <f aca="false">IF(Perf_Prod!J88&gt;0,Perf!J43/Perf_Prod!J75+Perf!J44/Perf_Prod!J88,0)</f>
        <v>2.33923479040843</v>
      </c>
      <c r="K93" s="115" t="n">
        <f aca="false">IF(Perf_Prod!K88&gt;0,Perf!K43/Perf_Prod!K75+Perf!K44/Perf_Prod!K88,0)</f>
        <v>33.4188081952763</v>
      </c>
      <c r="L93" s="115" t="n">
        <f aca="false">IF(Perf_Prod!L88&gt;0,Perf!L43/Perf_Prod!L75+Perf!L44/Perf_Prod!L88,0)</f>
        <v>0.139402937650023</v>
      </c>
      <c r="M93" s="115" t="n">
        <f aca="false">IF(Perf_Prod!M88&gt;0,Perf!M43/Perf_Prod!M75+Perf!M44/Perf_Prod!M88,0)</f>
        <v>0.884882599423865</v>
      </c>
      <c r="N93" s="115" t="n">
        <f aca="false">IF(Perf_Prod!N88&gt;0,Perf!N43/Perf_Prod!N75+Perf!N44/Perf_Prod!N88,0)</f>
        <v>8.6549881227695</v>
      </c>
      <c r="O93" s="115" t="n">
        <f aca="false">IF(Perf_Prod!O88&gt;0,Perf!O43/Perf_Prod!O75+Perf!O44/Perf_Prod!O88,0)</f>
        <v>0.0687438430023138</v>
      </c>
      <c r="P93" s="115" t="n">
        <f aca="false">IF(Perf_Prod!P88&gt;0,Perf!P43/Perf_Prod!P75+Perf!P44/Perf_Prod!P88,0)</f>
        <v>0.428552289902651</v>
      </c>
      <c r="Q93" s="115" t="n">
        <f aca="false">IF(Perf_Prod!Q88&gt;0,Perf!Q43/Perf_Prod!Q75+Perf!Q44/Perf_Prod!Q88,0)</f>
        <v>3.91992519086651</v>
      </c>
      <c r="S93" s="115" t="n">
        <f aca="false">IF(Perf_Prod!S88&gt;0,Perf!C43/Perf_Prod!S75+Perf!C44/Perf_Prod!S88,0)</f>
        <v>2.81758042871208</v>
      </c>
      <c r="T93" s="115" t="n">
        <f aca="false">IF(Perf_Prod!T88&gt;0,Perf!D43/Perf_Prod!T75+Perf!D44/Perf_Prod!T88,0)</f>
        <v>19.4217091738095</v>
      </c>
      <c r="U93" s="115" t="n">
        <f aca="false">IF(Perf_Prod!U88&gt;0,Perf!E43/Perf_Prod!U75+Perf!E44/Perf_Prod!U88,0)</f>
        <v>215.338013912042</v>
      </c>
      <c r="V93" s="115" t="n">
        <f aca="false">IF(Perf_Prod!V88&gt;0,Perf!F43/Perf_Prod!V75+Perf!F44/Perf_Prod!V88,0)</f>
        <v>0.402508852115598</v>
      </c>
      <c r="W93" s="115" t="n">
        <f aca="false">IF(Perf_Prod!W88&gt;0,Perf!G43/Perf_Prod!W75+Perf!G44/Perf_Prod!W88,0)</f>
        <v>2.80107890175599</v>
      </c>
      <c r="X93" s="115" t="n">
        <f aca="false">IF(Perf_Prod!X88&gt;0,Perf!H43/Perf_Prod!X75+Perf!H44/Perf_Prod!X88,0)</f>
        <v>29.1054597325189</v>
      </c>
      <c r="Y93" s="115" t="n">
        <f aca="false">IF(Perf_Prod!Y88&gt;0,Perf!I43/Perf_Prod!Y75+Perf!I44/Perf_Prod!Y88,0)</f>
        <v>0.268339234743732</v>
      </c>
      <c r="Z93" s="115" t="n">
        <f aca="false">IF(Perf_Prod!Z88&gt;0,Perf!J43/Perf_Prod!Z75+Perf!J44/Perf_Prod!Z88,0)</f>
        <v>1.86738593450399</v>
      </c>
      <c r="AA93" s="115" t="n">
        <f aca="false">IF(Perf_Prod!AA88&gt;0,Perf!K43/Perf_Prod!AA75+Perf!K44/Perf_Prod!AA88,0)</f>
        <v>23.3623109173702</v>
      </c>
      <c r="AB93" s="115" t="n">
        <f aca="false">IF(Perf_Prod!AB88&gt;0,Perf!L43/Perf_Prod!AB75+Perf!L44/Perf_Prod!AB88,0)</f>
        <v>0.109722585057166</v>
      </c>
      <c r="AC93" s="115" t="n">
        <f aca="false">IF(Perf_Prod!AC88&gt;0,Perf!M43/Perf_Prod!AC75+Perf!M44/Perf_Prod!AC88,0)</f>
        <v>0.714671455168045</v>
      </c>
      <c r="AD93" s="115" t="n">
        <f aca="false">IF(Perf_Prod!AD88&gt;0,Perf!N43/Perf_Prod!AD75+Perf!N44/Perf_Prod!AD88,0)</f>
        <v>6.62847288948946</v>
      </c>
      <c r="AE93" s="115" t="n">
        <f aca="false">IF(Perf_Prod!AE88&gt;0,Perf!O43/Perf_Prod!AE75+Perf!O44/Perf_Prod!AE88,0)</f>
        <v>0.0541992038157031</v>
      </c>
      <c r="AF93" s="115" t="n">
        <f aca="false">IF(Perf_Prod!AF88&gt;0,Perf!P43/Perf_Prod!AF75+Perf!P44/Perf_Prod!AF88,0)</f>
        <v>0.347067506939312</v>
      </c>
      <c r="AG93" s="115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8" t="s">
        <v>779</v>
      </c>
      <c r="B95" s="56" t="s">
        <v>355</v>
      </c>
      <c r="C95" s="163" t="n">
        <f aca="false">IF(Perf_Prod!C93&gt;0,Perf!C22*(Perf!C43+Perf!C44)/Perf_Prod!C93,0)</f>
        <v>71740.9842922807</v>
      </c>
      <c r="D95" s="163" t="n">
        <f aca="false">IF(Perf_Prod!D93&gt;0,Perf!D22*(Perf!D43+Perf!D44)/Perf_Prod!D93,0)</f>
        <v>22178.7868306531</v>
      </c>
      <c r="E95" s="163" t="n">
        <f aca="false">IF(Perf_Prod!E93&gt;0,Perf!E22*(Perf!E43+Perf!E44)/Perf_Prod!E93,0)</f>
        <v>2663.9895689762</v>
      </c>
      <c r="F95" s="163" t="n">
        <f aca="false">IF(Perf_Prod!F93&gt;0,Perf!F22*(Perf!F43+Perf!F44)/Perf_Prod!F93,0)</f>
        <v>1288742.360151</v>
      </c>
      <c r="G95" s="163" t="n">
        <f aca="false">IF(Perf_Prod!G93&gt;0,Perf!G22*(Perf!G43+Perf!G44)/Perf_Prod!G93,0)</f>
        <v>378215.989103652</v>
      </c>
      <c r="H95" s="163" t="n">
        <f aca="false">IF(Perf_Prod!H93&gt;0,Perf!H22*(Perf!H43+Perf!H44)/Perf_Prod!H93,0)</f>
        <v>66823.003248381</v>
      </c>
      <c r="I95" s="163" t="n">
        <f aca="false">IF(Perf_Prod!I93&gt;0,Perf!I22*(Perf!I43+Perf!I44)/Perf_Prod!I93,0)</f>
        <v>1933113.5402265</v>
      </c>
      <c r="J95" s="163" t="n">
        <f aca="false">IF(Perf_Prod!J93&gt;0,Perf!J22*(Perf!J43+Perf!J44)/Perf_Prod!J93,0)</f>
        <v>567323.983655479</v>
      </c>
      <c r="K95" s="163" t="n">
        <f aca="false">IF(Perf_Prod!K93&gt;0,Perf!K22*(Perf!K43+Perf!K44)/Perf_Prod!K93,0)</f>
        <v>79422.5809756785</v>
      </c>
      <c r="L95" s="163" t="n">
        <f aca="false">IF(Perf_Prod!L93&gt;0,Perf!L22*(Perf!L43+Perf!L44)/Perf_Prod!L93,0)</f>
        <v>4759957.07971287</v>
      </c>
      <c r="M95" s="163" t="n">
        <f aca="false">IF(Perf_Prod!M93&gt;0,Perf!M22*(Perf!M43+Perf!M44)/Perf_Prod!M93,0)</f>
        <v>1499751.49343434</v>
      </c>
      <c r="N95" s="163" t="n">
        <f aca="false">IF(Perf_Prod!N93&gt;0,Perf!N22*(Perf!N43+Perf!N44)/Perf_Prod!N93,0)</f>
        <v>306668.01182746</v>
      </c>
      <c r="O95" s="163" t="n">
        <f aca="false">IF(Perf_Prod!O93&gt;0,Perf!O22*(Perf!O43+Perf!O44)/Perf_Prod!O93,0)</f>
        <v>9652529.89969831</v>
      </c>
      <c r="P95" s="163" t="n">
        <f aca="false">IF(Perf_Prod!P93&gt;0,Perf!P22*(Perf!P43+Perf!P44)/Perf_Prod!P93,0)</f>
        <v>3096714.28964121</v>
      </c>
      <c r="Q95" s="163" t="n">
        <f aca="false">IF(Perf_Prod!Q93&gt;0,Perf!Q22*(Perf!Q43+Perf!Q44)/Perf_Prod!Q93,0)</f>
        <v>677106.799431873</v>
      </c>
      <c r="S95" s="163" t="n">
        <f aca="false">IF(Perf_Prod!S93&gt;0,Perf!C22*(Perf!C43+Perf!C44)/Perf_Prod!S93,0)</f>
        <v>104668.529421467</v>
      </c>
      <c r="T95" s="163" t="n">
        <f aca="false">IF(Perf_Prod!T93&gt;0,Perf!D22*(Perf!D43+Perf!D44)/Perf_Prod!T93,0)</f>
        <v>30369.3148075447</v>
      </c>
      <c r="U95" s="163" t="n">
        <f aca="false">IF(Perf_Prod!U93&gt;0,Perf!E22*(Perf!E43+Perf!E44)/Perf_Prod!U93,0)</f>
        <v>5478.1224112239</v>
      </c>
      <c r="V95" s="163" t="n">
        <f aca="false">IF(Perf_Prod!V93&gt;0,Perf!F22*(Perf!F43+Perf!F44)/Perf_Prod!V93,0)</f>
        <v>1648540.14144621</v>
      </c>
      <c r="W95" s="163" t="n">
        <f aca="false">IF(Perf_Prod!W93&gt;0,Perf!G22*(Perf!G43+Perf!G44)/Perf_Prod!W93,0)</f>
        <v>473783.155186397</v>
      </c>
      <c r="X95" s="163" t="n">
        <f aca="false">IF(Perf_Prod!X93&gt;0,Perf!H22*(Perf!H43+Perf!H44)/Perf_Prod!X93,0)</f>
        <v>91192.7873461663</v>
      </c>
      <c r="Y95" s="163" t="n">
        <f aca="false">IF(Perf_Prod!Y93&gt;0,Perf!I22*(Perf!I43+Perf!I44)/Perf_Prod!Y93,0)</f>
        <v>2472810.21216931</v>
      </c>
      <c r="Z95" s="163" t="n">
        <f aca="false">IF(Perf_Prod!Z93&gt;0,Perf!J22*(Perf!J43+Perf!J44)/Perf_Prod!Z93,0)</f>
        <v>710674.732779595</v>
      </c>
      <c r="AA95" s="163" t="n">
        <f aca="false">IF(Perf_Prod!AA93&gt;0,Perf!K22*(Perf!K43+Perf!K44)/Perf_Prod!AA93,0)</f>
        <v>113610.678728985</v>
      </c>
      <c r="AB95" s="163" t="n">
        <f aca="false">IF(Perf_Prod!AB93&gt;0,Perf!L22*(Perf!L43+Perf!L44)/Perf_Prod!AB93,0)</f>
        <v>6047542.53332882</v>
      </c>
      <c r="AC95" s="163" t="n">
        <f aca="false">IF(Perf_Prod!AC93&gt;0,Perf!M22*(Perf!M43+Perf!M44)/Perf_Prod!AC93,0)</f>
        <v>1856942.7817541</v>
      </c>
      <c r="AD95" s="163" t="n">
        <f aca="false">IF(Perf_Prod!AD93&gt;0,Perf!N22*(Perf!N43+Perf!N44)/Perf_Prod!AD93,0)</f>
        <v>400425.262990618</v>
      </c>
      <c r="AE95" s="163" t="n">
        <f aca="false">IF(Perf_Prod!AE93&gt;0,Perf!O22*(Perf!O43+Perf!O44)/Perf_Prod!AE93,0)</f>
        <v>12242836.6707437</v>
      </c>
      <c r="AF95" s="163" t="n">
        <f aca="false">IF(Perf_Prod!AF93&gt;0,Perf!P22*(Perf!P43+Perf!P44)/Perf_Prod!AF93,0)</f>
        <v>3823763.31251331</v>
      </c>
      <c r="AG95" s="163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8" t="s">
        <v>782</v>
      </c>
      <c r="B98" s="56" t="s">
        <v>2247</v>
      </c>
      <c r="C98" s="163" t="n">
        <f aca="false">Perf_Prod!C95*Perf!C25*8760*3600/1000000</f>
        <v>50766524969.9116</v>
      </c>
      <c r="D98" s="163" t="n">
        <f aca="false">Perf_Prod!D95*Perf!D25*8760*3600/1000000</f>
        <v>15694514740.0473</v>
      </c>
      <c r="E98" s="163" t="n">
        <f aca="false">Perf_Prod!E95*Perf!E25*8760*3600/1000000</f>
        <v>1885135732.48487</v>
      </c>
      <c r="F98" s="163" t="n">
        <f aca="false">Perf_Prod!F95*Perf!F25*8760*3600/1000000</f>
        <v>283232558336.892</v>
      </c>
      <c r="G98" s="163" t="n">
        <f aca="false">Perf_Prod!G95*Perf!G25*8760*3600/1000000</f>
        <v>83122186024.2059</v>
      </c>
      <c r="H98" s="163" t="n">
        <f aca="false">Perf_Prod!H95*Perf!H25*8760*3600/1000000</f>
        <v>14685984375.9429</v>
      </c>
      <c r="I98" s="163" t="n">
        <f aca="false">Perf_Prod!I95*Perf!I25*8760*3600/1000000</f>
        <v>412351490441.398</v>
      </c>
      <c r="J98" s="163" t="n">
        <f aca="false">Perf_Prod!J95*Perf!J25*8760*3600/1000000</f>
        <v>121015597560.854</v>
      </c>
      <c r="K98" s="163" t="n">
        <f aca="false">Perf_Prod!K95*Perf!K25*8760*3600/1000000</f>
        <v>16941591354.3218</v>
      </c>
      <c r="L98" s="163" t="n">
        <f aca="false">Perf_Prod!L95*Perf!L25*8760*3600/1000000</f>
        <v>608245746199.523</v>
      </c>
      <c r="M98" s="163" t="n">
        <f aca="false">Perf_Prod!M95*Perf!M25*8760*3600/1000000</f>
        <v>191644052868.822</v>
      </c>
      <c r="N98" s="163" t="n">
        <f aca="false">Perf_Prod!N95*Perf!N25*8760*3600/1000000</f>
        <v>39187225969.8546</v>
      </c>
      <c r="O98" s="163" t="n">
        <f aca="false">Perf_Prod!O95*Perf!O25*8760*3600/1000000</f>
        <v>823407904790.176</v>
      </c>
      <c r="P98" s="163" t="n">
        <f aca="false">Perf_Prod!P95*Perf!P25*8760*3600/1000000</f>
        <v>264164840872.129</v>
      </c>
      <c r="Q98" s="163" t="n">
        <f aca="false">Perf_Prod!Q95*Perf!Q25*8760*3600/1000000</f>
        <v>57760514272.72</v>
      </c>
      <c r="S98" s="163" t="n">
        <f aca="false">Perf_Prod!S95*Perf!C25*8760*3600/1000000</f>
        <v>74067251304.9223</v>
      </c>
      <c r="T98" s="163" t="n">
        <f aca="false">Perf_Prod!T95*Perf!D25*8760*3600/1000000</f>
        <v>21490429685.4234</v>
      </c>
      <c r="U98" s="163" t="n">
        <f aca="false">Perf_Prod!U95*Perf!E25*8760*3600/1000000</f>
        <v>3876518295.93805</v>
      </c>
      <c r="V98" s="163" t="n">
        <f aca="false">Perf_Prod!V95*Perf!F25*8760*3600/1000000</f>
        <v>362306894085.614</v>
      </c>
      <c r="W98" s="163" t="n">
        <f aca="false">Perf_Prod!W95*Perf!G25*8760*3600/1000000</f>
        <v>104125401080.667</v>
      </c>
      <c r="X98" s="163" t="n">
        <f aca="false">Perf_Prod!X95*Perf!H25*8760*3600/1000000</f>
        <v>20041838664.2467</v>
      </c>
      <c r="Y98" s="163" t="n">
        <f aca="false">Perf_Prod!Y95*Perf!I25*8760*3600/1000000</f>
        <v>527473919843.971</v>
      </c>
      <c r="Z98" s="163" t="n">
        <f aca="false">Perf_Prod!Z95*Perf!J25*8760*3600/1000000</f>
        <v>151593674754.548</v>
      </c>
      <c r="AA98" s="163" t="n">
        <f aca="false">Perf_Prod!AA95*Perf!K25*8760*3600/1000000</f>
        <v>24234237528.7831</v>
      </c>
      <c r="AB98" s="163" t="n">
        <f aca="false">Perf_Prod!AB95*Perf!L25*8760*3600/1000000</f>
        <v>772778400993.445</v>
      </c>
      <c r="AC98" s="163" t="n">
        <f aca="false">Perf_Prod!AC95*Perf!M25*8760*3600/1000000</f>
        <v>237287338734.99</v>
      </c>
      <c r="AD98" s="163" t="n">
        <f aca="false">Perf_Prod!AD95*Perf!N25*8760*3600/1000000</f>
        <v>51167890551.5595</v>
      </c>
      <c r="AE98" s="163" t="n">
        <f aca="false">Perf_Prod!AE95*Perf!O25*8760*3600/1000000</f>
        <v>1044373713057.39</v>
      </c>
      <c r="AF98" s="163" t="n">
        <f aca="false">Perf_Prod!AF95*Perf!P25*8760*3600/1000000</f>
        <v>326185670522.351</v>
      </c>
      <c r="AG98" s="163" t="n">
        <f aca="false">Perf_Prod!AG95*Perf!Q25*8760*3600/1000000</f>
        <v>74400955991.7707</v>
      </c>
    </row>
    <row r="101" customFormat="false" ht="15" hidden="false" customHeight="false" outlineLevel="0" collapsed="false">
      <c r="A101" s="58" t="s">
        <v>786</v>
      </c>
      <c r="B101" s="56" t="s">
        <v>787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789</v>
      </c>
      <c r="B103" s="56" t="s">
        <v>787</v>
      </c>
      <c r="C103" s="96" t="n">
        <f aca="false">IF(Perf_Prod!C88&gt;0,1000000/Perf_Prod!C88,0)</f>
        <v>2800.78350981047</v>
      </c>
      <c r="D103" s="96" t="n">
        <f aca="false">IF(Perf_Prod!D88&gt;0,1000000/Perf_Prod!D88,0)</f>
        <v>8773.0263302899</v>
      </c>
      <c r="E103" s="96" t="n">
        <f aca="false">IF(Perf_Prod!E88&gt;0,1000000/Perf_Prod!E88,0)</f>
        <v>94134.2452671669</v>
      </c>
      <c r="F103" s="96" t="n">
        <f aca="false">IF(Perf_Prod!F88&gt;0,1000000/Perf_Prod!F88,0)</f>
        <v>382.784987381678</v>
      </c>
      <c r="G103" s="96" t="n">
        <f aca="false">IF(Perf_Prod!G88&gt;0,1000000/Perf_Prod!G88,0)</f>
        <v>1296.70484155172</v>
      </c>
      <c r="H103" s="96" t="n">
        <f aca="false">IF(Perf_Prod!H88&gt;0,1000000/Perf_Prod!H88,0)</f>
        <v>8315.20255430959</v>
      </c>
      <c r="I103" s="96" t="n">
        <f aca="false">IF(Perf_Prod!I88&gt;0,1000000/Perf_Prod!I88,0)</f>
        <v>255.189991587785</v>
      </c>
      <c r="J103" s="96" t="n">
        <f aca="false">IF(Perf_Prod!J88&gt;0,1000000/Perf_Prod!J88,0)</f>
        <v>864.469894367812</v>
      </c>
      <c r="K103" s="96" t="n">
        <f aca="false">IF(Perf_Prod!K88&gt;0,1000000/Perf_Prod!K88,0)</f>
        <v>7237.51745304007</v>
      </c>
      <c r="L103" s="96" t="n">
        <f aca="false">IF(Perf_Prod!L88&gt;0,1000000/Perf_Prod!L88,0)</f>
        <v>101.841168022192</v>
      </c>
      <c r="M103" s="96" t="n">
        <f aca="false">IF(Perf_Prod!M88&gt;0,1000000/Perf_Prod!M88,0)</f>
        <v>313.042470405803</v>
      </c>
      <c r="N103" s="96" t="n">
        <f aca="false">IF(Perf_Prod!N88&gt;0,1000000/Perf_Prod!N88,0)</f>
        <v>1718.16080972775</v>
      </c>
      <c r="O103" s="96" t="n">
        <f aca="false">IF(Perf_Prod!O88&gt;0,1000000/Perf_Prod!O88,0)</f>
        <v>49.9854025436179</v>
      </c>
      <c r="P103" s="96" t="n">
        <f aca="false">IF(Perf_Prod!P88&gt;0,1000000/Perf_Prod!P88,0)</f>
        <v>149.739492131963</v>
      </c>
      <c r="Q103" s="96" t="n">
        <f aca="false">IF(Perf_Prod!Q88&gt;0,1000000/Perf_Prod!Q88,0)</f>
        <v>759.576286085008</v>
      </c>
      <c r="S103" s="96" t="n">
        <f aca="false">IF(Perf_Prod!S88&gt;0,1000000/Perf_Prod!S88,0)</f>
        <v>1719.93391321739</v>
      </c>
      <c r="T103" s="96" t="n">
        <f aca="false">IF(Perf_Prod!T88&gt;0,1000000/Perf_Prod!T88,0)</f>
        <v>5902.75485265774</v>
      </c>
      <c r="U103" s="96" t="n">
        <f aca="false">IF(Perf_Prod!U88&gt;0,1000000/Perf_Prod!U88,0)</f>
        <v>40694.6140792865</v>
      </c>
      <c r="V103" s="96" t="n">
        <f aca="false">IF(Perf_Prod!V88&gt;0,1000000/Perf_Prod!V88,0)</f>
        <v>291.04887389608</v>
      </c>
      <c r="W103" s="96" t="n">
        <f aca="false">IF(Perf_Prod!W88&gt;0,1000000/Perf_Prod!W88,0)</f>
        <v>1013.60270124925</v>
      </c>
      <c r="X103" s="96" t="n">
        <f aca="false">IF(Perf_Prod!X88&gt;0,1000000/Perf_Prod!X88,0)</f>
        <v>5931.07676520949</v>
      </c>
      <c r="Y103" s="96" t="n">
        <f aca="false">IF(Perf_Prod!Y88&gt;0,1000000/Perf_Prod!Y88,0)</f>
        <v>194.032582597387</v>
      </c>
      <c r="Z103" s="96" t="n">
        <f aca="false">IF(Perf_Prod!Z88&gt;0,1000000/Perf_Prod!Z88,0)</f>
        <v>675.735134166168</v>
      </c>
      <c r="AA103" s="96" t="n">
        <f aca="false">IF(Perf_Prod!AA88&gt;0,1000000/Perf_Prod!AA88,0)</f>
        <v>4920.52361227776</v>
      </c>
      <c r="AB103" s="96" t="n">
        <f aca="false">IF(Perf_Prod!AB88&gt;0,1000000/Perf_Prod!AB88,0)</f>
        <v>78.000625684729</v>
      </c>
      <c r="AC103" s="96" t="n">
        <f aca="false">IF(Perf_Prod!AC88&gt;0,1000000/Perf_Prod!AC88,0)</f>
        <v>247.785926826261</v>
      </c>
      <c r="AD103" s="96" t="n">
        <f aca="false">IF(Perf_Prod!AD88&gt;0,1000000/Perf_Prod!AD88,0)</f>
        <v>1282.63712409266</v>
      </c>
      <c r="AE103" s="96" t="n">
        <f aca="false">IF(Perf_Prod!AE88&gt;0,1000000/Perf_Prod!AE88,0)</f>
        <v>38.3537418336927</v>
      </c>
      <c r="AF103" s="96" t="n">
        <f aca="false">IF(Perf_Prod!AF88&gt;0,1000000/Perf_Prod!AF88,0)</f>
        <v>118.879183801455</v>
      </c>
      <c r="AG103" s="96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2248</v>
      </c>
    </row>
    <row r="2" customFormat="false" ht="15" hidden="false" customHeight="false" outlineLevel="0" collapsed="false">
      <c r="A2" s="71" t="s">
        <v>2249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350</v>
      </c>
      <c r="B50" s="56" t="s">
        <v>93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738</v>
      </c>
      <c r="B51" s="56" t="s">
        <v>89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740</v>
      </c>
      <c r="B53" s="56" t="s">
        <v>89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742</v>
      </c>
      <c r="B55" s="56" t="s">
        <v>498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758</v>
      </c>
      <c r="B75" s="56" t="s">
        <v>355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762</v>
      </c>
      <c r="B79" s="56" t="s">
        <v>488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763</v>
      </c>
      <c r="B80" s="56" t="s">
        <v>488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766</v>
      </c>
      <c r="B83" s="56" t="s">
        <v>488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768</v>
      </c>
      <c r="B85" s="71" t="s">
        <v>2246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770</v>
      </c>
      <c r="B87" s="71" t="s">
        <v>2246</v>
      </c>
      <c r="C87" s="158" t="n">
        <f aca="false">MAX(0,MIN(Perf_Batch_Prod!C85,Perf_Batch!C86))</f>
        <v>64.4589440421086</v>
      </c>
      <c r="D87" s="158" t="n">
        <f aca="false">MAX(0,MIN(Perf_Batch_Prod!D85,Perf_Batch!D86))</f>
        <v>16.588852106046</v>
      </c>
      <c r="E87" s="158" t="n">
        <f aca="false">MAX(0,MIN(Perf_Batch_Prod!E85,Perf_Batch!E86))</f>
        <v>3.68550930277489</v>
      </c>
      <c r="F87" s="158" t="n">
        <f aca="false">MAX(0,MIN(Perf_Batch_Prod!F85,Perf_Batch!F86))</f>
        <v>228.893657766253</v>
      </c>
      <c r="G87" s="158" t="n">
        <f aca="false">MAX(0,MIN(Perf_Batch_Prod!G85,Perf_Batch!G86))</f>
        <v>61.8427897296822</v>
      </c>
      <c r="H87" s="158" t="n">
        <f aca="false">MAX(0,MIN(Perf_Batch_Prod!H85,Perf_Batch!H86))</f>
        <v>13.9809826121038</v>
      </c>
      <c r="I87" s="158" t="n">
        <f aca="false">MAX(0,MIN(Perf_Batch_Prod!I85,Perf_Batch!I86))</f>
        <v>343.34048664938</v>
      </c>
      <c r="J87" s="158" t="n">
        <f aca="false">MAX(0,MIN(Perf_Batch_Prod!J85,Perf_Batch!J86))</f>
        <v>92.7641845945234</v>
      </c>
      <c r="K87" s="158" t="n">
        <f aca="false">MAX(0,MIN(Perf_Batch_Prod!K85,Perf_Batch!K86))</f>
        <v>20.1889417884203</v>
      </c>
      <c r="L87" s="158" t="n">
        <f aca="false">MAX(0,MIN(Perf_Batch_Prod!L85,Perf_Batch!L86))</f>
        <v>605.070161198981</v>
      </c>
      <c r="M87" s="158" t="n">
        <f aca="false">MAX(0,MIN(Perf_Batch_Prod!M85,Perf_Batch!M86))</f>
        <v>168.055171343245</v>
      </c>
      <c r="N87" s="158" t="n">
        <f aca="false">MAX(0,MIN(Perf_Batch_Prod!N85,Perf_Batch!N86))</f>
        <v>38.9393642588889</v>
      </c>
      <c r="O87" s="158" t="n">
        <f aca="false">MAX(0,MIN(Perf_Batch_Prod!O85,Perf_Batch!O86))</f>
        <v>1616.58310875328</v>
      </c>
      <c r="P87" s="158" t="n">
        <f aca="false">MAX(0,MIN(Perf_Batch_Prod!P85,Perf_Batch!P86))</f>
        <v>452.600916401853</v>
      </c>
      <c r="Q87" s="158" t="n">
        <f aca="false">MAX(0,MIN(Perf_Batch_Prod!Q85,Perf_Batch!Q86))</f>
        <v>106.664376764942</v>
      </c>
      <c r="S87" s="158" t="n">
        <f aca="false">MAX(0,MIN(Perf_Batch_Prod!S85,Perf_Batch!C86))</f>
        <v>77.1791602721487</v>
      </c>
      <c r="T87" s="158" t="n">
        <f aca="false">MAX(0,MIN(Perf_Batch_Prod!T85,Perf_Batch!D86))</f>
        <v>20.0598158574984</v>
      </c>
      <c r="U87" s="158" t="n">
        <f aca="false">MAX(0,MIN(Perf_Batch_Prod!U85,Perf_Batch!E86))</f>
        <v>4.55968903269538</v>
      </c>
      <c r="V87" s="158" t="n">
        <f aca="false">MAX(0,MIN(Perf_Batch_Prod!V85,Perf_Batch!F86))</f>
        <v>272.307505014644</v>
      </c>
      <c r="W87" s="158" t="n">
        <f aca="false">MAX(0,MIN(Perf_Batch_Prod!W85,Perf_Batch!G86))</f>
        <v>73.9768604853229</v>
      </c>
      <c r="X87" s="158" t="n">
        <f aca="false">MAX(0,MIN(Perf_Batch_Prod!X85,Perf_Batch!H86))</f>
        <v>16.9508160062901</v>
      </c>
      <c r="Y87" s="158" t="n">
        <f aca="false">MAX(0,MIN(Perf_Batch_Prod!Y85,Perf_Batch!I86))</f>
        <v>408.461257521966</v>
      </c>
      <c r="Z87" s="158" t="n">
        <f aca="false">MAX(0,MIN(Perf_Batch_Prod!Z85,Perf_Batch!J86))</f>
        <v>110.965290727984</v>
      </c>
      <c r="AA87" s="158" t="n">
        <f aca="false">MAX(0,MIN(Perf_Batch_Prod!AA85,Perf_Batch!K86))</f>
        <v>24.5055979744523</v>
      </c>
      <c r="AB87" s="158" t="n">
        <f aca="false">MAX(0,MIN(Perf_Batch_Prod!AB85,Perf_Batch!L86))</f>
        <v>719.7769766194</v>
      </c>
      <c r="AC87" s="158" t="n">
        <f aca="false">MAX(0,MIN(Perf_Batch_Prod!AC85,Perf_Batch!M86))</f>
        <v>200.916139130242</v>
      </c>
      <c r="AD87" s="158" t="n">
        <f aca="false">MAX(0,MIN(Perf_Batch_Prod!AD85,Perf_Batch!N86))</f>
        <v>47.1303448425309</v>
      </c>
      <c r="AE87" s="158" t="n">
        <f aca="false">MAX(0,MIN(Perf_Batch_Prod!AE85,Perf_Batch!O86))</f>
        <v>1923.00842261957</v>
      </c>
      <c r="AF87" s="158" t="n">
        <f aca="false">MAX(0,MIN(Perf_Batch_Prod!AF85,Perf_Batch!P86))</f>
        <v>541.016127272645</v>
      </c>
      <c r="AG87" s="158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771</v>
      </c>
      <c r="B88" s="56" t="s">
        <v>355</v>
      </c>
      <c r="C88" s="163" t="n">
        <f aca="false">IF(Perf_Batch_Prod!C87&gt;0,Perf_Batch_Prod!C87*Perf_Batch!C49/((Perf_Batch_Prod!C79+Perf_Batch_Prod!C87*Perf_Batch_Prod!C83)/1000),0)</f>
        <v>1289.17888084217</v>
      </c>
      <c r="D88" s="163" t="n">
        <f aca="false">IF(Perf_Batch_Prod!D87&gt;0,Perf_Batch_Prod!D87*Perf_Batch!D49/((Perf_Batch_Prod!D79+Perf_Batch_Prod!D87*Perf_Batch_Prod!D83)/1000),0)</f>
        <v>331.777042120921</v>
      </c>
      <c r="E88" s="163" t="n">
        <f aca="false">IF(Perf_Batch_Prod!E87&gt;0,Perf_Batch_Prod!E87*Perf_Batch!E49/((Perf_Batch_Prod!E79+Perf_Batch_Prod!E87*Perf_Batch_Prod!E83)/1000),0)</f>
        <v>73.7101860554978</v>
      </c>
      <c r="F88" s="163" t="n">
        <f aca="false">IF(Perf_Batch_Prod!F87&gt;0,Perf_Batch_Prod!F87*Perf_Batch!F49/((Perf_Batch_Prod!F79+Perf_Batch_Prod!F87*Perf_Batch_Prod!F83)/1000),0)</f>
        <v>4577.87315532506</v>
      </c>
      <c r="G88" s="163" t="n">
        <f aca="false">IF(Perf_Batch_Prod!G87&gt;0,Perf_Batch_Prod!G87*Perf_Batch!G49/((Perf_Batch_Prod!G79+Perf_Batch_Prod!G87*Perf_Batch_Prod!G83)/1000),0)</f>
        <v>1236.85579459364</v>
      </c>
      <c r="H88" s="163" t="n">
        <f aca="false">IF(Perf_Batch_Prod!H87&gt;0,Perf_Batch_Prod!H87*Perf_Batch!H49/((Perf_Batch_Prod!H79+Perf_Batch_Prod!H87*Perf_Batch_Prod!H83)/1000),0)</f>
        <v>279.619652242076</v>
      </c>
      <c r="I88" s="163" t="n">
        <f aca="false">IF(Perf_Batch_Prod!I87&gt;0,Perf_Batch_Prod!I87*Perf_Batch!I49/((Perf_Batch_Prod!I79+Perf_Batch_Prod!I87*Perf_Batch_Prod!I83)/1000),0)</f>
        <v>6866.8097329876</v>
      </c>
      <c r="J88" s="163" t="n">
        <f aca="false">IF(Perf_Batch_Prod!J87&gt;0,Perf_Batch_Prod!J87*Perf_Batch!J49/((Perf_Batch_Prod!J79+Perf_Batch_Prod!J87*Perf_Batch_Prod!J83)/1000),0)</f>
        <v>1855.28369189047</v>
      </c>
      <c r="K88" s="163" t="n">
        <f aca="false">IF(Perf_Batch_Prod!K87&gt;0,Perf_Batch_Prod!K87*Perf_Batch!K49/((Perf_Batch_Prod!K79+Perf_Batch_Prod!K87*Perf_Batch_Prod!K83)/1000),0)</f>
        <v>403.778835768406</v>
      </c>
      <c r="L88" s="163" t="n">
        <f aca="false">IF(Perf_Batch_Prod!L87&gt;0,Perf_Batch_Prod!L87*Perf_Batch!L49/((Perf_Batch_Prod!L79+Perf_Batch_Prod!L87*Perf_Batch_Prod!L83)/1000),0)</f>
        <v>12101.4032239796</v>
      </c>
      <c r="M88" s="163" t="n">
        <f aca="false">IF(Perf_Batch_Prod!M87&gt;0,Perf_Batch_Prod!M87*Perf_Batch!M49/((Perf_Batch_Prod!M79+Perf_Batch_Prod!M87*Perf_Batch_Prod!M83)/1000),0)</f>
        <v>3361.1034268649</v>
      </c>
      <c r="N88" s="163" t="n">
        <f aca="false">IF(Perf_Batch_Prod!N87&gt;0,Perf_Batch_Prod!N87*Perf_Batch!N49/((Perf_Batch_Prod!N79+Perf_Batch_Prod!N87*Perf_Batch_Prod!N83)/1000),0)</f>
        <v>778.787285177779</v>
      </c>
      <c r="O88" s="163" t="n">
        <f aca="false">IF(Perf_Batch_Prod!O87&gt;0,Perf_Batch_Prod!O87*Perf_Batch!O49/((Perf_Batch_Prod!O79+Perf_Batch_Prod!O87*Perf_Batch_Prod!O83)/1000),0)</f>
        <v>32331.6621750656</v>
      </c>
      <c r="P88" s="163" t="n">
        <f aca="false">IF(Perf_Batch_Prod!P87&gt;0,Perf_Batch_Prod!P87*Perf_Batch!P49/((Perf_Batch_Prod!P79+Perf_Batch_Prod!P87*Perf_Batch_Prod!P83)/1000),0)</f>
        <v>9052.01832803705</v>
      </c>
      <c r="Q88" s="163" t="n">
        <f aca="false">IF(Perf_Batch_Prod!Q87&gt;0,Perf_Batch_Prod!Q87*Perf_Batch!Q49/((Perf_Batch_Prod!Q79+Perf_Batch_Prod!Q87*Perf_Batch_Prod!Q83)/1000),0)</f>
        <v>2133.28753529883</v>
      </c>
      <c r="S88" s="163" t="n">
        <f aca="false">IF(Perf_Batch_Prod!S87&gt;0,Perf_Batch_Prod!S87*Perf_Batch!C49/((Perf_Batch_Prod!S79+Perf_Batch_Prod!S87*Perf_Batch_Prod!S83)/1000),0)</f>
        <v>1543.58320544297</v>
      </c>
      <c r="T88" s="163" t="n">
        <f aca="false">IF(Perf_Batch_Prod!T87&gt;0,Perf_Batch_Prod!T87*Perf_Batch!D49/((Perf_Batch_Prod!T79+Perf_Batch_Prod!T87*Perf_Batch_Prod!T83)/1000),0)</f>
        <v>401.196317149967</v>
      </c>
      <c r="U88" s="163" t="n">
        <f aca="false">IF(Perf_Batch_Prod!U87&gt;0,Perf_Batch_Prod!U87*Perf_Batch!E49/((Perf_Batch_Prod!U79+Perf_Batch_Prod!U87*Perf_Batch_Prod!U83)/1000),0)</f>
        <v>91.1937806539076</v>
      </c>
      <c r="V88" s="163" t="n">
        <f aca="false">IF(Perf_Batch_Prod!V87&gt;0,Perf_Batch_Prod!V87*Perf_Batch!F49/((Perf_Batch_Prod!V79+Perf_Batch_Prod!V87*Perf_Batch_Prod!V83)/1000),0)</f>
        <v>5446.15010029288</v>
      </c>
      <c r="W88" s="163" t="n">
        <f aca="false">IF(Perf_Batch_Prod!W87&gt;0,Perf_Batch_Prod!W87*Perf_Batch!G49/((Perf_Batch_Prod!W79+Perf_Batch_Prod!W87*Perf_Batch_Prod!W83)/1000),0)</f>
        <v>1479.53720970646</v>
      </c>
      <c r="X88" s="163" t="n">
        <f aca="false">IF(Perf_Batch_Prod!X87&gt;0,Perf_Batch_Prod!X87*Perf_Batch!H49/((Perf_Batch_Prod!X79+Perf_Batch_Prod!X87*Perf_Batch_Prod!X83)/1000),0)</f>
        <v>339.016320125802</v>
      </c>
      <c r="Y88" s="163" t="n">
        <f aca="false">IF(Perf_Batch_Prod!Y87&gt;0,Perf_Batch_Prod!Y87*Perf_Batch!I49/((Perf_Batch_Prod!Y79+Perf_Batch_Prod!Y87*Perf_Batch_Prod!Y83)/1000),0)</f>
        <v>8169.22515043932</v>
      </c>
      <c r="Z88" s="163" t="n">
        <f aca="false">IF(Perf_Batch_Prod!Z87&gt;0,Perf_Batch_Prod!Z87*Perf_Batch!J49/((Perf_Batch_Prod!Z79+Perf_Batch_Prod!Z87*Perf_Batch_Prod!Z83)/1000),0)</f>
        <v>2219.30581455969</v>
      </c>
      <c r="AA88" s="163" t="n">
        <f aca="false">IF(Perf_Batch_Prod!AA87&gt;0,Perf_Batch_Prod!AA87*Perf_Batch!K49/((Perf_Batch_Prod!AA79+Perf_Batch_Prod!AA87*Perf_Batch_Prod!AA83)/1000),0)</f>
        <v>490.111959489046</v>
      </c>
      <c r="AB88" s="163" t="n">
        <f aca="false">IF(Perf_Batch_Prod!AB87&gt;0,Perf_Batch_Prod!AB87*Perf_Batch!L49/((Perf_Batch_Prod!AB79+Perf_Batch_Prod!AB87*Perf_Batch_Prod!AB83)/1000),0)</f>
        <v>14395.539532388</v>
      </c>
      <c r="AC88" s="163" t="n">
        <f aca="false">IF(Perf_Batch_Prod!AC87&gt;0,Perf_Batch_Prod!AC87*Perf_Batch!M49/((Perf_Batch_Prod!AC79+Perf_Batch_Prod!AC87*Perf_Batch_Prod!AC83)/1000),0)</f>
        <v>4018.32278260485</v>
      </c>
      <c r="AD88" s="163" t="n">
        <f aca="false">IF(Perf_Batch_Prod!AD87&gt;0,Perf_Batch_Prod!AD87*Perf_Batch!N49/((Perf_Batch_Prod!AD79+Perf_Batch_Prod!AD87*Perf_Batch_Prod!AD83)/1000),0)</f>
        <v>942.606896850618</v>
      </c>
      <c r="AE88" s="163" t="n">
        <f aca="false">IF(Perf_Batch_Prod!AE87&gt;0,Perf_Batch_Prod!AE87*Perf_Batch!O49/((Perf_Batch_Prod!AE79+Perf_Batch_Prod!AE87*Perf_Batch_Prod!AE83)/1000),0)</f>
        <v>38460.1684523914</v>
      </c>
      <c r="AF88" s="163" t="n">
        <f aca="false">IF(Perf_Batch_Prod!AF87&gt;0,Perf_Batch_Prod!AF87*Perf_Batch!P49/((Perf_Batch_Prod!AF79+Perf_Batch_Prod!AF87*Perf_Batch_Prod!AF83)/1000),0)</f>
        <v>10820.3225454529</v>
      </c>
      <c r="AG88" s="16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786</v>
      </c>
      <c r="B101" s="56" t="s">
        <v>787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789</v>
      </c>
      <c r="B103" s="56" t="s">
        <v>787</v>
      </c>
      <c r="C103" s="96" t="n">
        <f aca="false">IF(Perf_Batch_Prod!C88&gt;0,1000000/Perf_Batch_Prod!C88,0)</f>
        <v>775.687544110821</v>
      </c>
      <c r="D103" s="96" t="n">
        <f aca="false">IF(Perf_Batch_Prod!D88&gt;0,1000000/Perf_Batch_Prod!D88,0)</f>
        <v>3014.07232280869</v>
      </c>
      <c r="E103" s="96" t="n">
        <f aca="false">IF(Perf_Batch_Prod!E88&gt;0,1000000/Perf_Batch_Prod!E88,0)</f>
        <v>13566.6459890236</v>
      </c>
      <c r="F103" s="96" t="n">
        <f aca="false">IF(Perf_Batch_Prod!F88&gt;0,1000000/Perf_Batch_Prod!F88,0)</f>
        <v>218.442050723223</v>
      </c>
      <c r="G103" s="96" t="n">
        <f aca="false">IF(Perf_Batch_Prod!G88&gt;0,1000000/Perf_Batch_Prod!G88,0)</f>
        <v>808.501689825966</v>
      </c>
      <c r="H103" s="96" t="n">
        <f aca="false">IF(Perf_Batch_Prod!H88&gt;0,1000000/Perf_Batch_Prod!H88,0)</f>
        <v>3576.28654488944</v>
      </c>
      <c r="I103" s="96" t="n">
        <f aca="false">IF(Perf_Batch_Prod!I88&gt;0,1000000/Perf_Batch_Prod!I88,0)</f>
        <v>145.628033815482</v>
      </c>
      <c r="J103" s="96" t="n">
        <f aca="false">IF(Perf_Batch_Prod!J88&gt;0,1000000/Perf_Batch_Prod!J88,0)</f>
        <v>539.001126550644</v>
      </c>
      <c r="K103" s="96" t="n">
        <f aca="false">IF(Perf_Batch_Prod!K88&gt;0,1000000/Perf_Batch_Prod!K88,0)</f>
        <v>2476.60330709747</v>
      </c>
      <c r="L103" s="96" t="n">
        <f aca="false">IF(Perf_Batch_Prod!L88&gt;0,1000000/Perf_Batch_Prod!L88,0)</f>
        <v>82.6350450019253</v>
      </c>
      <c r="M103" s="96" t="n">
        <f aca="false">IF(Perf_Batch_Prod!M88&gt;0,1000000/Perf_Batch_Prod!M88,0)</f>
        <v>297.521341356864</v>
      </c>
      <c r="N103" s="96" t="n">
        <f aca="false">IF(Perf_Batch_Prod!N88&gt;0,1000000/Perf_Batch_Prod!N88,0)</f>
        <v>1284.04767133778</v>
      </c>
      <c r="O103" s="96" t="n">
        <f aca="false">IF(Perf_Batch_Prod!O88&gt;0,1000000/Perf_Batch_Prod!O88,0)</f>
        <v>30.9294336488276</v>
      </c>
      <c r="P103" s="96" t="n">
        <f aca="false">IF(Perf_Batch_Prod!P88&gt;0,1000000/Perf_Batch_Prod!P88,0)</f>
        <v>110.472600005976</v>
      </c>
      <c r="Q103" s="96" t="n">
        <f aca="false">IF(Perf_Batch_Prod!Q88&gt;0,1000000/Perf_Batch_Prod!Q88,0)</f>
        <v>468.760063260726</v>
      </c>
      <c r="S103" s="96" t="n">
        <f aca="false">IF(Perf_Batch_Prod!S88&gt;0,1000000/Perf_Batch_Prod!S88,0)</f>
        <v>647.843275615986</v>
      </c>
      <c r="T103" s="96" t="n">
        <f aca="false">IF(Perf_Batch_Prod!T88&gt;0,1000000/Perf_Batch_Prod!T88,0)</f>
        <v>2492.54531323676</v>
      </c>
      <c r="U103" s="96" t="n">
        <f aca="false">IF(Perf_Batch_Prod!U88&gt;0,1000000/Perf_Batch_Prod!U88,0)</f>
        <v>10965.660079333</v>
      </c>
      <c r="V103" s="96" t="n">
        <f aca="false">IF(Perf_Batch_Prod!V88&gt;0,1000000/Perf_Batch_Prod!V88,0)</f>
        <v>183.615945499964</v>
      </c>
      <c r="W103" s="96" t="n">
        <f aca="false">IF(Perf_Batch_Prod!W88&gt;0,1000000/Perf_Batch_Prod!W88,0)</f>
        <v>675.887022941722</v>
      </c>
      <c r="X103" s="96" t="n">
        <f aca="false">IF(Perf_Batch_Prod!X88&gt;0,1000000/Perf_Batch_Prod!X88,0)</f>
        <v>2949.71050251776</v>
      </c>
      <c r="Y103" s="96" t="n">
        <f aca="false">IF(Perf_Batch_Prod!Y88&gt;0,1000000/Perf_Batch_Prod!Y88,0)</f>
        <v>122.410630333309</v>
      </c>
      <c r="Z103" s="96" t="n">
        <f aca="false">IF(Perf_Batch_Prod!Z88&gt;0,1000000/Perf_Batch_Prod!Z88,0)</f>
        <v>450.591348627815</v>
      </c>
      <c r="AA103" s="96" t="n">
        <f aca="false">IF(Perf_Batch_Prod!AA88&gt;0,1000000/Perf_Batch_Prod!AA88,0)</f>
        <v>2040.35012947353</v>
      </c>
      <c r="AB103" s="96" t="n">
        <f aca="false">IF(Perf_Batch_Prod!AB88&gt;0,1000000/Perf_Batch_Prod!AB88,0)</f>
        <v>69.4659618522901</v>
      </c>
      <c r="AC103" s="96" t="n">
        <f aca="false">IF(Perf_Batch_Prod!AC88&gt;0,1000000/Perf_Batch_Prod!AC88,0)</f>
        <v>248.860047861003</v>
      </c>
      <c r="AD103" s="96" t="n">
        <f aca="false">IF(Perf_Batch_Prod!AD88&gt;0,1000000/Perf_Batch_Prod!AD88,0)</f>
        <v>1060.88763337202</v>
      </c>
      <c r="AE103" s="96" t="n">
        <f aca="false">IF(Perf_Batch_Prod!AE88&gt;0,1000000/Perf_Batch_Prod!AE88,0)</f>
        <v>26.0009261591734</v>
      </c>
      <c r="AF103" s="96" t="n">
        <f aca="false">IF(Perf_Batch_Prod!AF88&gt;0,1000000/Perf_Batch_Prod!AF88,0)</f>
        <v>92.4186867627377</v>
      </c>
      <c r="AG103" s="96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2250</v>
      </c>
    </row>
    <row r="2" customFormat="false" ht="15" hidden="false" customHeight="false" outlineLevel="0" collapsed="false">
      <c r="A2" s="71" t="s">
        <v>2251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1023</v>
      </c>
      <c r="B59" s="56" t="s">
        <v>787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1024</v>
      </c>
      <c r="B60" s="56" t="s">
        <v>787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1029</v>
      </c>
      <c r="B65" s="56" t="s">
        <v>1006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9" t="s">
        <v>1039</v>
      </c>
      <c r="B75" s="56" t="s">
        <v>1006</v>
      </c>
      <c r="C75" s="163" t="n">
        <f aca="false">Training_Prod!C65+Training!C72+Training!C74</f>
        <v>1028354.20030994</v>
      </c>
      <c r="D75" s="163" t="n">
        <f aca="false">Training_Prod!D65+Training!D72+Training!D74</f>
        <v>3806288.04645576</v>
      </c>
      <c r="E75" s="163" t="n">
        <f aca="false">Training_Prod!E65+Training!E72+Training!E74</f>
        <v>64313088.7157198</v>
      </c>
      <c r="F75" s="163" t="n">
        <f aca="false">Training_Prod!F65+Training!F72+Training!F74</f>
        <v>337793.15085424</v>
      </c>
      <c r="G75" s="163" t="n">
        <f aca="false">Training_Prod!G65+Training!G72+Training!G74</f>
        <v>1206279.0672789</v>
      </c>
      <c r="H75" s="163" t="n">
        <f aca="false">Training_Prod!H65+Training!H72+Training!H74</f>
        <v>19782595.0429011</v>
      </c>
      <c r="I75" s="163" t="n">
        <f aca="false">Training_Prod!I65+Training!I72+Training!I74</f>
        <v>281534.155427727</v>
      </c>
      <c r="J75" s="163" t="n">
        <f aca="false">Training_Prod!J65+Training!J72+Training!J74</f>
        <v>998014.590856352</v>
      </c>
      <c r="K75" s="163" t="n">
        <f aca="false">Training_Prod!K65+Training!K72+Training!K74</f>
        <v>16327478.7808241</v>
      </c>
      <c r="L75" s="163" t="n">
        <f aca="false">Training_Prod!L65+Training!L72+Training!L74</f>
        <v>117474.768401351</v>
      </c>
      <c r="M75" s="163" t="n">
        <f aca="false">Training_Prod!M65+Training!M72+Training!M74</f>
        <v>414414.692289046</v>
      </c>
      <c r="N75" s="163" t="n">
        <f aca="false">Training_Prod!N65+Training!N72+Training!N74</f>
        <v>6746268.55253112</v>
      </c>
      <c r="O75" s="163" t="n">
        <f aca="false">Training_Prod!O65+Training!O72+Training!O74</f>
        <v>50725.6555434733</v>
      </c>
      <c r="P75" s="163" t="n">
        <f aca="false">Training_Prod!P65+Training!P72+Training!P74</f>
        <v>177677.984449426</v>
      </c>
      <c r="Q75" s="163" t="n">
        <f aca="false">Training_Prod!Q65+Training!Q72+Training!Q74</f>
        <v>2829561.65694583</v>
      </c>
      <c r="S75" s="163" t="n">
        <f aca="false">Training_Prod!S65+Training!C72+Training!C74</f>
        <v>929292.249603625</v>
      </c>
      <c r="T75" s="163" t="n">
        <f aca="false">Training_Prod!T65+Training!D72+Training!D74</f>
        <v>3402179.20218321</v>
      </c>
      <c r="U75" s="163" t="n">
        <f aca="false">Training_Prod!U65+Training!E72+Training!E74</f>
        <v>56129792.8278966</v>
      </c>
      <c r="V75" s="163" t="n">
        <f aca="false">Training_Prod!V65+Training!F72+Training!F74</f>
        <v>310888.000830325</v>
      </c>
      <c r="W75" s="163" t="n">
        <f aca="false">Training_Prod!W65+Training!G72+Training!G74</f>
        <v>1103814.62293829</v>
      </c>
      <c r="X75" s="163" t="n">
        <f aca="false">Training_Prod!X65+Training!H72+Training!H74</f>
        <v>17814557.9473498</v>
      </c>
      <c r="Y75" s="163" t="n">
        <f aca="false">Training_Prod!Y65+Training!I72+Training!I74</f>
        <v>263597.388745117</v>
      </c>
      <c r="Z75" s="163" t="n">
        <f aca="false">Training_Prod!Z65+Training!J72+Training!J74</f>
        <v>929704.961295945</v>
      </c>
      <c r="AA75" s="163" t="n">
        <f aca="false">Training_Prod!AA65+Training!K72+Training!K74</f>
        <v>14957302.4707143</v>
      </c>
      <c r="AB75" s="163" t="n">
        <f aca="false">Training_Prod!AB65+Training!L72+Training!L74</f>
        <v>107305.134642035</v>
      </c>
      <c r="AC75" s="163" t="n">
        <f aca="false">Training_Prod!AC65+Training!M72+Training!M74</f>
        <v>376831.791251579</v>
      </c>
      <c r="AD75" s="163" t="n">
        <f aca="false">Training_Prod!AD65+Training!N72+Training!N74</f>
        <v>6045499.10516714</v>
      </c>
      <c r="AE75" s="163" t="n">
        <f aca="false">Training_Prod!AE65+Training!O72+Training!O74</f>
        <v>46918.0414223073</v>
      </c>
      <c r="AF75" s="163" t="n">
        <f aca="false">Training_Prod!AF65+Training!P72+Training!P74</f>
        <v>163727.413365684</v>
      </c>
      <c r="AG75" s="163" t="n">
        <f aca="false">Training_Prod!AG65+Training!Q72+Training!Q74</f>
        <v>2574548.53645185</v>
      </c>
    </row>
    <row r="84" customFormat="false" ht="15" hidden="false" customHeight="false" outlineLevel="0" collapsed="false">
      <c r="A84" s="58" t="s">
        <v>1048</v>
      </c>
      <c r="B84" s="56" t="s">
        <v>787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1050</v>
      </c>
      <c r="B86" s="56" t="s">
        <v>1006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8" t="s">
        <v>1051</v>
      </c>
      <c r="B87" s="56" t="s">
        <v>1006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1054</v>
      </c>
      <c r="B90" s="56" t="s">
        <v>1006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8" t="s">
        <v>1059</v>
      </c>
      <c r="B95" s="56" t="s">
        <v>787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1061</v>
      </c>
      <c r="B97" s="56" t="s">
        <v>1006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8" t="s">
        <v>1063</v>
      </c>
      <c r="B100" s="56" t="s">
        <v>1006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8" t="s">
        <v>1067</v>
      </c>
      <c r="B104" s="56" t="s">
        <v>1006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8" t="s">
        <v>1068</v>
      </c>
      <c r="B105" s="56" t="s">
        <v>1006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8" t="s">
        <v>1069</v>
      </c>
      <c r="B106" s="56" t="s">
        <v>1006</v>
      </c>
      <c r="C106" s="163" t="n">
        <f aca="false">Training!C103+Training_Prod!C104+Training_Prod!C105</f>
        <v>7226394.22377502</v>
      </c>
      <c r="D106" s="163" t="n">
        <f aca="false">Training!D103+Training_Prod!D104+Training_Prod!D105</f>
        <v>20096012.9913164</v>
      </c>
      <c r="E106" s="163" t="n">
        <f aca="false">Training!E103+Training_Prod!E104+Training_Prod!E105</f>
        <v>122796334.933228</v>
      </c>
      <c r="F106" s="163" t="n">
        <f aca="false">Training!F103+Training_Prod!F104+Training_Prod!F105</f>
        <v>2283362.27691392</v>
      </c>
      <c r="G106" s="163" t="n">
        <f aca="false">Training!G103+Training_Prod!G104+Training_Prod!G105</f>
        <v>6614051.58756521</v>
      </c>
      <c r="H106" s="163" t="n">
        <f aca="false">Training!H103+Training_Prod!H104+Training_Prod!H105</f>
        <v>41229470.8624703</v>
      </c>
      <c r="I106" s="163" t="n">
        <f aca="false">Training!I103+Training_Prod!I104+Training_Prod!I105</f>
        <v>1916120.19054511</v>
      </c>
      <c r="J106" s="163" t="n">
        <f aca="false">Training!J103+Training_Prod!J104+Training_Prod!J105</f>
        <v>5772061.76696223</v>
      </c>
      <c r="K106" s="163" t="n">
        <f aca="false">Training!K103+Training_Prod!K104+Training_Prod!K105</f>
        <v>36751170.23555</v>
      </c>
      <c r="L106" s="163" t="n">
        <f aca="false">Training!L103+Training_Prod!L104+Training_Prod!L105</f>
        <v>777335.314438309</v>
      </c>
      <c r="M106" s="163" t="n">
        <f aca="false">Training!M103+Training_Prod!M104+Training_Prod!M105</f>
        <v>2216890.49599468</v>
      </c>
      <c r="N106" s="163" t="n">
        <f aca="false">Training!N103+Training_Prod!N104+Training_Prod!N105</f>
        <v>13692168.7202768</v>
      </c>
      <c r="O106" s="163" t="n">
        <f aca="false">Training!O103+Training_Prod!O104+Training_Prod!O105</f>
        <v>331790.431232589</v>
      </c>
      <c r="P106" s="163" t="n">
        <f aca="false">Training!P103+Training_Prod!P104+Training_Prod!P105</f>
        <v>979623.967925788</v>
      </c>
      <c r="Q106" s="163" t="n">
        <f aca="false">Training!Q103+Training_Prod!Q104+Training_Prod!Q105</f>
        <v>6141987.95167579</v>
      </c>
      <c r="S106" s="163" t="n">
        <f aca="false">Training!C103+Training_Prod!S104+Training_Prod!S105</f>
        <v>6394168.86869692</v>
      </c>
      <c r="T106" s="163" t="n">
        <f aca="false">Training!D103+Training_Prod!T104+Training_Prod!T105</f>
        <v>18199062.8050043</v>
      </c>
      <c r="U106" s="163" t="n">
        <f aca="false">Training!E103+Training_Prod!U104+Training_Prod!U105</f>
        <v>112183463.020854</v>
      </c>
      <c r="V106" s="163" t="n">
        <f aca="false">Training!F103+Training_Prod!V104+Training_Prod!V105</f>
        <v>2079780.169416</v>
      </c>
      <c r="W106" s="163" t="n">
        <f aca="false">Training!G103+Training_Prod!W104+Training_Prod!W105</f>
        <v>6152335.11648947</v>
      </c>
      <c r="X106" s="163" t="n">
        <f aca="false">Training!H103+Training_Prod!X104+Training_Prod!X105</f>
        <v>38678967.4074746</v>
      </c>
      <c r="Y106" s="163" t="n">
        <f aca="false">Training!I103+Training_Prod!Y104+Training_Prod!Y105</f>
        <v>1775249.94775683</v>
      </c>
      <c r="Z106" s="163" t="n">
        <f aca="false">Training!J103+Training_Prod!Z104+Training_Prod!Z105</f>
        <v>5453953.11066573</v>
      </c>
      <c r="AA106" s="163" t="n">
        <f aca="false">Training!K103+Training_Prod!AA104+Training_Prod!AA105</f>
        <v>34975510.1307514</v>
      </c>
      <c r="AB106" s="163" t="n">
        <f aca="false">Training!L103+Training_Prod!AB104+Training_Prod!AB105</f>
        <v>704197.648874947</v>
      </c>
      <c r="AC106" s="163" t="n">
        <f aca="false">Training!M103+Training_Prod!AC104+Training_Prod!AC105</f>
        <v>2051289.25958755</v>
      </c>
      <c r="AD106" s="163" t="n">
        <f aca="false">Training!N103+Training_Prod!AD104+Training_Prod!AD105</f>
        <v>12784087.465584</v>
      </c>
      <c r="AE106" s="163" t="n">
        <f aca="false">Training!O103+Training_Prod!AE104+Training_Prod!AE105</f>
        <v>305060.599619606</v>
      </c>
      <c r="AF106" s="163" t="n">
        <f aca="false">Training!P103+Training_Prod!AF104+Training_Prod!AF105</f>
        <v>919050.37142924</v>
      </c>
      <c r="AG106" s="163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8" t="s">
        <v>1083</v>
      </c>
      <c r="B120" s="56" t="s">
        <v>1006</v>
      </c>
      <c r="C120" s="163" t="n">
        <f aca="false">Training_Prod!C106*Training!C119</f>
        <v>57811153.7902002</v>
      </c>
      <c r="D120" s="163" t="n">
        <f aca="false">Training_Prod!D106*Training!D119</f>
        <v>160768103.930531</v>
      </c>
      <c r="E120" s="163" t="n">
        <f aca="false">Training_Prod!E106*Training!E119</f>
        <v>982370679.465827</v>
      </c>
      <c r="F120" s="163" t="n">
        <f aca="false">Training_Prod!F106*Training!F119</f>
        <v>18266898.2153113</v>
      </c>
      <c r="G120" s="163" t="n">
        <f aca="false">Training_Prod!G106*Training!G119</f>
        <v>52912412.7005217</v>
      </c>
      <c r="H120" s="163" t="n">
        <f aca="false">Training_Prod!H106*Training!H119</f>
        <v>329835766.899762</v>
      </c>
      <c r="I120" s="163" t="n">
        <f aca="false">Training_Prod!I106*Training!I119</f>
        <v>15328961.5243609</v>
      </c>
      <c r="J120" s="163" t="n">
        <f aca="false">Training_Prod!J106*Training!J119</f>
        <v>46176494.1356978</v>
      </c>
      <c r="K120" s="163" t="n">
        <f aca="false">Training_Prod!K106*Training!K119</f>
        <v>294009361.8844</v>
      </c>
      <c r="L120" s="163" t="n">
        <f aca="false">Training_Prod!L106*Training!L119</f>
        <v>6218682.51550648</v>
      </c>
      <c r="M120" s="163" t="n">
        <f aca="false">Training_Prod!M106*Training!M119</f>
        <v>17735123.9679574</v>
      </c>
      <c r="N120" s="163" t="n">
        <f aca="false">Training_Prod!N106*Training!N119</f>
        <v>109537349.762214</v>
      </c>
      <c r="O120" s="163" t="n">
        <f aca="false">Training_Prod!O106*Training!O119</f>
        <v>2654323.44986071</v>
      </c>
      <c r="P120" s="163" t="n">
        <f aca="false">Training_Prod!P106*Training!P119</f>
        <v>7836991.7434063</v>
      </c>
      <c r="Q120" s="163" t="n">
        <f aca="false">Training_Prod!Q106*Training!Q119</f>
        <v>49135903.6134063</v>
      </c>
      <c r="S120" s="163" t="n">
        <f aca="false">Training_Prod!S106*Training!C119</f>
        <v>51153350.9495753</v>
      </c>
      <c r="T120" s="163" t="n">
        <f aca="false">Training_Prod!T106*Training!D119</f>
        <v>145592502.440035</v>
      </c>
      <c r="U120" s="163" t="n">
        <f aca="false">Training_Prod!U106*Training!E119</f>
        <v>897467704.166834</v>
      </c>
      <c r="V120" s="163" t="n">
        <f aca="false">Training_Prod!V106*Training!F119</f>
        <v>16638241.355328</v>
      </c>
      <c r="W120" s="163" t="n">
        <f aca="false">Training_Prod!W106*Training!G119</f>
        <v>49218680.9319158</v>
      </c>
      <c r="X120" s="163" t="n">
        <f aca="false">Training_Prod!X106*Training!H119</f>
        <v>309431739.259797</v>
      </c>
      <c r="Y120" s="163" t="n">
        <f aca="false">Training_Prod!Y106*Training!I119</f>
        <v>14201999.5820546</v>
      </c>
      <c r="Z120" s="163" t="n">
        <f aca="false">Training_Prod!Z106*Training!J119</f>
        <v>43631624.8853258</v>
      </c>
      <c r="AA120" s="163" t="n">
        <f aca="false">Training_Prod!AA106*Training!K119</f>
        <v>279804081.046011</v>
      </c>
      <c r="AB120" s="163" t="n">
        <f aca="false">Training_Prod!AB106*Training!L119</f>
        <v>5633581.19099958</v>
      </c>
      <c r="AC120" s="163" t="n">
        <f aca="false">Training_Prod!AC106*Training!M119</f>
        <v>16410314.0767004</v>
      </c>
      <c r="AD120" s="163" t="n">
        <f aca="false">Training_Prod!AD106*Training!N119</f>
        <v>102272699.724672</v>
      </c>
      <c r="AE120" s="163" t="n">
        <f aca="false">Training_Prod!AE106*Training!O119</f>
        <v>2440484.79695685</v>
      </c>
      <c r="AF120" s="163" t="n">
        <f aca="false">Training_Prod!AF106*Training!P119</f>
        <v>7352402.97143392</v>
      </c>
      <c r="AG120" s="163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2252</v>
      </c>
    </row>
    <row r="2" customFormat="false" ht="15" hidden="false" customHeight="false" outlineLevel="0" collapsed="false">
      <c r="A2" s="71" t="s">
        <v>2253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839</v>
      </c>
      <c r="B13" s="56" t="s">
        <v>777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841</v>
      </c>
      <c r="B15" s="56" t="s">
        <v>777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842</v>
      </c>
      <c r="B16" s="56" t="s">
        <v>791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844</v>
      </c>
      <c r="B18" s="56" t="s">
        <v>791</v>
      </c>
      <c r="C18" s="114" t="n">
        <f aca="false">IF(Unit_Cost_Prod!C15&gt;0,Unit_Cost!C$8/3600*Unit_Cost_Prod!C15,"SLO 不可達")</f>
        <v>0.839958755792001</v>
      </c>
      <c r="D18" s="114" t="n">
        <f aca="false">IF(Unit_Cost_Prod!D15&gt;0,Unit_Cost!D$8/3600*Unit_Cost_Prod!D15,"SLO 不可達")</f>
        <v>1.20013304820148</v>
      </c>
      <c r="E18" s="114" t="n">
        <f aca="false">IF(Unit_Cost_Prod!E15&gt;0,Unit_Cost!E$8/3600*Unit_Cost_Prod!E15,"SLO 不可達")</f>
        <v>2.06106986110027</v>
      </c>
      <c r="F18" s="114" t="n">
        <f aca="false">IF(Unit_Cost_Prod!F15&gt;0,Unit_Cost!F$8/3600*Unit_Cost_Prod!F15,"SLO 不可達")</f>
        <v>0.159943319788345</v>
      </c>
      <c r="G18" s="114" t="n">
        <f aca="false">IF(Unit_Cost_Prod!G15&gt;0,Unit_Cost!G$8/3600*Unit_Cost_Prod!G15,"SLO 不可達")</f>
        <v>0.213557977002722</v>
      </c>
      <c r="H18" s="114" t="n">
        <f aca="false">IF(Unit_Cost_Prod!H15&gt;0,Unit_Cost!H$8/3600*Unit_Cost_Prod!H15,"SLO 不可達")</f>
        <v>0.346373871019486</v>
      </c>
      <c r="I18" s="114" t="n">
        <f aca="false">IF(Unit_Cost_Prod!I15&gt;0,Unit_Cost!I$8/3600*Unit_Cost_Prod!I15,"SLO 不可達")</f>
        <v>0.140052798568516</v>
      </c>
      <c r="J18" s="114" t="n">
        <f aca="false">IF(Unit_Cost_Prod!J15&gt;0,Unit_Cost!J$8/3600*Unit_Cost_Prod!J15,"SLO 不可達")</f>
        <v>0.180886294325224</v>
      </c>
      <c r="K18" s="114" t="n">
        <f aca="false">IF(Unit_Cost_Prod!K15&gt;0,Unit_Cost!K$8/3600*Unit_Cost_Prod!K15,"SLO 不可達")</f>
        <v>0.307967735299438</v>
      </c>
      <c r="L18" s="114" t="n">
        <f aca="false">IF(Unit_Cost_Prod!L15&gt;0,Unit_Cost!L$8/3600*Unit_Cost_Prod!L15,"SLO 不可達")</f>
        <v>0.105290741718836</v>
      </c>
      <c r="M18" s="114" t="n">
        <f aca="false">IF(Unit_Cost_Prod!M15&gt;0,Unit_Cost!M$8/3600*Unit_Cost_Prod!M15,"SLO 不可達")</f>
        <v>0.135325746516949</v>
      </c>
      <c r="N18" s="114" t="n">
        <f aca="false">IF(Unit_Cost_Prod!N15&gt;0,Unit_Cost!N$8/3600*Unit_Cost_Prod!N15,"SLO 不可達")</f>
        <v>0.218622934079411</v>
      </c>
      <c r="O18" s="114" t="n">
        <f aca="false">IF(Unit_Cost_Prod!O15&gt;0,Unit_Cost!O$8/3600*Unit_Cost_Prod!O15,"SLO 不可達")</f>
        <v>0.0822181312210071</v>
      </c>
      <c r="P18" s="114" t="n">
        <f aca="false">IF(Unit_Cost_Prod!P15&gt;0,Unit_Cost!P$8/3600*Unit_Cost_Prod!P15,"SLO 不可達")</f>
        <v>0.124960286035396</v>
      </c>
      <c r="Q18" s="114" t="n">
        <f aca="false">IF(Unit_Cost_Prod!Q15&gt;0,Unit_Cost!Q$8/3600*Unit_Cost_Prod!Q15,"SLO 不可達")</f>
        <v>0.228120184960625</v>
      </c>
      <c r="S18" s="114" t="n">
        <f aca="false">IF(Unit_Cost_Prod!S15&gt;0,Unit_Cost!C$8/3600*Unit_Cost_Prod!S15,"SLO 不可達")</f>
        <v>0.515810502571941</v>
      </c>
      <c r="T18" s="114" t="n">
        <f aca="false">IF(Unit_Cost_Prod!T15&gt;0,Unit_Cost!D$8/3600*Unit_Cost_Prod!T15,"SLO 不可達")</f>
        <v>0.736990032519282</v>
      </c>
      <c r="U18" s="114" t="n">
        <f aca="false">IF(Unit_Cost_Prod!U15&gt;0,Unit_Cost!E$8/3600*Unit_Cost_Prod!U15,"SLO 不可達")</f>
        <v>1.26568295592989</v>
      </c>
      <c r="V18" s="114" t="n">
        <f aca="false">IF(Unit_Cost_Prod!V15&gt;0,Unit_Cost!F$8/3600*Unit_Cost_Prod!V15,"SLO 不可達")</f>
        <v>0.121612196523219</v>
      </c>
      <c r="W18" s="114" t="n">
        <f aca="false">IF(Unit_Cost_Prod!W15&gt;0,Unit_Cost!G$8/3600*Unit_Cost_Prod!W15,"SLO 不可達")</f>
        <v>0.162377864250437</v>
      </c>
      <c r="X18" s="114" t="n">
        <f aca="false">IF(Unit_Cost_Prod!X15&gt;0,Unit_Cost!H$8/3600*Unit_Cost_Prod!X15,"SLO 不可達")</f>
        <v>0.263363842445387</v>
      </c>
      <c r="Y18" s="114" t="n">
        <f aca="false">IF(Unit_Cost_Prod!Y15&gt;0,Unit_Cost!I$8/3600*Unit_Cost_Prod!Y15,"SLO 不可達")</f>
        <v>0.106488526596046</v>
      </c>
      <c r="Z18" s="114" t="n">
        <f aca="false">IF(Unit_Cost_Prod!Z15&gt;0,Unit_Cost!J$8/3600*Unit_Cost_Prod!Z15,"SLO 不可達")</f>
        <v>0.137536094679954</v>
      </c>
      <c r="AA18" s="114" t="n">
        <f aca="false">IF(Unit_Cost_Prod!AA15&gt;0,Unit_Cost!K$8/3600*Unit_Cost_Prod!AA15,"SLO 不可達")</f>
        <v>0.234161906840545</v>
      </c>
      <c r="AB18" s="114" t="n">
        <f aca="false">IF(Unit_Cost_Prod!AB15&gt;0,Unit_Cost!L$8/3600*Unit_Cost_Prod!AB15,"SLO 不可達")</f>
        <v>0.0806426702715034</v>
      </c>
      <c r="AC18" s="114" t="n">
        <f aca="false">IF(Unit_Cost_Prod!AC15&gt;0,Unit_Cost!M$8/3600*Unit_Cost_Prod!AC15,"SLO 不可達")</f>
        <v>0.103646620561882</v>
      </c>
      <c r="AD18" s="114" t="n">
        <f aca="false">IF(Unit_Cost_Prod!AD15&gt;0,Unit_Cost!N$8/3600*Unit_Cost_Prod!AD15,"SLO 不可達")</f>
        <v>0.167444325103472</v>
      </c>
      <c r="AE18" s="114" t="n">
        <f aca="false">IF(Unit_Cost_Prod!AE15&gt;0,Unit_Cost!O$8/3600*Unit_Cost_Prod!AE15,"SLO 不可達")</f>
        <v>0.0630858774448701</v>
      </c>
      <c r="AF18" s="114" t="n">
        <f aca="false">IF(Unit_Cost_Prod!AF15&gt;0,Unit_Cost!P$8/3600*Unit_Cost_Prod!AF15,"SLO 不可達")</f>
        <v>0.0958818836336032</v>
      </c>
      <c r="AG18" s="114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59" t="s">
        <v>839</v>
      </c>
      <c r="B26" s="56" t="s">
        <v>777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841</v>
      </c>
      <c r="B28" s="56" t="s">
        <v>777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842</v>
      </c>
      <c r="B29" s="56" t="s">
        <v>791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844</v>
      </c>
      <c r="B31" s="56" t="s">
        <v>791</v>
      </c>
      <c r="C31" s="114" t="n">
        <f aca="false">IF(Unit_Cost_Prod!C28&gt;0,Unit_Cost!C$8/3600*Unit_Cost_Prod!C28,"SLO 不可達")</f>
        <v>2.6310424404846</v>
      </c>
      <c r="D31" s="114" t="n">
        <f aca="false">IF(Unit_Cost_Prod!D28&gt;0,Unit_Cost!D$8/3600*Unit_Cost_Prod!D28,"SLO 不可達")</f>
        <v>3.75923336982057</v>
      </c>
      <c r="E31" s="114" t="n">
        <f aca="false">IF(Unit_Cost_Prod!E28&gt;0,Unit_Cost!E$8/3600*Unit_Cost_Prod!E28,"SLO 不可達")</f>
        <v>6.45598636833705</v>
      </c>
      <c r="F31" s="114" t="n">
        <f aca="false">IF(Unit_Cost_Prod!F28&gt;0,Unit_Cost!F$8/3600*Unit_Cost_Prod!F28,"SLO 不可達")</f>
        <v>0.541816643756206</v>
      </c>
      <c r="G31" s="114" t="n">
        <f aca="false">IF(Unit_Cost_Prod!G28&gt;0,Unit_Cost!G$8/3600*Unit_Cost_Prod!G28,"SLO 不可達")</f>
        <v>0.723439193960079</v>
      </c>
      <c r="H31" s="114" t="n">
        <f aca="false">IF(Unit_Cost_Prod!H28&gt;0,Unit_Cost!H$8/3600*Unit_Cost_Prod!H28,"SLO 不可達")</f>
        <v>1.17336021616264</v>
      </c>
      <c r="I31" s="114" t="n">
        <f aca="false">IF(Unit_Cost_Prod!I28&gt;0,Unit_Cost!I$8/3600*Unit_Cost_Prod!I28,"SLO 不可達")</f>
        <v>0.474436427663711</v>
      </c>
      <c r="J31" s="114" t="n">
        <f aca="false">IF(Unit_Cost_Prod!J28&gt;0,Unit_Cost!J$8/3600*Unit_Cost_Prod!J28,"SLO 不可達")</f>
        <v>0.612762102365289</v>
      </c>
      <c r="K31" s="114" t="n">
        <f aca="false">IF(Unit_Cost_Prod!K28&gt;0,Unit_Cost!K$8/3600*Unit_Cost_Prod!K28,"SLO 不可達")</f>
        <v>1.04325735483014</v>
      </c>
      <c r="L31" s="114" t="n">
        <f aca="false">IF(Unit_Cost_Prod!L28&gt;0,Unit_Cost!L$8/3600*Unit_Cost_Prod!L28,"SLO 不可達")</f>
        <v>0.323645874636291</v>
      </c>
      <c r="M31" s="114" t="n">
        <f aca="false">IF(Unit_Cost_Prod!M28&gt;0,Unit_Cost!M$8/3600*Unit_Cost_Prod!M28,"SLO 不可達")</f>
        <v>0.415968383138967</v>
      </c>
      <c r="N31" s="114" t="n">
        <f aca="false">IF(Unit_Cost_Prod!N28&gt;0,Unit_Cost!N$8/3600*Unit_Cost_Prod!N28,"SLO 不可達")</f>
        <v>0.672009804096812</v>
      </c>
      <c r="O31" s="114" t="n">
        <f aca="false">IF(Unit_Cost_Prod!O28&gt;0,Unit_Cost!O$8/3600*Unit_Cost_Prod!O28,"SLO 不可達")</f>
        <v>0.24629793072747</v>
      </c>
      <c r="P31" s="114" t="n">
        <f aca="false">IF(Unit_Cost_Prod!P28&gt;0,Unit_Cost!P$8/3600*Unit_Cost_Prod!P28,"SLO 不可達")</f>
        <v>0.37433908332092</v>
      </c>
      <c r="Q31" s="114" t="n">
        <f aca="false">IF(Unit_Cost_Prod!Q28&gt;0,Unit_Cost!Q$8/3600*Unit_Cost_Prod!Q28,"SLO 不可達")</f>
        <v>0.683371522540933</v>
      </c>
      <c r="S31" s="114" t="n">
        <f aca="false">IF(Unit_Cost_Prod!S28&gt;0,Unit_Cost!C$8/3600*Unit_Cost_Prod!S28,"SLO 不可達")</f>
        <v>1.7702441493306</v>
      </c>
      <c r="T31" s="114" t="n">
        <f aca="false">IF(Unit_Cost_Prod!T28&gt;0,Unit_Cost!D$8/3600*Unit_Cost_Prod!T28,"SLO 不可達")</f>
        <v>2.52932479404151</v>
      </c>
      <c r="U31" s="114" t="n">
        <f aca="false">IF(Unit_Cost_Prod!U28&gt;0,Unit_Cost!E$8/3600*Unit_Cost_Prod!U28,"SLO 不可達")</f>
        <v>4.34378097473856</v>
      </c>
      <c r="V31" s="114" t="n">
        <f aca="false">IF(Unit_Cost_Prod!V28&gt;0,Unit_Cost!F$8/3600*Unit_Cost_Prod!V28,"SLO 不可達")</f>
        <v>0.423524919545995</v>
      </c>
      <c r="W31" s="114" t="n">
        <f aca="false">IF(Unit_Cost_Prod!W28&gt;0,Unit_Cost!G$8/3600*Unit_Cost_Prod!W28,"SLO 不可達")</f>
        <v>0.565494858729786</v>
      </c>
      <c r="X31" s="114" t="n">
        <f aca="false">IF(Unit_Cost_Prod!X28&gt;0,Unit_Cost!H$8/3600*Unit_Cost_Prod!X28,"SLO 不可達")</f>
        <v>0.917187201381651</v>
      </c>
      <c r="Y31" s="114" t="n">
        <f aca="false">IF(Unit_Cost_Prod!Y28&gt;0,Unit_Cost!I$8/3600*Unit_Cost_Prod!Y28,"SLO 不可達")</f>
        <v>0.37085544006724</v>
      </c>
      <c r="Z31" s="114" t="n">
        <f aca="false">IF(Unit_Cost_Prod!Z28&gt;0,Unit_Cost!J$8/3600*Unit_Cost_Prod!Z28,"SLO 不可達")</f>
        <v>0.478981262565029</v>
      </c>
      <c r="AA31" s="114" t="n">
        <f aca="false">IF(Unit_Cost_Prod!AA28&gt;0,Unit_Cost!K$8/3600*Unit_Cost_Prod!AA28,"SLO 不可達")</f>
        <v>0.815488952511794</v>
      </c>
      <c r="AB31" s="114" t="n">
        <f aca="false">IF(Unit_Cost_Prod!AB28&gt;0,Unit_Cost!L$8/3600*Unit_Cost_Prod!AB28,"SLO 不可達")</f>
        <v>0.256178955227036</v>
      </c>
      <c r="AC31" s="114" t="n">
        <f aca="false">IF(Unit_Cost_Prod!AC28&gt;0,Unit_Cost!M$8/3600*Unit_Cost_Prod!AC28,"SLO 不可達")</f>
        <v>0.329255999075451</v>
      </c>
      <c r="AD31" s="114" t="n">
        <f aca="false">IF(Unit_Cost_Prod!AD28&gt;0,Unit_Cost!N$8/3600*Unit_Cost_Prod!AD28,"SLO 不可達")</f>
        <v>0.531923262452556</v>
      </c>
      <c r="AE31" s="114" t="n">
        <f aca="false">IF(Unit_Cost_Prod!AE28&gt;0,Unit_Cost!O$8/3600*Unit_Cost_Prod!AE28,"SLO 不可達")</f>
        <v>0.195537573688745</v>
      </c>
      <c r="AF31" s="114" t="n">
        <f aca="false">IF(Unit_Cost_Prod!AF28&gt;0,Unit_Cost!P$8/3600*Unit_Cost_Prod!AF28,"SLO 不可達")</f>
        <v>0.297190300678713</v>
      </c>
      <c r="AG31" s="114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59" t="s">
        <v>839</v>
      </c>
      <c r="B39" s="56" t="s">
        <v>777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841</v>
      </c>
      <c r="B41" s="56" t="s">
        <v>777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842</v>
      </c>
      <c r="B42" s="56" t="s">
        <v>791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844</v>
      </c>
      <c r="B44" s="56" t="s">
        <v>791</v>
      </c>
      <c r="C44" s="114" t="n">
        <f aca="false">IF(Unit_Cost_Prod!C41&gt;0,Unit_Cost!C$8/3600*Unit_Cost_Prod!C41,"SLO 不可達")</f>
        <v>28.2309872416305</v>
      </c>
      <c r="D44" s="114" t="n">
        <f aca="false">IF(Unit_Cost_Prod!D41&gt;0,Unit_Cost!D$8/3600*Unit_Cost_Prod!D41,"SLO 不可達")</f>
        <v>40.336433828931</v>
      </c>
      <c r="E44" s="114" t="n">
        <f aca="false">IF(Unit_Cost_Prod!E41&gt;0,Unit_Cost!E$8/3600*Unit_Cost_Prod!E41,"SLO 不可達")</f>
        <v>69.2724929070678</v>
      </c>
      <c r="F44" s="114" t="n">
        <f aca="false">IF(Unit_Cost_Prod!F41&gt;0,Unit_Cost!F$8/3600*Unit_Cost_Prod!F41,"SLO 不可達")</f>
        <v>3.47443380772583</v>
      </c>
      <c r="G44" s="114" t="n">
        <f aca="false">IF(Unit_Cost_Prod!G41&gt;0,Unit_Cost!G$8/3600*Unit_Cost_Prod!G41,"SLO 不可達")</f>
        <v>4.63910000236133</v>
      </c>
      <c r="H44" s="114" t="n">
        <f aca="false">IF(Unit_Cost_Prod!H41&gt;0,Unit_Cost!H$8/3600*Unit_Cost_Prod!H41,"SLO 不可達")</f>
        <v>7.52424727194302</v>
      </c>
      <c r="I44" s="114" t="n">
        <f aca="false">IF(Unit_Cost_Prod!I41&gt;0,Unit_Cost!I$8/3600*Unit_Cost_Prod!I41,"SLO 不可達")</f>
        <v>3.97207808848589</v>
      </c>
      <c r="J44" s="114" t="n">
        <f aca="false">IF(Unit_Cost_Prod!J41&gt;0,Unit_Cost!J$8/3600*Unit_Cost_Prod!J41,"SLO 不可達")</f>
        <v>5.13016871880025</v>
      </c>
      <c r="K44" s="114" t="n">
        <f aca="false">IF(Unit_Cost_Prod!K41&gt;0,Unit_Cost!K$8/3600*Unit_Cost_Prod!K41,"SLO 不可達")</f>
        <v>8.73436236795422</v>
      </c>
      <c r="L44" s="114" t="n">
        <f aca="false">IF(Unit_Cost_Prod!L41&gt;0,Unit_Cost!L$8/3600*Unit_Cost_Prod!L41,"SLO 不可達")</f>
        <v>1.77635851553715</v>
      </c>
      <c r="M44" s="114" t="n">
        <f aca="false">IF(Unit_Cost_Prod!M41&gt;0,Unit_Cost!M$8/3600*Unit_Cost_Prod!M41,"SLO 不可達")</f>
        <v>2.28307862849635</v>
      </c>
      <c r="N44" s="114" t="n">
        <f aca="false">IF(Unit_Cost_Prod!N41&gt;0,Unit_Cost!N$8/3600*Unit_Cost_Prod!N41,"SLO 不可達")</f>
        <v>3.68838422356943</v>
      </c>
      <c r="O44" s="114" t="n">
        <f aca="false">IF(Unit_Cost_Prod!O41&gt;0,Unit_Cost!O$8/3600*Unit_Cost_Prod!O41,"SLO 不可達")</f>
        <v>1.24938361168957</v>
      </c>
      <c r="P44" s="114" t="n">
        <f aca="false">IF(Unit_Cost_Prod!P41&gt;0,Unit_Cost!P$8/3600*Unit_Cost_Prod!P41,"SLO 不可達")</f>
        <v>1.89889177929619</v>
      </c>
      <c r="Q44" s="114" t="n">
        <f aca="false">IF(Unit_Cost_Prod!Q41&gt;0,Unit_Cost!Q$8/3600*Unit_Cost_Prod!Q41,"SLO 不可達")</f>
        <v>3.46650570078365</v>
      </c>
      <c r="S44" s="114" t="n">
        <f aca="false">IF(Unit_Cost_Prod!S41&gt;0,Unit_Cost!C$8/3600*Unit_Cost_Prod!S41,"SLO 不可達")</f>
        <v>12.2043697021718</v>
      </c>
      <c r="T44" s="114" t="n">
        <f aca="false">IF(Unit_Cost_Prod!T41&gt;0,Unit_Cost!D$8/3600*Unit_Cost_Prod!T41,"SLO 不可達")</f>
        <v>17.437603109732</v>
      </c>
      <c r="U44" s="114" t="n">
        <f aca="false">IF(Unit_Cost_Prod!U41&gt;0,Unit_Cost!E$8/3600*Unit_Cost_Prod!U41,"SLO 不可達")</f>
        <v>29.9467782119297</v>
      </c>
      <c r="V44" s="114" t="n">
        <f aca="false">IF(Unit_Cost_Prod!V41&gt;0,Unit_Cost!F$8/3600*Unit_Cost_Prod!V41,"SLO 不可達")</f>
        <v>2.47824794341068</v>
      </c>
      <c r="W44" s="114" t="n">
        <f aca="false">IF(Unit_Cost_Prod!W41&gt;0,Unit_Cost!G$8/3600*Unit_Cost_Prod!W41,"SLO 不可達")</f>
        <v>3.30898231952609</v>
      </c>
      <c r="X44" s="114" t="n">
        <f aca="false">IF(Unit_Cost_Prod!X41&gt;0,Unit_Cost!H$8/3600*Unit_Cost_Prod!X41,"SLO 不可達")</f>
        <v>5.36690331700735</v>
      </c>
      <c r="Y44" s="114" t="n">
        <f aca="false">IF(Unit_Cost_Prod!Y41&gt;0,Unit_Cost!I$8/3600*Unit_Cost_Prod!Y41,"SLO 不可達")</f>
        <v>2.70047072784554</v>
      </c>
      <c r="Z44" s="114" t="n">
        <f aca="false">IF(Unit_Cost_Prod!Z41&gt;0,Unit_Cost!J$8/3600*Unit_Cost_Prod!Z41,"SLO 不可達")</f>
        <v>3.48781422353906</v>
      </c>
      <c r="AA44" s="114" t="n">
        <f aca="false">IF(Unit_Cost_Prod!AA41&gt;0,Unit_Cost!K$8/3600*Unit_Cost_Prod!AA41,"SLO 不可達")</f>
        <v>5.93817376587556</v>
      </c>
      <c r="AB44" s="114" t="n">
        <f aca="false">IF(Unit_Cost_Prod!AB41&gt;0,Unit_Cost!L$8/3600*Unit_Cost_Prod!AB41,"SLO 不可達")</f>
        <v>1.32608273033948</v>
      </c>
      <c r="AC44" s="114" t="n">
        <f aca="false">IF(Unit_Cost_Prod!AC41&gt;0,Unit_Cost!M$8/3600*Unit_Cost_Prod!AC41,"SLO 不可達")</f>
        <v>1.70435816575049</v>
      </c>
      <c r="AD44" s="114" t="n">
        <f aca="false">IF(Unit_Cost_Prod!AD41&gt;0,Unit_Cost!N$8/3600*Unit_Cost_Prod!AD41,"SLO 不可達")</f>
        <v>2.7534433949855</v>
      </c>
      <c r="AE44" s="114" t="n">
        <f aca="false">IF(Unit_Cost_Prod!AE41&gt;0,Unit_Cost!O$8/3600*Unit_Cost_Prod!AE41,"SLO 不可達")</f>
        <v>0.946026825683234</v>
      </c>
      <c r="AF44" s="114" t="n">
        <f aca="false">IF(Unit_Cost_Prod!AF41&gt;0,Unit_Cost!P$8/3600*Unit_Cost_Prod!AF41,"SLO 不可達")</f>
        <v>1.43783105963287</v>
      </c>
      <c r="AG44" s="114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2254</v>
      </c>
    </row>
    <row r="2" customFormat="false" ht="15" hidden="false" customHeight="false" outlineLevel="0" collapsed="false">
      <c r="A2" s="71" t="s">
        <v>2255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1" t="str">
        <f aca="false">Interface!C4</f>
        <v>Hopper H100</v>
      </c>
      <c r="D4" s="171" t="str">
        <f aca="false">Interface!D4</f>
        <v>Hopper H100</v>
      </c>
      <c r="E4" s="171" t="str">
        <f aca="false">Interface!E4</f>
        <v>Hopper H100</v>
      </c>
      <c r="F4" s="171" t="str">
        <f aca="false">Interface!F4</f>
        <v>GB200 NVL72</v>
      </c>
      <c r="G4" s="171" t="str">
        <f aca="false">Interface!G4</f>
        <v>GB200 NVL72</v>
      </c>
      <c r="H4" s="171" t="str">
        <f aca="false">Interface!H4</f>
        <v>GB200 NVL72</v>
      </c>
      <c r="I4" s="171" t="str">
        <f aca="false">Interface!I4</f>
        <v>GB300 NVL72</v>
      </c>
      <c r="J4" s="171" t="str">
        <f aca="false">Interface!J4</f>
        <v>GB300 NVL72</v>
      </c>
      <c r="K4" s="171" t="str">
        <f aca="false">Interface!K4</f>
        <v>GB300 NVL72</v>
      </c>
      <c r="L4" s="171" t="str">
        <f aca="false">Interface!L4</f>
        <v>VR200 NVL72</v>
      </c>
      <c r="M4" s="171" t="str">
        <f aca="false">Interface!M4</f>
        <v>VR200 NVL72</v>
      </c>
      <c r="N4" s="171" t="str">
        <f aca="false">Interface!N4</f>
        <v>VR200 NVL72</v>
      </c>
      <c r="O4" s="171" t="str">
        <f aca="false">Interface!O4</f>
        <v>Rubin Ultra（MGX NVL 單架，72 GPU）</v>
      </c>
      <c r="P4" s="171" t="str">
        <f aca="false">Interface!P4</f>
        <v>Rubin Ultra（MGX NVL 單架，72 GPU）</v>
      </c>
      <c r="Q4" s="171" t="str">
        <f aca="false">Interface!Q4</f>
        <v>Rubin Ultra（MGX NVL 單架，72 GPU）</v>
      </c>
      <c r="S4" s="171" t="str">
        <f aca="false">Interface!C4</f>
        <v>Hopper H100</v>
      </c>
      <c r="T4" s="171" t="str">
        <f aca="false">Interface!D4</f>
        <v>Hopper H100</v>
      </c>
      <c r="U4" s="171" t="str">
        <f aca="false">Interface!E4</f>
        <v>Hopper H100</v>
      </c>
      <c r="V4" s="171" t="str">
        <f aca="false">Interface!F4</f>
        <v>GB200 NVL72</v>
      </c>
      <c r="W4" s="171" t="str">
        <f aca="false">Interface!G4</f>
        <v>GB200 NVL72</v>
      </c>
      <c r="X4" s="171" t="str">
        <f aca="false">Interface!H4</f>
        <v>GB200 NVL72</v>
      </c>
      <c r="Y4" s="171" t="str">
        <f aca="false">Interface!I4</f>
        <v>GB300 NVL72</v>
      </c>
      <c r="Z4" s="171" t="str">
        <f aca="false">Interface!J4</f>
        <v>GB300 NVL72</v>
      </c>
      <c r="AA4" s="171" t="str">
        <f aca="false">Interface!K4</f>
        <v>GB300 NVL72</v>
      </c>
      <c r="AB4" s="171" t="str">
        <f aca="false">Interface!L4</f>
        <v>VR200 NVL72</v>
      </c>
      <c r="AC4" s="171" t="str">
        <f aca="false">Interface!M4</f>
        <v>VR200 NVL72</v>
      </c>
      <c r="AD4" s="171" t="str">
        <f aca="false">Interface!N4</f>
        <v>VR200 NVL72</v>
      </c>
      <c r="AE4" s="171" t="str">
        <f aca="false">Interface!O4</f>
        <v>Rubin Ultra（MGX NVL 單架，72 GPU）</v>
      </c>
      <c r="AF4" s="171" t="str">
        <f aca="false">Interface!P4</f>
        <v>Rubin Ultra（MGX NVL 單架，72 GPU）</v>
      </c>
      <c r="AG4" s="171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3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3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3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3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3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3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3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3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3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3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3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3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3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3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3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3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3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3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3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3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2256</v>
      </c>
      <c r="B21" s="56" t="s">
        <v>2247</v>
      </c>
      <c r="C21" s="163" t="n">
        <f aca="false">INDEX(Perf_Prod!$C$98:$Q$98,3*(Unit_Cost!C$6-1)+1)</f>
        <v>50766524969.9116</v>
      </c>
      <c r="D21" s="163" t="n">
        <f aca="false">INDEX(Perf_Prod!$C$98:$Q$98,3*(Unit_Cost!D$6-1)+1)</f>
        <v>50766524969.9116</v>
      </c>
      <c r="E21" s="163" t="n">
        <f aca="false">INDEX(Perf_Prod!$C$98:$Q$98,3*(Unit_Cost!E$6-1)+1)</f>
        <v>50766524969.9116</v>
      </c>
      <c r="F21" s="163" t="n">
        <f aca="false">INDEX(Perf_Prod!$C$98:$Q$98,3*(Unit_Cost!F$6-1)+1)</f>
        <v>283232558336.892</v>
      </c>
      <c r="G21" s="163" t="n">
        <f aca="false">INDEX(Perf_Prod!$C$98:$Q$98,3*(Unit_Cost!G$6-1)+1)</f>
        <v>283232558336.892</v>
      </c>
      <c r="H21" s="163" t="n">
        <f aca="false">INDEX(Perf_Prod!$C$98:$Q$98,3*(Unit_Cost!H$6-1)+1)</f>
        <v>283232558336.892</v>
      </c>
      <c r="I21" s="163" t="n">
        <f aca="false">INDEX(Perf_Prod!$C$98:$Q$98,3*(Unit_Cost!I$6-1)+1)</f>
        <v>412351490441.398</v>
      </c>
      <c r="J21" s="163" t="n">
        <f aca="false">INDEX(Perf_Prod!$C$98:$Q$98,3*(Unit_Cost!J$6-1)+1)</f>
        <v>412351490441.398</v>
      </c>
      <c r="K21" s="163" t="n">
        <f aca="false">INDEX(Perf_Prod!$C$98:$Q$98,3*(Unit_Cost!K$6-1)+1)</f>
        <v>412351490441.398</v>
      </c>
      <c r="L21" s="163" t="n">
        <f aca="false">INDEX(Perf_Prod!$C$98:$Q$98,3*(Unit_Cost!L$6-1)+1)</f>
        <v>608245746199.523</v>
      </c>
      <c r="M21" s="163" t="n">
        <f aca="false">INDEX(Perf_Prod!$C$98:$Q$98,3*(Unit_Cost!M$6-1)+1)</f>
        <v>608245746199.523</v>
      </c>
      <c r="N21" s="163" t="n">
        <f aca="false">INDEX(Perf_Prod!$C$98:$Q$98,3*(Unit_Cost!N$6-1)+1)</f>
        <v>608245746199.523</v>
      </c>
      <c r="O21" s="163" t="n">
        <f aca="false">INDEX(Perf_Prod!$C$98:$Q$98,3*(Unit_Cost!O$6-1)+1)</f>
        <v>823407904790.176</v>
      </c>
      <c r="P21" s="163" t="n">
        <f aca="false">INDEX(Perf_Prod!$C$98:$Q$98,3*(Unit_Cost!P$6-1)+1)</f>
        <v>823407904790.176</v>
      </c>
      <c r="Q21" s="163" t="n">
        <f aca="false">INDEX(Perf_Prod!$C$98:$Q$98,3*(Unit_Cost!Q$6-1)+1)</f>
        <v>823407904790.176</v>
      </c>
      <c r="S21" s="163" t="n">
        <f aca="false">INDEX(Perf_Prod!$S$98:$AG$98,3*(Unit_Cost!C$6-1)+1)</f>
        <v>74067251304.9223</v>
      </c>
      <c r="T21" s="163" t="n">
        <f aca="false">INDEX(Perf_Prod!$S$98:$AG$98,3*(Unit_Cost!D$6-1)+1)</f>
        <v>74067251304.9223</v>
      </c>
      <c r="U21" s="163" t="n">
        <f aca="false">INDEX(Perf_Prod!$S$98:$AG$98,3*(Unit_Cost!E$6-1)+1)</f>
        <v>74067251304.9223</v>
      </c>
      <c r="V21" s="163" t="n">
        <f aca="false">INDEX(Perf_Prod!$S$98:$AG$98,3*(Unit_Cost!F$6-1)+1)</f>
        <v>362306894085.614</v>
      </c>
      <c r="W21" s="163" t="n">
        <f aca="false">INDEX(Perf_Prod!$S$98:$AG$98,3*(Unit_Cost!G$6-1)+1)</f>
        <v>362306894085.614</v>
      </c>
      <c r="X21" s="163" t="n">
        <f aca="false">INDEX(Perf_Prod!$S$98:$AG$98,3*(Unit_Cost!H$6-1)+1)</f>
        <v>362306894085.614</v>
      </c>
      <c r="Y21" s="163" t="n">
        <f aca="false">INDEX(Perf_Prod!$S$98:$AG$98,3*(Unit_Cost!I$6-1)+1)</f>
        <v>527473919843.971</v>
      </c>
      <c r="Z21" s="163" t="n">
        <f aca="false">INDEX(Perf_Prod!$S$98:$AG$98,3*(Unit_Cost!J$6-1)+1)</f>
        <v>527473919843.971</v>
      </c>
      <c r="AA21" s="163" t="n">
        <f aca="false">INDEX(Perf_Prod!$S$98:$AG$98,3*(Unit_Cost!K$6-1)+1)</f>
        <v>527473919843.971</v>
      </c>
      <c r="AB21" s="163" t="n">
        <f aca="false">INDEX(Perf_Prod!$S$98:$AG$98,3*(Unit_Cost!L$6-1)+1)</f>
        <v>772778400993.445</v>
      </c>
      <c r="AC21" s="163" t="n">
        <f aca="false">INDEX(Perf_Prod!$S$98:$AG$98,3*(Unit_Cost!M$6-1)+1)</f>
        <v>772778400993.445</v>
      </c>
      <c r="AD21" s="163" t="n">
        <f aca="false">INDEX(Perf_Prod!$S$98:$AG$98,3*(Unit_Cost!N$6-1)+1)</f>
        <v>772778400993.445</v>
      </c>
      <c r="AE21" s="163" t="n">
        <f aca="false">INDEX(Perf_Prod!$S$98:$AG$98,3*(Unit_Cost!O$6-1)+1)</f>
        <v>1044373713057.39</v>
      </c>
      <c r="AF21" s="163" t="n">
        <f aca="false">INDEX(Perf_Prod!$S$98:$AG$98,3*(Unit_Cost!P$6-1)+1)</f>
        <v>1044373713057.39</v>
      </c>
      <c r="AG21" s="163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2257</v>
      </c>
      <c r="B23" s="56" t="s">
        <v>791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2258</v>
      </c>
      <c r="B25" s="56" t="s">
        <v>791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2259</v>
      </c>
      <c r="B31" s="56" t="s">
        <v>2247</v>
      </c>
      <c r="C31" s="163" t="n">
        <f aca="false">INDEX(Perf_Prod!$C$98:$Q$98,3*(Unit_Cost!C$6-1)+2)</f>
        <v>15694514740.0473</v>
      </c>
      <c r="D31" s="163" t="n">
        <f aca="false">INDEX(Perf_Prod!$C$98:$Q$98,3*(Unit_Cost!D$6-1)+2)</f>
        <v>15694514740.0473</v>
      </c>
      <c r="E31" s="163" t="n">
        <f aca="false">INDEX(Perf_Prod!$C$98:$Q$98,3*(Unit_Cost!E$6-1)+2)</f>
        <v>15694514740.0473</v>
      </c>
      <c r="F31" s="163" t="n">
        <f aca="false">INDEX(Perf_Prod!$C$98:$Q$98,3*(Unit_Cost!F$6-1)+2)</f>
        <v>83122186024.2059</v>
      </c>
      <c r="G31" s="163" t="n">
        <f aca="false">INDEX(Perf_Prod!$C$98:$Q$98,3*(Unit_Cost!G$6-1)+2)</f>
        <v>83122186024.2059</v>
      </c>
      <c r="H31" s="163" t="n">
        <f aca="false">INDEX(Perf_Prod!$C$98:$Q$98,3*(Unit_Cost!H$6-1)+2)</f>
        <v>83122186024.2059</v>
      </c>
      <c r="I31" s="163" t="n">
        <f aca="false">INDEX(Perf_Prod!$C$98:$Q$98,3*(Unit_Cost!I$6-1)+2)</f>
        <v>121015597560.854</v>
      </c>
      <c r="J31" s="163" t="n">
        <f aca="false">INDEX(Perf_Prod!$C$98:$Q$98,3*(Unit_Cost!J$6-1)+2)</f>
        <v>121015597560.854</v>
      </c>
      <c r="K31" s="163" t="n">
        <f aca="false">INDEX(Perf_Prod!$C$98:$Q$98,3*(Unit_Cost!K$6-1)+2)</f>
        <v>121015597560.854</v>
      </c>
      <c r="L31" s="163" t="n">
        <f aca="false">INDEX(Perf_Prod!$C$98:$Q$98,3*(Unit_Cost!L$6-1)+2)</f>
        <v>191644052868.822</v>
      </c>
      <c r="M31" s="163" t="n">
        <f aca="false">INDEX(Perf_Prod!$C$98:$Q$98,3*(Unit_Cost!M$6-1)+2)</f>
        <v>191644052868.822</v>
      </c>
      <c r="N31" s="163" t="n">
        <f aca="false">INDEX(Perf_Prod!$C$98:$Q$98,3*(Unit_Cost!N$6-1)+2)</f>
        <v>191644052868.822</v>
      </c>
      <c r="O31" s="163" t="n">
        <f aca="false">INDEX(Perf_Prod!$C$98:$Q$98,3*(Unit_Cost!O$6-1)+2)</f>
        <v>264164840872.129</v>
      </c>
      <c r="P31" s="163" t="n">
        <f aca="false">INDEX(Perf_Prod!$C$98:$Q$98,3*(Unit_Cost!P$6-1)+2)</f>
        <v>264164840872.129</v>
      </c>
      <c r="Q31" s="163" t="n">
        <f aca="false">INDEX(Perf_Prod!$C$98:$Q$98,3*(Unit_Cost!Q$6-1)+2)</f>
        <v>264164840872.129</v>
      </c>
      <c r="S31" s="163" t="n">
        <f aca="false">INDEX(Perf_Prod!$S$98:$AG$98,3*(Unit_Cost!C$6-1)+2)</f>
        <v>21490429685.4234</v>
      </c>
      <c r="T31" s="163" t="n">
        <f aca="false">INDEX(Perf_Prod!$S$98:$AG$98,3*(Unit_Cost!D$6-1)+2)</f>
        <v>21490429685.4234</v>
      </c>
      <c r="U31" s="163" t="n">
        <f aca="false">INDEX(Perf_Prod!$S$98:$AG$98,3*(Unit_Cost!E$6-1)+2)</f>
        <v>21490429685.4234</v>
      </c>
      <c r="V31" s="163" t="n">
        <f aca="false">INDEX(Perf_Prod!$S$98:$AG$98,3*(Unit_Cost!F$6-1)+2)</f>
        <v>104125401080.667</v>
      </c>
      <c r="W31" s="163" t="n">
        <f aca="false">INDEX(Perf_Prod!$S$98:$AG$98,3*(Unit_Cost!G$6-1)+2)</f>
        <v>104125401080.667</v>
      </c>
      <c r="X31" s="163" t="n">
        <f aca="false">INDEX(Perf_Prod!$S$98:$AG$98,3*(Unit_Cost!H$6-1)+2)</f>
        <v>104125401080.667</v>
      </c>
      <c r="Y31" s="163" t="n">
        <f aca="false">INDEX(Perf_Prod!$S$98:$AG$98,3*(Unit_Cost!I$6-1)+2)</f>
        <v>151593674754.548</v>
      </c>
      <c r="Z31" s="163" t="n">
        <f aca="false">INDEX(Perf_Prod!$S$98:$AG$98,3*(Unit_Cost!J$6-1)+2)</f>
        <v>151593674754.548</v>
      </c>
      <c r="AA31" s="163" t="n">
        <f aca="false">INDEX(Perf_Prod!$S$98:$AG$98,3*(Unit_Cost!K$6-1)+2)</f>
        <v>151593674754.548</v>
      </c>
      <c r="AB31" s="163" t="n">
        <f aca="false">INDEX(Perf_Prod!$S$98:$AG$98,3*(Unit_Cost!L$6-1)+2)</f>
        <v>237287338734.99</v>
      </c>
      <c r="AC31" s="163" t="n">
        <f aca="false">INDEX(Perf_Prod!$S$98:$AG$98,3*(Unit_Cost!M$6-1)+2)</f>
        <v>237287338734.99</v>
      </c>
      <c r="AD31" s="163" t="n">
        <f aca="false">INDEX(Perf_Prod!$S$98:$AG$98,3*(Unit_Cost!N$6-1)+2)</f>
        <v>237287338734.99</v>
      </c>
      <c r="AE31" s="163" t="n">
        <f aca="false">INDEX(Perf_Prod!$S$98:$AG$98,3*(Unit_Cost!O$6-1)+2)</f>
        <v>326185670522.351</v>
      </c>
      <c r="AF31" s="163" t="n">
        <f aca="false">INDEX(Perf_Prod!$S$98:$AG$98,3*(Unit_Cost!P$6-1)+2)</f>
        <v>326185670522.351</v>
      </c>
      <c r="AG31" s="163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2260</v>
      </c>
      <c r="B33" s="56" t="s">
        <v>791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2261</v>
      </c>
      <c r="B35" s="56" t="s">
        <v>791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2262</v>
      </c>
      <c r="B41" s="56" t="s">
        <v>2247</v>
      </c>
      <c r="C41" s="163" t="n">
        <f aca="false">INDEX(Perf_Prod!$C$98:$Q$98,3*(Unit_Cost!C$6-1)+3)</f>
        <v>1885135732.48487</v>
      </c>
      <c r="D41" s="163" t="n">
        <f aca="false">INDEX(Perf_Prod!$C$98:$Q$98,3*(Unit_Cost!D$6-1)+3)</f>
        <v>1885135732.48487</v>
      </c>
      <c r="E41" s="163" t="n">
        <f aca="false">INDEX(Perf_Prod!$C$98:$Q$98,3*(Unit_Cost!E$6-1)+3)</f>
        <v>1885135732.48487</v>
      </c>
      <c r="F41" s="163" t="n">
        <f aca="false">INDEX(Perf_Prod!$C$98:$Q$98,3*(Unit_Cost!F$6-1)+3)</f>
        <v>14685984375.9429</v>
      </c>
      <c r="G41" s="163" t="n">
        <f aca="false">INDEX(Perf_Prod!$C$98:$Q$98,3*(Unit_Cost!G$6-1)+3)</f>
        <v>14685984375.9429</v>
      </c>
      <c r="H41" s="163" t="n">
        <f aca="false">INDEX(Perf_Prod!$C$98:$Q$98,3*(Unit_Cost!H$6-1)+3)</f>
        <v>14685984375.9429</v>
      </c>
      <c r="I41" s="163" t="n">
        <f aca="false">INDEX(Perf_Prod!$C$98:$Q$98,3*(Unit_Cost!I$6-1)+3)</f>
        <v>16941591354.3218</v>
      </c>
      <c r="J41" s="163" t="n">
        <f aca="false">INDEX(Perf_Prod!$C$98:$Q$98,3*(Unit_Cost!J$6-1)+3)</f>
        <v>16941591354.3218</v>
      </c>
      <c r="K41" s="163" t="n">
        <f aca="false">INDEX(Perf_Prod!$C$98:$Q$98,3*(Unit_Cost!K$6-1)+3)</f>
        <v>16941591354.3218</v>
      </c>
      <c r="L41" s="163" t="n">
        <f aca="false">INDEX(Perf_Prod!$C$98:$Q$98,3*(Unit_Cost!L$6-1)+3)</f>
        <v>39187225969.8546</v>
      </c>
      <c r="M41" s="163" t="n">
        <f aca="false">INDEX(Perf_Prod!$C$98:$Q$98,3*(Unit_Cost!M$6-1)+3)</f>
        <v>39187225969.8546</v>
      </c>
      <c r="N41" s="163" t="n">
        <f aca="false">INDEX(Perf_Prod!$C$98:$Q$98,3*(Unit_Cost!N$6-1)+3)</f>
        <v>39187225969.8546</v>
      </c>
      <c r="O41" s="163" t="n">
        <f aca="false">INDEX(Perf_Prod!$C$98:$Q$98,3*(Unit_Cost!O$6-1)+3)</f>
        <v>57760514272.72</v>
      </c>
      <c r="P41" s="163" t="n">
        <f aca="false">INDEX(Perf_Prod!$C$98:$Q$98,3*(Unit_Cost!P$6-1)+3)</f>
        <v>57760514272.72</v>
      </c>
      <c r="Q41" s="163" t="n">
        <f aca="false">INDEX(Perf_Prod!$C$98:$Q$98,3*(Unit_Cost!Q$6-1)+3)</f>
        <v>57760514272.72</v>
      </c>
      <c r="S41" s="163" t="n">
        <f aca="false">INDEX(Perf_Prod!$S$98:$AG$98,3*(Unit_Cost!C$6-1)+3)</f>
        <v>3876518295.93805</v>
      </c>
      <c r="T41" s="163" t="n">
        <f aca="false">INDEX(Perf_Prod!$S$98:$AG$98,3*(Unit_Cost!D$6-1)+3)</f>
        <v>3876518295.93805</v>
      </c>
      <c r="U41" s="163" t="n">
        <f aca="false">INDEX(Perf_Prod!$S$98:$AG$98,3*(Unit_Cost!E$6-1)+3)</f>
        <v>3876518295.93805</v>
      </c>
      <c r="V41" s="163" t="n">
        <f aca="false">INDEX(Perf_Prod!$S$98:$AG$98,3*(Unit_Cost!F$6-1)+3)</f>
        <v>20041838664.2467</v>
      </c>
      <c r="W41" s="163" t="n">
        <f aca="false">INDEX(Perf_Prod!$S$98:$AG$98,3*(Unit_Cost!G$6-1)+3)</f>
        <v>20041838664.2467</v>
      </c>
      <c r="X41" s="163" t="n">
        <f aca="false">INDEX(Perf_Prod!$S$98:$AG$98,3*(Unit_Cost!H$6-1)+3)</f>
        <v>20041838664.2467</v>
      </c>
      <c r="Y41" s="163" t="n">
        <f aca="false">INDEX(Perf_Prod!$S$98:$AG$98,3*(Unit_Cost!I$6-1)+3)</f>
        <v>24234237528.7831</v>
      </c>
      <c r="Z41" s="163" t="n">
        <f aca="false">INDEX(Perf_Prod!$S$98:$AG$98,3*(Unit_Cost!J$6-1)+3)</f>
        <v>24234237528.7831</v>
      </c>
      <c r="AA41" s="163" t="n">
        <f aca="false">INDEX(Perf_Prod!$S$98:$AG$98,3*(Unit_Cost!K$6-1)+3)</f>
        <v>24234237528.7831</v>
      </c>
      <c r="AB41" s="163" t="n">
        <f aca="false">INDEX(Perf_Prod!$S$98:$AG$98,3*(Unit_Cost!L$6-1)+3)</f>
        <v>51167890551.5595</v>
      </c>
      <c r="AC41" s="163" t="n">
        <f aca="false">INDEX(Perf_Prod!$S$98:$AG$98,3*(Unit_Cost!M$6-1)+3)</f>
        <v>51167890551.5595</v>
      </c>
      <c r="AD41" s="163" t="n">
        <f aca="false">INDEX(Perf_Prod!$S$98:$AG$98,3*(Unit_Cost!N$6-1)+3)</f>
        <v>51167890551.5595</v>
      </c>
      <c r="AE41" s="163" t="n">
        <f aca="false">INDEX(Perf_Prod!$S$98:$AG$98,3*(Unit_Cost!O$6-1)+3)</f>
        <v>74400955991.7707</v>
      </c>
      <c r="AF41" s="163" t="n">
        <f aca="false">INDEX(Perf_Prod!$S$98:$AG$98,3*(Unit_Cost!P$6-1)+3)</f>
        <v>74400955991.7707</v>
      </c>
      <c r="AG41" s="163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2263</v>
      </c>
      <c r="B43" s="56" t="s">
        <v>791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2264</v>
      </c>
      <c r="B45" s="56" t="s">
        <v>791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2265</v>
      </c>
      <c r="B60" s="56" t="s">
        <v>861</v>
      </c>
      <c r="C60" s="163" t="n">
        <f aca="false">INDEX(Training_Prod!$C$120:$Q$120,3*(Unit_Cost!C$6-1)+1)*Unit_Cost!C$8/1000000</f>
        <v>62.4155150508185</v>
      </c>
      <c r="D60" s="163" t="n">
        <f aca="false">INDEX(Training_Prod!$C$120:$Q$120,3*(Unit_Cost!D$6-1)+1)*Unit_Cost!D$8/1000000</f>
        <v>89.1792862643289</v>
      </c>
      <c r="E60" s="163" t="n">
        <f aca="false">INDEX(Training_Prod!$C$120:$Q$120,3*(Unit_Cost!E$6-1)+1)*Unit_Cost!E$8/1000000</f>
        <v>153.153635281764</v>
      </c>
      <c r="F60" s="163" t="n">
        <f aca="false">INDEX(Training_Prod!$C$120:$Q$120,3*(Unit_Cost!F$6-1)+1)*Unit_Cost!F$8/1000000</f>
        <v>27.4775824046781</v>
      </c>
      <c r="G60" s="163" t="n">
        <f aca="false">INDEX(Training_Prod!$C$120:$Q$120,3*(Unit_Cost!G$6-1)+1)*Unit_Cost!G$8/1000000</f>
        <v>36.6883525928678</v>
      </c>
      <c r="H60" s="163" t="n">
        <f aca="false">INDEX(Training_Prod!$C$120:$Q$120,3*(Unit_Cost!H$6-1)+1)*Unit_Cost!H$8/1000000</f>
        <v>59.5055585713732</v>
      </c>
      <c r="I60" s="163" t="n">
        <f aca="false">INDEX(Training_Prod!$C$120:$Q$120,3*(Unit_Cost!I$6-1)+1)*Unit_Cost!I$8/1000000</f>
        <v>30.2861025630403</v>
      </c>
      <c r="J60" s="163" t="n">
        <f aca="false">INDEX(Training_Prod!$C$120:$Q$120,3*(Unit_Cost!J$6-1)+1)*Unit_Cost!J$8/1000000</f>
        <v>39.1162541425544</v>
      </c>
      <c r="K60" s="163" t="n">
        <f aca="false">INDEX(Training_Prod!$C$120:$Q$120,3*(Unit_Cost!K$6-1)+1)*Unit_Cost!K$8/1000000</f>
        <v>66.5973298121782</v>
      </c>
      <c r="L60" s="163" t="n">
        <f aca="false">INDEX(Training_Prod!$C$120:$Q$120,3*(Unit_Cost!L$6-1)+1)*Unit_Cost!L$8/1000000</f>
        <v>23.1455603488781</v>
      </c>
      <c r="M60" s="163" t="n">
        <f aca="false">INDEX(Training_Prod!$C$120:$Q$120,3*(Unit_Cost!M$6-1)+1)*Unit_Cost!M$8/1000000</f>
        <v>29.748011853968</v>
      </c>
      <c r="N60" s="163" t="n">
        <f aca="false">INDEX(Training_Prod!$C$120:$Q$120,3*(Unit_Cost!N$6-1)+1)*Unit_Cost!N$8/1000000</f>
        <v>48.0588343455326</v>
      </c>
      <c r="O60" s="163" t="n">
        <f aca="false">INDEX(Training_Prod!$C$120:$Q$120,3*(Unit_Cost!O$6-1)+1)*Unit_Cost!O$8/1000000</f>
        <v>15.7174016683683</v>
      </c>
      <c r="P60" s="163" t="n">
        <f aca="false">INDEX(Training_Prod!$C$120:$Q$120,3*(Unit_Cost!P$6-1)+1)*Unit_Cost!P$8/1000000</f>
        <v>23.8882954288152</v>
      </c>
      <c r="Q60" s="163" t="n">
        <f aca="false">INDEX(Training_Prod!$C$120:$Q$120,3*(Unit_Cost!Q$6-1)+1)*Unit_Cost!Q$8/1000000</f>
        <v>43.6090740867206</v>
      </c>
      <c r="S60" s="163" t="n">
        <f aca="false">INDEX(Training_Prod!$S$120:$AG$120,3*(Unit_Cost!C$6-1)+1)*Unit_Cost!C$8/1000000</f>
        <v>55.2274524338284</v>
      </c>
      <c r="T60" s="163" t="n">
        <f aca="false">INDEX(Training_Prod!$S$120:$AG$120,3*(Unit_Cost!D$6-1)+1)*Unit_Cost!D$8/1000000</f>
        <v>78.9089825860758</v>
      </c>
      <c r="U60" s="163" t="n">
        <f aca="false">INDEX(Training_Prod!$S$120:$AG$120,3*(Unit_Cost!E$6-1)+1)*Unit_Cost!E$8/1000000</f>
        <v>135.515746376599</v>
      </c>
      <c r="V60" s="163" t="n">
        <f aca="false">INDEX(Training_Prod!$S$120:$AG$120,3*(Unit_Cost!F$6-1)+1)*Unit_Cost!F$8/1000000</f>
        <v>25.0277109184711</v>
      </c>
      <c r="W60" s="163" t="n">
        <f aca="false">INDEX(Training_Prod!$S$120:$AG$120,3*(Unit_Cost!G$6-1)+1)*Unit_Cost!G$8/1000000</f>
        <v>33.4172588128753</v>
      </c>
      <c r="X60" s="163" t="n">
        <f aca="false">INDEX(Training_Prod!$S$120:$AG$120,3*(Unit_Cost!H$6-1)+1)*Unit_Cost!H$8/1000000</f>
        <v>54.2001074196734</v>
      </c>
      <c r="Y60" s="163" t="n">
        <f aca="false">INDEX(Training_Prod!$S$120:$AG$120,3*(Unit_Cost!I$6-1)+1)*Unit_Cost!I$8/1000000</f>
        <v>28.059514355151</v>
      </c>
      <c r="Z60" s="163" t="n">
        <f aca="false">INDEX(Training_Prod!$S$120:$AG$120,3*(Unit_Cost!J$6-1)+1)*Unit_Cost!J$8/1000000</f>
        <v>36.2404866175213</v>
      </c>
      <c r="AA60" s="163" t="n">
        <f aca="false">INDEX(Training_Prod!$S$120:$AG$120,3*(Unit_Cost!K$6-1)+1)*Unit_Cost!K$8/1000000</f>
        <v>61.7011953911825</v>
      </c>
      <c r="AB60" s="163" t="n">
        <f aca="false">INDEX(Training_Prod!$S$120:$AG$120,3*(Unit_Cost!L$6-1)+1)*Unit_Cost!L$8/1000000</f>
        <v>20.9678485935643</v>
      </c>
      <c r="AC60" s="163" t="n">
        <f aca="false">INDEX(Training_Prod!$S$120:$AG$120,3*(Unit_Cost!M$6-1)+1)*Unit_Cost!M$8/1000000</f>
        <v>26.9490908455707</v>
      </c>
      <c r="AD60" s="163" t="n">
        <f aca="false">INDEX(Training_Prod!$S$120:$AG$120,3*(Unit_Cost!N$6-1)+1)*Unit_Cost!N$8/1000000</f>
        <v>43.5370907833372</v>
      </c>
      <c r="AE60" s="163" t="n">
        <f aca="false">INDEX(Training_Prod!$S$120:$AG$120,3*(Unit_Cost!O$6-1)+1)*Unit_Cost!O$8/1000000</f>
        <v>14.4511701546132</v>
      </c>
      <c r="AF60" s="163" t="n">
        <f aca="false">INDEX(Training_Prod!$S$120:$AG$120,3*(Unit_Cost!P$6-1)+1)*Unit_Cost!P$8/1000000</f>
        <v>21.9637971484962</v>
      </c>
      <c r="AG60" s="163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8" t="s">
        <v>2266</v>
      </c>
      <c r="B69" s="56" t="s">
        <v>861</v>
      </c>
      <c r="C69" s="163" t="n">
        <f aca="false">INDEX(Training_Prod!$C$120:$Q$120,3*(Unit_Cost!C$6-1)+2)*Unit_Cost!C$8/1000000</f>
        <v>173.572457089909</v>
      </c>
      <c r="D69" s="163" t="n">
        <f aca="false">INDEX(Training_Prod!$C$120:$Q$120,3*(Unit_Cost!D$6-1)+2)*Unit_Cost!D$8/1000000</f>
        <v>248.000322128575</v>
      </c>
      <c r="E69" s="163" t="n">
        <f aca="false">INDEX(Training_Prod!$C$120:$Q$120,3*(Unit_Cost!E$6-1)+2)*Unit_Cost!E$8/1000000</f>
        <v>425.907769349711</v>
      </c>
      <c r="F69" s="163" t="n">
        <f aca="false">INDEX(Training_Prod!$C$120:$Q$120,3*(Unit_Cost!F$6-1)+2)*Unit_Cost!F$8/1000000</f>
        <v>79.5923403673566</v>
      </c>
      <c r="G69" s="163" t="n">
        <f aca="false">INDEX(Training_Prod!$C$120:$Q$120,3*(Unit_Cost!G$6-1)+2)*Unit_Cost!G$8/1000000</f>
        <v>106.272517140809</v>
      </c>
      <c r="H69" s="163" t="n">
        <f aca="false">INDEX(Training_Prod!$C$120:$Q$120,3*(Unit_Cost!H$6-1)+2)*Unit_Cost!H$8/1000000</f>
        <v>172.365479677574</v>
      </c>
      <c r="I69" s="163" t="n">
        <f aca="false">INDEX(Training_Prod!$C$120:$Q$120,3*(Unit_Cost!I$6-1)+2)*Unit_Cost!I$8/1000000</f>
        <v>91.2329276300195</v>
      </c>
      <c r="J69" s="163" t="n">
        <f aca="false">INDEX(Training_Prod!$C$120:$Q$120,3*(Unit_Cost!J$6-1)+2)*Unit_Cost!J$8/1000000</f>
        <v>117.832605760907</v>
      </c>
      <c r="K69" s="163" t="n">
        <f aca="false">INDEX(Training_Prod!$C$120:$Q$120,3*(Unit_Cost!K$6-1)+2)*Unit_Cost!K$8/1000000</f>
        <v>200.61575630143</v>
      </c>
      <c r="L69" s="163" t="n">
        <f aca="false">INDEX(Training_Prod!$C$120:$Q$120,3*(Unit_Cost!L$6-1)+2)*Unit_Cost!L$8/1000000</f>
        <v>66.0090591651247</v>
      </c>
      <c r="M69" s="163" t="n">
        <f aca="false">INDEX(Training_Prod!$C$120:$Q$120,3*(Unit_Cost!M$6-1)+2)*Unit_Cost!M$8/1000000</f>
        <v>84.8386578209839</v>
      </c>
      <c r="N69" s="163" t="n">
        <f aca="false">INDEX(Training_Prod!$C$120:$Q$120,3*(Unit_Cost!N$6-1)+2)*Unit_Cost!N$8/1000000</f>
        <v>137.059478876473</v>
      </c>
      <c r="O69" s="163" t="n">
        <f aca="false">INDEX(Training_Prod!$C$120:$Q$120,3*(Unit_Cost!O$6-1)+2)*Unit_Cost!O$8/1000000</f>
        <v>46.4062309773387</v>
      </c>
      <c r="P69" s="163" t="n">
        <f aca="false">INDEX(Training_Prod!$C$120:$Q$120,3*(Unit_Cost!P$6-1)+2)*Unit_Cost!P$8/1000000</f>
        <v>70.5311080492091</v>
      </c>
      <c r="Q69" s="163" t="n">
        <f aca="false">INDEX(Training_Prod!$C$120:$Q$120,3*(Unit_Cost!Q$6-1)+2)*Unit_Cost!Q$8/1000000</f>
        <v>128.757463063952</v>
      </c>
      <c r="S69" s="163" t="n">
        <f aca="false">INDEX(Training_Prod!$S$120:$AG$120,3*(Unit_Cost!C$6-1)+2)*Unit_Cost!C$8/1000000</f>
        <v>157.188196940514</v>
      </c>
      <c r="T69" s="163" t="n">
        <f aca="false">INDEX(Training_Prod!$S$120:$AG$120,3*(Unit_Cost!D$6-1)+2)*Unit_Cost!D$8/1000000</f>
        <v>224.590491657698</v>
      </c>
      <c r="U69" s="163" t="n">
        <f aca="false">INDEX(Training_Prod!$S$120:$AG$120,3*(Unit_Cost!E$6-1)+2)*Unit_Cost!E$8/1000000</f>
        <v>385.704480131656</v>
      </c>
      <c r="V69" s="163" t="n">
        <f aca="false">INDEX(Training_Prod!$S$120:$AG$120,3*(Unit_Cost!F$6-1)+2)*Unit_Cost!F$8/1000000</f>
        <v>74.0361250834957</v>
      </c>
      <c r="W69" s="163" t="n">
        <f aca="false">INDEX(Training_Prod!$S$120:$AG$120,3*(Unit_Cost!G$6-1)+2)*Unit_Cost!G$8/1000000</f>
        <v>98.8538009519539</v>
      </c>
      <c r="X69" s="163" t="n">
        <f aca="false">INDEX(Training_Prod!$S$120:$AG$120,3*(Unit_Cost!H$6-1)+2)*Unit_Cost!H$8/1000000</f>
        <v>160.332918401272</v>
      </c>
      <c r="Y69" s="163" t="n">
        <f aca="false">INDEX(Training_Prod!$S$120:$AG$120,3*(Unit_Cost!I$6-1)+2)*Unit_Cost!I$8/1000000</f>
        <v>86.2049176761941</v>
      </c>
      <c r="Z69" s="163" t="n">
        <f aca="false">INDEX(Training_Prod!$S$120:$AG$120,3*(Unit_Cost!J$6-1)+2)*Unit_Cost!J$8/1000000</f>
        <v>111.33863993035</v>
      </c>
      <c r="AA69" s="163" t="n">
        <f aca="false">INDEX(Training_Prod!$S$120:$AG$120,3*(Unit_Cost!K$6-1)+2)*Unit_Cost!K$8/1000000</f>
        <v>189.559462858032</v>
      </c>
      <c r="AB69" s="163" t="n">
        <f aca="false">INDEX(Training_Prod!$S$120:$AG$120,3*(Unit_Cost!L$6-1)+2)*Unit_Cost!L$8/1000000</f>
        <v>61.07819684623</v>
      </c>
      <c r="AC69" s="163" t="n">
        <f aca="false">INDEX(Training_Prod!$S$120:$AG$120,3*(Unit_Cost!M$6-1)+2)*Unit_Cost!M$8/1000000</f>
        <v>78.50122859042</v>
      </c>
      <c r="AD69" s="163" t="n">
        <f aca="false">INDEX(Training_Prod!$S$120:$AG$120,3*(Unit_Cost!N$6-1)+2)*Unit_Cost!N$8/1000000</f>
        <v>126.821165705719</v>
      </c>
      <c r="AE69" s="163" t="n">
        <f aca="false">INDEX(Training_Prod!$S$120:$AG$120,3*(Unit_Cost!O$6-1)+2)*Unit_Cost!O$8/1000000</f>
        <v>43.536770447398</v>
      </c>
      <c r="AF69" s="163" t="n">
        <f aca="false">INDEX(Training_Prod!$S$120:$AG$120,3*(Unit_Cost!P$6-1)+2)*Unit_Cost!P$8/1000000</f>
        <v>66.1699214926233</v>
      </c>
      <c r="AG69" s="163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8" t="s">
        <v>2267</v>
      </c>
      <c r="B78" s="56" t="s">
        <v>861</v>
      </c>
      <c r="C78" s="163" t="n">
        <f aca="false">INDEX(Training_Prod!$C$120:$Q$120,3*(Unit_Cost!C$6-1)+3)*Unit_Cost!C$8/1000000</f>
        <v>1060.61145487942</v>
      </c>
      <c r="D78" s="163" t="n">
        <f aca="false">INDEX(Training_Prod!$C$120:$Q$120,3*(Unit_Cost!D$6-1)+3)*Unit_Cost!D$8/1000000</f>
        <v>1515.40161885883</v>
      </c>
      <c r="E78" s="163" t="n">
        <f aca="false">INDEX(Training_Prod!$C$120:$Q$120,3*(Unit_Cost!E$6-1)+3)*Unit_Cost!E$8/1000000</f>
        <v>2602.50195490669</v>
      </c>
      <c r="F78" s="163" t="n">
        <f aca="false">INDEX(Training_Prod!$C$120:$Q$120,3*(Unit_Cost!F$6-1)+3)*Unit_Cost!F$8/1000000</f>
        <v>496.148243569985</v>
      </c>
      <c r="G78" s="163" t="n">
        <f aca="false">INDEX(Training_Prod!$C$120:$Q$120,3*(Unit_Cost!G$6-1)+3)*Unit_Cost!G$8/1000000</f>
        <v>662.462273075692</v>
      </c>
      <c r="H78" s="163" t="n">
        <f aca="false">INDEX(Training_Prod!$C$120:$Q$120,3*(Unit_Cost!H$6-1)+3)*Unit_Cost!H$8/1000000</f>
        <v>1074.46055235235</v>
      </c>
      <c r="I78" s="163" t="n">
        <f aca="false">INDEX(Training_Prod!$C$120:$Q$120,3*(Unit_Cost!I$6-1)+3)*Unit_Cost!I$8/1000000</f>
        <v>580.887209767865</v>
      </c>
      <c r="J78" s="163" t="n">
        <f aca="false">INDEX(Training_Prod!$C$120:$Q$120,3*(Unit_Cost!J$6-1)+3)*Unit_Cost!J$8/1000000</f>
        <v>750.249447849658</v>
      </c>
      <c r="K78" s="163" t="n">
        <f aca="false">INDEX(Training_Prod!$C$120:$Q$120,3*(Unit_Cost!K$6-1)+3)*Unit_Cost!K$8/1000000</f>
        <v>1277.33626378841</v>
      </c>
      <c r="L78" s="163" t="n">
        <f aca="false">INDEX(Training_Prod!$C$120:$Q$120,3*(Unit_Cost!L$6-1)+3)*Unit_Cost!L$8/1000000</f>
        <v>407.691393322563</v>
      </c>
      <c r="M78" s="163" t="n">
        <f aca="false">INDEX(Training_Prod!$C$120:$Q$120,3*(Unit_Cost!M$6-1)+3)*Unit_Cost!M$8/1000000</f>
        <v>523.988541150536</v>
      </c>
      <c r="N78" s="163" t="n">
        <f aca="false">INDEX(Training_Prod!$C$120:$Q$120,3*(Unit_Cost!N$6-1)+3)*Unit_Cost!N$8/1000000</f>
        <v>846.519714383935</v>
      </c>
      <c r="O78" s="163" t="n">
        <f aca="false">INDEX(Training_Prod!$C$120:$Q$120,3*(Unit_Cost!O$6-1)+3)*Unit_Cost!O$8/1000000</f>
        <v>290.955020372766</v>
      </c>
      <c r="P78" s="163" t="n">
        <f aca="false">INDEX(Training_Prod!$C$120:$Q$120,3*(Unit_Cost!P$6-1)+3)*Unit_Cost!P$8/1000000</f>
        <v>442.211736380671</v>
      </c>
      <c r="Q78" s="163" t="n">
        <f aca="false">INDEX(Training_Prod!$C$120:$Q$120,3*(Unit_Cost!Q$6-1)+3)*Unit_Cost!Q$8/1000000</f>
        <v>807.275865760611</v>
      </c>
      <c r="S78" s="163" t="n">
        <f aca="false">INDEX(Training_Prod!$S$120:$AG$120,3*(Unit_Cost!C$6-1)+3)*Unit_Cost!C$8/1000000</f>
        <v>968.946393983648</v>
      </c>
      <c r="T78" s="163" t="n">
        <f aca="false">INDEX(Training_Prod!$S$120:$AG$120,3*(Unit_Cost!D$6-1)+3)*Unit_Cost!D$8/1000000</f>
        <v>1384.43058225991</v>
      </c>
      <c r="U78" s="163" t="n">
        <f aca="false">INDEX(Training_Prod!$S$120:$AG$120,3*(Unit_Cost!E$6-1)+3)*Unit_Cost!E$8/1000000</f>
        <v>2377.57651300204</v>
      </c>
      <c r="V78" s="163" t="n">
        <f aca="false">INDEX(Training_Prod!$S$120:$AG$120,3*(Unit_Cost!F$6-1)+3)*Unit_Cost!F$8/1000000</f>
        <v>465.455930936714</v>
      </c>
      <c r="W78" s="163" t="n">
        <f aca="false">INDEX(Training_Prod!$S$120:$AG$120,3*(Unit_Cost!G$6-1)+3)*Unit_Cost!G$8/1000000</f>
        <v>621.48157938889</v>
      </c>
      <c r="X78" s="163" t="n">
        <f aca="false">INDEX(Training_Prod!$S$120:$AG$120,3*(Unit_Cost!H$6-1)+3)*Unit_Cost!H$8/1000000</f>
        <v>1007.99316158296</v>
      </c>
      <c r="Y78" s="163" t="n">
        <f aca="false">INDEX(Training_Prod!$S$120:$AG$120,3*(Unit_Cost!I$6-1)+3)*Unit_Cost!I$8/1000000</f>
        <v>552.821212490455</v>
      </c>
      <c r="Z78" s="163" t="n">
        <f aca="false">INDEX(Training_Prod!$S$120:$AG$120,3*(Unit_Cost!J$6-1)+3)*Unit_Cost!J$8/1000000</f>
        <v>714.000588162868</v>
      </c>
      <c r="AA78" s="163" t="n">
        <f aca="false">INDEX(Training_Prod!$S$120:$AG$120,3*(Unit_Cost!K$6-1)+3)*Unit_Cost!K$8/1000000</f>
        <v>1215.62081283856</v>
      </c>
      <c r="AB78" s="163" t="n">
        <f aca="false">INDEX(Training_Prod!$S$120:$AG$120,3*(Unit_Cost!L$6-1)+3)*Unit_Cost!L$8/1000000</f>
        <v>380.652805094568</v>
      </c>
      <c r="AC78" s="163" t="n">
        <f aca="false">INDEX(Training_Prod!$S$120:$AG$120,3*(Unit_Cost!M$6-1)+3)*Unit_Cost!M$8/1000000</f>
        <v>489.236984869465</v>
      </c>
      <c r="AD78" s="163" t="n">
        <f aca="false">INDEX(Training_Prod!$S$120:$AG$120,3*(Unit_Cost!N$6-1)+3)*Unit_Cost!N$8/1000000</f>
        <v>790.377499073548</v>
      </c>
      <c r="AE78" s="163" t="n">
        <f aca="false">INDEX(Training_Prod!$S$120:$AG$120,3*(Unit_Cost!O$6-1)+3)*Unit_Cost!O$8/1000000</f>
        <v>275.298530538818</v>
      </c>
      <c r="AF78" s="163" t="n">
        <f aca="false">INDEX(Training_Prod!$S$120:$AG$120,3*(Unit_Cost!P$6-1)+3)*Unit_Cost!P$8/1000000</f>
        <v>418.416018588187</v>
      </c>
      <c r="AG78" s="163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2268</v>
      </c>
    </row>
    <row r="2" customFormat="false" ht="15" hidden="false" customHeight="false" outlineLevel="0" collapsed="false">
      <c r="A2" s="71" t="s">
        <v>2269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1687</v>
      </c>
      <c r="B18" s="71" t="s">
        <v>1688</v>
      </c>
      <c r="C18" s="87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7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7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7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7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7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7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7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7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7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7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7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7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7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7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7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7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7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7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7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7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7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7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7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7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7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7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7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7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7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8" t="s">
        <v>1689</v>
      </c>
      <c r="B19" s="56" t="s">
        <v>2247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8" t="s">
        <v>1690</v>
      </c>
      <c r="B20" s="56" t="s">
        <v>2247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9" t="s">
        <v>1691</v>
      </c>
      <c r="B21" s="56" t="s">
        <v>2247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9" t="s">
        <v>1692</v>
      </c>
      <c r="B22" s="56" t="s">
        <v>2247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9" t="s">
        <v>1694</v>
      </c>
      <c r="B24" s="56" t="s">
        <v>2247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9" t="s">
        <v>1695</v>
      </c>
      <c r="B25" s="56" t="s">
        <v>2247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9" t="s">
        <v>1697</v>
      </c>
      <c r="B27" s="56" t="s">
        <v>2247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9" t="s">
        <v>1698</v>
      </c>
      <c r="B28" s="56" t="s">
        <v>2247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2270</v>
      </c>
    </row>
    <row r="2" customFormat="false" ht="15" hidden="false" customHeight="false" outlineLevel="0" collapsed="false">
      <c r="A2" s="71" t="s">
        <v>2271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1707</v>
      </c>
      <c r="B10" s="56" t="s">
        <v>861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1" customFormat="false" ht="15" hidden="false" customHeight="false" outlineLevel="0" collapsed="false">
      <c r="A11" s="58" t="s">
        <v>1708</v>
      </c>
      <c r="B11" s="56" t="s">
        <v>2247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8" t="s">
        <v>1709</v>
      </c>
      <c r="B12" s="56" t="s">
        <v>1710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8" t="s">
        <v>1711</v>
      </c>
      <c r="B13" s="56" t="s">
        <v>791</v>
      </c>
      <c r="C13" s="172" t="n">
        <f aca="false">IF(ISNUMBER(Amortize_Prod!C12),IF(Amortize_Prod!C12&gt;0,Amortize_Prod!C10*1000000/Amortize_Prod!C12,0),"SLO 不可達")</f>
        <v>0.0133266692846916</v>
      </c>
      <c r="D13" s="172" t="n">
        <f aca="false">IF(ISNUMBER(Amortize_Prod!D12),IF(Amortize_Prod!D12&gt;0,Amortize_Prod!D10*1000000/Amortize_Prod!D12,0),"SLO 不可達")</f>
        <v>0.0190411447237424</v>
      </c>
      <c r="E13" s="172" t="n">
        <f aca="false">IF(ISNUMBER(Amortize_Prod!E12),IF(Amortize_Prod!E12&gt;0,Amortize_Prod!E10*1000000/Amortize_Prod!E12,0),"SLO 不可達")</f>
        <v>0.0327006489570189</v>
      </c>
      <c r="F13" s="172" t="n">
        <f aca="false">IF(ISNUMBER(Amortize_Prod!F12),IF(Amortize_Prod!F12&gt;0,Amortize_Prod!F10*1000000/Amortize_Prod!F12,0),"SLO 不可達")</f>
        <v>0.00104212192353947</v>
      </c>
      <c r="G13" s="172" t="n">
        <f aca="false">IF(ISNUMBER(Amortize_Prod!G12),IF(Amortize_Prod!G12&gt;0,Amortize_Prod!G10*1000000/Amortize_Prod!G12,0),"SLO 不可達")</f>
        <v>0.00139145198483927</v>
      </c>
      <c r="H13" s="172" t="n">
        <f aca="false">IF(ISNUMBER(Amortize_Prod!H12),IF(Amortize_Prod!H12&gt;0,Amortize_Prod!H10*1000000/Amortize_Prod!H12,0),"SLO 不可達")</f>
        <v>0.00225682326219255</v>
      </c>
      <c r="I13" s="172" t="n">
        <f aca="false">IF(ISNUMBER(Amortize_Prod!I12),IF(Amortize_Prod!I12&gt;0,Amortize_Prod!I10*1000000/Amortize_Prod!I12,0),"SLO 不可達")</f>
        <v>0.00080184045345498</v>
      </c>
      <c r="J13" s="172" t="n">
        <f aca="false">IF(ISNUMBER(Amortize_Prod!J12),IF(Amortize_Prod!J12&gt;0,Amortize_Prod!J10*1000000/Amortize_Prod!J12,0),"SLO 不可達")</f>
        <v>0.00103562334882278</v>
      </c>
      <c r="K13" s="172" t="n">
        <f aca="false">IF(ISNUMBER(Amortize_Prod!K12),IF(Amortize_Prod!K12&gt;0,Amortize_Prod!K10*1000000/Amortize_Prod!K12,0),"SLO 不可達")</f>
        <v>0.00176319924375661</v>
      </c>
      <c r="L13" s="172" t="n">
        <f aca="false">IF(ISNUMBER(Amortize_Prod!L12),IF(Amortize_Prod!L12&gt;0,Amortize_Prod!L10*1000000/Amortize_Prod!L12,0),"SLO 不可達")</f>
        <v>0.000394568032429428</v>
      </c>
      <c r="M13" s="172" t="n">
        <f aca="false">IF(ISNUMBER(Amortize_Prod!M12),IF(Amortize_Prod!M12&gt;0,Amortize_Prod!M10*1000000/Amortize_Prod!M12,0),"SLO 不可達")</f>
        <v>0.000507121639268344</v>
      </c>
      <c r="N13" s="172" t="n">
        <f aca="false">IF(ISNUMBER(Amortize_Prod!N12),IF(Amortize_Prod!N12&gt;0,Amortize_Prod!N10*1000000/Amortize_Prod!N12,0),"SLO 不可達")</f>
        <v>0.000819270712082275</v>
      </c>
      <c r="O13" s="172" t="n">
        <f aca="false">IF(ISNUMBER(Amortize_Prod!O12),IF(Amortize_Prod!O12&gt;0,Amortize_Prod!O10*1000000/Amortize_Prod!O12,0),"SLO 不可達")</f>
        <v>0.000195710014938864</v>
      </c>
      <c r="P13" s="172" t="n">
        <f aca="false">IF(ISNUMBER(Amortize_Prod!P12),IF(Amortize_Prod!P12&gt;0,Amortize_Prod!P10*1000000/Amortize_Prod!P12,0),"SLO 不可達")</f>
        <v>0.000297452387734441</v>
      </c>
      <c r="Q13" s="172" t="n">
        <f aca="false">IF(ISNUMBER(Amortize_Prod!Q12),IF(Amortize_Prod!Q12&gt;0,Amortize_Prod!Q10*1000000/Amortize_Prod!Q12,0),"SLO 不可達")</f>
        <v>0.00054301167082588</v>
      </c>
      <c r="S13" s="172" t="n">
        <f aca="false">IF(ISNUMBER(Amortize_Prod!S12),IF(Amortize_Prod!S12&gt;0,Amortize_Prod!S10*1000000/Amortize_Prod!S12,0),"SLO 不可達")</f>
        <v>0.00803002985517824</v>
      </c>
      <c r="T13" s="172" t="n">
        <f aca="false">IF(ISNUMBER(Amortize_Prod!T12),IF(Amortize_Prod!T12&gt;0,Amortize_Prod!T10*1000000/Amortize_Prod!T12,0),"SLO 不可達")</f>
        <v>0.0114733064460494</v>
      </c>
      <c r="U13" s="172" t="n">
        <f aca="false">IF(ISNUMBER(Amortize_Prod!U12),IF(Amortize_Prod!U12&gt;0,Amortize_Prod!U10*1000000/Amortize_Prod!U12,0),"SLO 不可達")</f>
        <v>0.0197038871303124</v>
      </c>
      <c r="V13" s="172" t="n">
        <f aca="false">IF(ISNUMBER(Amortize_Prod!V12),IF(Amortize_Prod!V12&gt;0,Amortize_Prod!V10*1000000/Amortize_Prod!V12,0),"SLO 不可達")</f>
        <v>0.000743030053517681</v>
      </c>
      <c r="W13" s="172" t="n">
        <f aca="false">IF(ISNUMBER(Amortize_Prod!W12),IF(Amortize_Prod!W12&gt;0,Amortize_Prod!W10*1000000/Amortize_Prod!W12,0),"SLO 不可達")</f>
        <v>0.00099210142250044</v>
      </c>
      <c r="X13" s="172" t="n">
        <f aca="false">IF(ISNUMBER(Amortize_Prod!X12),IF(Amortize_Prod!X12&gt;0,Amortize_Prod!X10*1000000/Amortize_Prod!X12,0),"SLO 不可達")</f>
        <v>0.00160910875340909</v>
      </c>
      <c r="Y13" s="172" t="n">
        <f aca="false">IF(ISNUMBER(Amortize_Prod!Y12),IF(Amortize_Prod!Y12&gt;0,Amortize_Prod!Y10*1000000/Amortize_Prod!Y12,0),"SLO 不可達")</f>
        <v>0.000579682625931463</v>
      </c>
      <c r="Z13" s="172" t="n">
        <f aca="false">IF(ISNUMBER(Amortize_Prod!Z12),IF(Amortize_Prod!Z12&gt;0,Amortize_Prod!Z10*1000000/Amortize_Prod!Z12,0),"SLO 不可達")</f>
        <v>0.000748693658114658</v>
      </c>
      <c r="AA13" s="172" t="n">
        <f aca="false">IF(ISNUMBER(Amortize_Prod!AA12),IF(Amortize_Prod!AA12&gt;0,Amortize_Prod!AA10*1000000/Amortize_Prod!AA12,0),"SLO 不可達")</f>
        <v>0.00127468745591119</v>
      </c>
      <c r="AB13" s="172" t="n">
        <f aca="false">IF(ISNUMBER(Amortize_Prod!AB12),IF(Amortize_Prod!AB12&gt;0,Amortize_Prod!AB10*1000000/Amortize_Prod!AB12,0),"SLO 不可達")</f>
        <v>0.000282767792193943</v>
      </c>
      <c r="AC13" s="172" t="n">
        <f aca="false">IF(ISNUMBER(Amortize_Prod!AC12),IF(Amortize_Prod!AC12&gt;0,Amortize_Prod!AC10*1000000/Amortize_Prod!AC12,0),"SLO 不可達")</f>
        <v>0.000363429509042476</v>
      </c>
      <c r="AD13" s="172" t="n">
        <f aca="false">IF(ISNUMBER(Amortize_Prod!AD12),IF(Amortize_Prod!AD12&gt;0,Amortize_Prod!AD10*1000000/Amortize_Prod!AD12,0),"SLO 不可達")</f>
        <v>0.00058713162604246</v>
      </c>
      <c r="AE13" s="172" t="n">
        <f aca="false">IF(ISNUMBER(Amortize_Prod!AE12),IF(Amortize_Prod!AE12&gt;0,Amortize_Prod!AE10*1000000/Amortize_Prod!AE12,0),"SLO 不可達")</f>
        <v>0.000142752606738247</v>
      </c>
      <c r="AF13" s="172" t="n">
        <f aca="false">IF(ISNUMBER(Amortize_Prod!AF12),IF(Amortize_Prod!AF12&gt;0,Amortize_Prod!AF10*1000000/Amortize_Prod!AF12,0),"SLO 不可達")</f>
        <v>0.000216964388577005</v>
      </c>
      <c r="AG13" s="172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8" t="s">
        <v>1712</v>
      </c>
      <c r="B14" s="56" t="s">
        <v>791</v>
      </c>
      <c r="C14" s="154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4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4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4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4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4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4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4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4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4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4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4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4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4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4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4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4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4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4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4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4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4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4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4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4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4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4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4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4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4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1707</v>
      </c>
      <c r="B19" s="56" t="s">
        <v>861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0" customFormat="false" ht="15" hidden="false" customHeight="false" outlineLevel="0" collapsed="false">
      <c r="A20" s="58" t="s">
        <v>1708</v>
      </c>
      <c r="B20" s="56" t="s">
        <v>2247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8" t="s">
        <v>1709</v>
      </c>
      <c r="B21" s="56" t="s">
        <v>1710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8" t="s">
        <v>1715</v>
      </c>
      <c r="B22" s="56" t="s">
        <v>791</v>
      </c>
      <c r="C22" s="172" t="n">
        <f aca="false">IF(ISNUMBER(Amortize_Prod!C21),IF(Amortize_Prod!C21&gt;0,Amortize_Prod!C19*1000000/Amortize_Prod!C21,0),"SLO 不可達")</f>
        <v>0.176334843883811</v>
      </c>
      <c r="D22" s="172" t="n">
        <f aca="false">IF(ISNUMBER(Amortize_Prod!D21),IF(Amortize_Prod!D21&gt;0,Amortize_Prod!D19*1000000/Amortize_Prod!D21,0),"SLO 不可達")</f>
        <v>0.251947220307107</v>
      </c>
      <c r="E22" s="172" t="n">
        <f aca="false">IF(ISNUMBER(Amortize_Prod!E21),IF(Amortize_Prod!E21&gt;0,Amortize_Prod!E19*1000000/Amortize_Prod!E21,0),"SLO 不可達")</f>
        <v>0.432686045219036</v>
      </c>
      <c r="F22" s="172" t="n">
        <f aca="false">IF(ISNUMBER(Amortize_Prod!F21),IF(Amortize_Prod!F21&gt;0,Amortize_Prod!F19*1000000/Amortize_Prod!F21,0),"SLO 不可達")</f>
        <v>0.0130665223831516</v>
      </c>
      <c r="G22" s="172" t="n">
        <f aca="false">IF(ISNUMBER(Amortize_Prod!G21),IF(Amortize_Prod!G21&gt;0,Amortize_Prod!G19*1000000/Amortize_Prod!G21,0),"SLO 不可達")</f>
        <v>0.017446556006836</v>
      </c>
      <c r="H22" s="172" t="n">
        <f aca="false">IF(ISNUMBER(Amortize_Prod!H21),IF(Amortize_Prod!H21&gt;0,Amortize_Prod!H19*1000000/Amortize_Prod!H21,0),"SLO 不可達")</f>
        <v>0.0282969113346163</v>
      </c>
      <c r="I22" s="172" t="n">
        <f aca="false">IF(ISNUMBER(Amortize_Prod!I21),IF(Amortize_Prod!I21&gt;0,Amortize_Prod!I19*1000000/Amortize_Prod!I21,0),"SLO 不可達")</f>
        <v>0.0111601498027401</v>
      </c>
      <c r="J22" s="172" t="n">
        <f aca="false">IF(ISNUMBER(Amortize_Prod!J21),IF(Amortize_Prod!J21&gt;0,Amortize_Prod!J19*1000000/Amortize_Prod!J21,0),"SLO 不可達")</f>
        <v>0.0144139793175533</v>
      </c>
      <c r="K22" s="172" t="n">
        <f aca="false">IF(ISNUMBER(Amortize_Prod!K21),IF(Amortize_Prod!K21&gt;0,Amortize_Prod!K19*1000000/Amortize_Prod!K21,0),"SLO 不可達")</f>
        <v>0.0245405025496219</v>
      </c>
      <c r="L22" s="172" t="n">
        <f aca="false">IF(ISNUMBER(Amortize_Prod!L21),IF(Amortize_Prod!L21&gt;0,Amortize_Prod!L19*1000000/Amortize_Prod!L21,0),"SLO 不可達")</f>
        <v>0.0045834435817395</v>
      </c>
      <c r="M22" s="172" t="n">
        <f aca="false">IF(ISNUMBER(Amortize_Prod!M21),IF(Amortize_Prod!M21&gt;0,Amortize_Prod!M19*1000000/Amortize_Prod!M21,0),"SLO 不可達")</f>
        <v>0.00589090659056734</v>
      </c>
      <c r="N22" s="172" t="n">
        <f aca="false">IF(ISNUMBER(Amortize_Prod!N21),IF(Amortize_Prod!N21&gt;0,Amortize_Prod!N19*1000000/Amortize_Prod!N21,0),"SLO 不可達")</f>
        <v>0.00951694201854095</v>
      </c>
      <c r="O22" s="172" t="n">
        <f aca="false">IF(ISNUMBER(Amortize_Prod!O21),IF(Amortize_Prod!O21&gt;0,Amortize_Prod!O19*1000000/Amortize_Prod!O21,0),"SLO 不可達")</f>
        <v>0.00229968214922576</v>
      </c>
      <c r="P22" s="172" t="n">
        <f aca="false">IF(ISNUMBER(Amortize_Prod!P21),IF(Amortize_Prod!P21&gt;0,Amortize_Prod!P19*1000000/Amortize_Prod!P21,0),"SLO 不可達")</f>
        <v>0.00349520154362645</v>
      </c>
      <c r="Q22" s="172" t="n">
        <f aca="false">IF(ISNUMBER(Amortize_Prod!Q21),IF(Amortize_Prod!Q21&gt;0,Amortize_Prod!Q19*1000000/Amortize_Prod!Q21,0),"SLO 不可達")</f>
        <v>0.00638063538347598</v>
      </c>
      <c r="S22" s="172" t="n">
        <f aca="false">IF(ISNUMBER(Amortize_Prod!S21),IF(Amortize_Prod!S21&gt;0,Amortize_Prod!S19*1000000/Amortize_Prod!S21,0),"SLO 不可達")</f>
        <v>0.0987009869698532</v>
      </c>
      <c r="T22" s="172" t="n">
        <f aca="false">IF(ISNUMBER(Amortize_Prod!T21),IF(Amortize_Prod!T21&gt;0,Amortize_Prod!T19*1000000/Amortize_Prod!T21,0),"SLO 不可達")</f>
        <v>0.141023967588663</v>
      </c>
      <c r="U22" s="172" t="n">
        <f aca="false">IF(ISNUMBER(Amortize_Prod!U21),IF(Amortize_Prod!U21&gt;0,Amortize_Prod!U19*1000000/Amortize_Prod!U21,0),"SLO 不可達")</f>
        <v>0.242190021952447</v>
      </c>
      <c r="V22" s="172" t="n">
        <f aca="false">IF(ISNUMBER(Amortize_Prod!V21),IF(Amortize_Prod!V21&gt;0,Amortize_Prod!V19*1000000/Amortize_Prod!V21,0),"SLO 不可達")</f>
        <v>0.00935318660544555</v>
      </c>
      <c r="W22" s="172" t="n">
        <f aca="false">IF(ISNUMBER(Amortize_Prod!W21),IF(Amortize_Prod!W21&gt;0,Amortize_Prod!W19*1000000/Amortize_Prod!W21,0),"SLO 不可達")</f>
        <v>0.0124884716200161</v>
      </c>
      <c r="X22" s="172" t="n">
        <f aca="false">IF(ISNUMBER(Amortize_Prod!X21),IF(Amortize_Prod!X21&gt;0,Amortize_Prod!X19*1000000/Amortize_Prod!X21,0),"SLO 不可達")</f>
        <v>0.0202552970338674</v>
      </c>
      <c r="Y22" s="172" t="n">
        <f aca="false">IF(ISNUMBER(Amortize_Prod!Y21),IF(Amortize_Prod!Y21&gt;0,Amortize_Prod!Y19*1000000/Amortize_Prod!Y21,0),"SLO 不可達")</f>
        <v>0.00797369992573252</v>
      </c>
      <c r="Z22" s="172" t="n">
        <f aca="false">IF(ISNUMBER(Amortize_Prod!Z21),IF(Amortize_Prod!Z21&gt;0,Amortize_Prod!Z19*1000000/Amortize_Prod!Z21,0),"SLO 不可達")</f>
        <v>0.0102984948988468</v>
      </c>
      <c r="AA22" s="172" t="n">
        <f aca="false">IF(ISNUMBER(Amortize_Prod!AA21),IF(Amortize_Prod!AA21&gt;0,Amortize_Prod!AA19*1000000/Amortize_Prod!AA21,0),"SLO 不可達")</f>
        <v>0.0175336896740682</v>
      </c>
      <c r="AB22" s="172" t="n">
        <f aca="false">IF(ISNUMBER(Amortize_Prod!AB21),IF(Amortize_Prod!AB21&gt;0,Amortize_Prod!AB19*1000000/Amortize_Prod!AB21,0),"SLO 不可達")</f>
        <v>0.00333444031534962</v>
      </c>
      <c r="AC22" s="172" t="n">
        <f aca="false">IF(ISNUMBER(Amortize_Prod!AC21),IF(Amortize_Prod!AC21&gt;0,Amortize_Prod!AC19*1000000/Amortize_Prod!AC21,0),"SLO 不可達")</f>
        <v>0.00428561540667894</v>
      </c>
      <c r="AD22" s="172" t="n">
        <f aca="false">IF(ISNUMBER(Amortize_Prod!AD21),IF(Amortize_Prod!AD21&gt;0,Amortize_Prod!AD19*1000000/Amortize_Prod!AD21,0),"SLO 不可達")</f>
        <v>0.00692354440052346</v>
      </c>
      <c r="AE22" s="172" t="n">
        <f aca="false">IF(ISNUMBER(Amortize_Prod!AE21),IF(Amortize_Prod!AE21&gt;0,Amortize_Prod!AE19*1000000/Amortize_Prod!AE21,0),"SLO 不可達")</f>
        <v>0.00170696612420711</v>
      </c>
      <c r="AF22" s="172" t="n">
        <f aca="false">IF(ISNUMBER(Amortize_Prod!AF21),IF(Amortize_Prod!AF21&gt;0,Amortize_Prod!AF19*1000000/Amortize_Prod!AF21,0),"SLO 不可達")</f>
        <v>0.00259435445644321</v>
      </c>
      <c r="AG22" s="172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8" t="s">
        <v>1712</v>
      </c>
      <c r="B23" s="56" t="s">
        <v>791</v>
      </c>
      <c r="C23" s="154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4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4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4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4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4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4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4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4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4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4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4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4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4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4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4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4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4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4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4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4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4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4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4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4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4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4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4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4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4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1707</v>
      </c>
      <c r="B29" s="56" t="s">
        <v>861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0" customFormat="false" ht="15" hidden="false" customHeight="false" outlineLevel="0" collapsed="false">
      <c r="A30" s="58" t="s">
        <v>1708</v>
      </c>
      <c r="B30" s="56" t="s">
        <v>2247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8" t="s">
        <v>1709</v>
      </c>
      <c r="B31" s="56" t="s">
        <v>1710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8" t="s">
        <v>1718</v>
      </c>
      <c r="B32" s="56" t="s">
        <v>791</v>
      </c>
      <c r="C32" s="172" t="n">
        <f aca="false">IF(ISNUMBER(Amortize_Prod!C31),IF(Amortize_Prod!C31&gt;0,Amortize_Prod!C29*1000000/Amortize_Prod!C31,0),"SLO 不可達")</f>
        <v>8.24114603119254</v>
      </c>
      <c r="D32" s="172" t="n">
        <f aca="false">IF(ISNUMBER(Amortize_Prod!D31),IF(Amortize_Prod!D31&gt;0,Amortize_Prod!D29*1000000/Amortize_Prod!D31,0),"SLO 不可達")</f>
        <v>11.7749492327905</v>
      </c>
      <c r="E32" s="172" t="n">
        <f aca="false">IF(ISNUMBER(Amortize_Prod!E31),IF(Amortize_Prod!E31&gt;0,Amortize_Prod!E29*1000000/Amortize_Prod!E31,0),"SLO 不可達")</f>
        <v>20.2219187414759</v>
      </c>
      <c r="F32" s="172" t="n">
        <f aca="false">IF(ISNUMBER(Amortize_Prod!F31),IF(Amortize_Prod!F31&gt;0,Amortize_Prod!F29*1000000/Amortize_Prod!F31,0),"SLO 不可達")</f>
        <v>0.565711054368342</v>
      </c>
      <c r="G32" s="172" t="n">
        <f aca="false">IF(ISNUMBER(Amortize_Prod!G31),IF(Amortize_Prod!G31&gt;0,Amortize_Prod!G29*1000000/Amortize_Prod!G31,0),"SLO 不可達")</f>
        <v>0.755343258467136</v>
      </c>
      <c r="H32" s="172" t="n">
        <f aca="false">IF(ISNUMBER(Amortize_Prod!H31),IF(Amortize_Prod!H31&gt;0,Amortize_Prod!H29*1000000/Amortize_Prod!H31,0),"SLO 不可達")</f>
        <v>1.22510604406222</v>
      </c>
      <c r="I32" s="172" t="n">
        <f aca="false">IF(ISNUMBER(Amortize_Prod!I31),IF(Amortize_Prod!I31&gt;0,Amortize_Prod!I29*1000000/Amortize_Prod!I31,0),"SLO 不可達")</f>
        <v>0.526392956847605</v>
      </c>
      <c r="J32" s="172" t="n">
        <f aca="false">IF(ISNUMBER(Amortize_Prod!J31),IF(Amortize_Prod!J31&gt;0,Amortize_Prod!J29*1000000/Amortize_Prod!J31,0),"SLO 不可達")</f>
        <v>0.679866966574605</v>
      </c>
      <c r="K32" s="172" t="n">
        <f aca="false">IF(ISNUMBER(Amortize_Prod!K31),IF(Amortize_Prod!K31&gt;0,Amortize_Prod!K29*1000000/Amortize_Prod!K31,0),"SLO 不可達")</f>
        <v>1.15750665788106</v>
      </c>
      <c r="L32" s="172" t="n">
        <f aca="false">IF(ISNUMBER(Amortize_Prod!L31),IF(Amortize_Prod!L31&gt;0,Amortize_Prod!L29*1000000/Amortize_Prod!L31,0),"SLO 不可達")</f>
        <v>0.186420637843686</v>
      </c>
      <c r="M32" s="172" t="n">
        <f aca="false">IF(ISNUMBER(Amortize_Prod!M31),IF(Amortize_Prod!M31&gt;0,Amortize_Prod!M29*1000000/Amortize_Prod!M31,0),"SLO 不可達")</f>
        <v>0.239598577904685</v>
      </c>
      <c r="N32" s="172" t="n">
        <f aca="false">IF(ISNUMBER(Amortize_Prod!N31),IF(Amortize_Prod!N31&gt;0,Amortize_Prod!N29*1000000/Amortize_Prod!N31,0),"SLO 不可達")</f>
        <v>0.387078922163684</v>
      </c>
      <c r="O32" s="172" t="n">
        <f aca="false">IF(ISNUMBER(Amortize_Prod!O31),IF(Amortize_Prod!O31&gt;0,Amortize_Prod!O29*1000000/Amortize_Prod!O31,0),"SLO 不可達")</f>
        <v>0.0931826562513697</v>
      </c>
      <c r="P32" s="172" t="n">
        <f aca="false">IF(ISNUMBER(Amortize_Prod!P31),IF(Amortize_Prod!P31&gt;0,Amortize_Prod!P29*1000000/Amortize_Prod!P31,0),"SLO 不可達")</f>
        <v>0.141624860669833</v>
      </c>
      <c r="Q32" s="172" t="n">
        <f aca="false">IF(ISNUMBER(Amortize_Prod!Q31),IF(Amortize_Prod!Q31&gt;0,Amortize_Prod!Q29*1000000/Amortize_Prod!Q31,0),"SLO 不可達")</f>
        <v>0.258542057129044</v>
      </c>
      <c r="S32" s="172" t="n">
        <f aca="false">IF(ISNUMBER(Amortize_Prod!S31),IF(Amortize_Prod!S31&gt;0,Amortize_Prod!S29*1000000/Amortize_Prod!S31,0),"SLO 不可達")</f>
        <v>4.21660204115075</v>
      </c>
      <c r="T32" s="172" t="n">
        <f aca="false">IF(ISNUMBER(Amortize_Prod!T31),IF(Amortize_Prod!T31&gt;0,Amortize_Prod!T29*1000000/Amortize_Prod!T31,0),"SLO 不可達")</f>
        <v>6.02468088558382</v>
      </c>
      <c r="U32" s="172" t="n">
        <f aca="false">IF(ISNUMBER(Amortize_Prod!U31),IF(Amortize_Prod!U31&gt;0,Amortize_Prod!U29*1000000/Amortize_Prod!U31,0),"SLO 不可達")</f>
        <v>10.3465930003613</v>
      </c>
      <c r="V32" s="172" t="n">
        <f aca="false">IF(ISNUMBER(Amortize_Prod!V31),IF(Amortize_Prod!V31&gt;0,Amortize_Prod!V29*1000000/Amortize_Prod!V31,0),"SLO 不可達")</f>
        <v>0.402092994157101</v>
      </c>
      <c r="W32" s="172" t="n">
        <f aca="false">IF(ISNUMBER(Amortize_Prod!W31),IF(Amortize_Prod!W31&gt;0,Amortize_Prod!W29*1000000/Amortize_Prod!W31,0),"SLO 不可達")</f>
        <v>0.536878729995042</v>
      </c>
      <c r="X32" s="172" t="n">
        <f aca="false">IF(ISNUMBER(Amortize_Prod!X31),IF(Amortize_Prod!X31&gt;0,Amortize_Prod!X29*1000000/Amortize_Prod!X31,0),"SLO 不可達")</f>
        <v>0.870774140991408</v>
      </c>
      <c r="Y32" s="172" t="n">
        <f aca="false">IF(ISNUMBER(Amortize_Prod!Y31),IF(Amortize_Prod!Y31&gt;0,Amortize_Prod!Y29*1000000/Amortize_Prod!Y31,0),"SLO 不可達")</f>
        <v>0.366823042465288</v>
      </c>
      <c r="Z32" s="172" t="n">
        <f aca="false">IF(ISNUMBER(Amortize_Prod!Z31),IF(Amortize_Prod!Z31&gt;0,Amortize_Prod!Z29*1000000/Amortize_Prod!Z31,0),"SLO 不可達")</f>
        <v>0.473773187703846</v>
      </c>
      <c r="AA32" s="172" t="n">
        <f aca="false">IF(ISNUMBER(Amortize_Prod!AA31),IF(Amortize_Prod!AA31&gt;0,Amortize_Prod!AA29*1000000/Amortize_Prod!AA31,0),"SLO 不可達")</f>
        <v>0.806621951138076</v>
      </c>
      <c r="AB32" s="172" t="n">
        <f aca="false">IF(ISNUMBER(Amortize_Prod!AB31),IF(Amortize_Prod!AB31&gt;0,Amortize_Prod!AB29*1000000/Amortize_Prod!AB31,0),"SLO 不可達")</f>
        <v>0.136157625325142</v>
      </c>
      <c r="AC32" s="172" t="n">
        <f aca="false">IF(ISNUMBER(Amortize_Prod!AC31),IF(Amortize_Prod!AC31&gt;0,Amortize_Prod!AC29*1000000/Amortize_Prod!AC31,0),"SLO 不可達")</f>
        <v>0.174997649273883</v>
      </c>
      <c r="AD32" s="172" t="n">
        <f aca="false">IF(ISNUMBER(Amortize_Prod!AD31),IF(Amortize_Prod!AD31&gt;0,Amortize_Prod!AD29*1000000/Amortize_Prod!AD31,0),"SLO 不可達")</f>
        <v>0.282714121488067</v>
      </c>
      <c r="AE32" s="172" t="n">
        <f aca="false">IF(ISNUMBER(Amortize_Prod!AE31),IF(Amortize_Prod!AE31&gt;0,Amortize_Prod!AE29*1000000/Amortize_Prod!AE31,0),"SLO 不可達")</f>
        <v>0.0696087421755187</v>
      </c>
      <c r="AF32" s="172" t="n">
        <f aca="false">IF(ISNUMBER(Amortize_Prod!AF31),IF(Amortize_Prod!AF31&gt;0,Amortize_Prod!AF29*1000000/Amortize_Prod!AF31,0),"SLO 不可達")</f>
        <v>0.105795743635128</v>
      </c>
      <c r="AG32" s="172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1712</v>
      </c>
      <c r="B33" s="56" t="s">
        <v>791</v>
      </c>
      <c r="C33" s="154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4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4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4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4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4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4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4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4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4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4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4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4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4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4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4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4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4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4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4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4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4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4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4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4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4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4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4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4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4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2272</v>
      </c>
    </row>
    <row r="2" customFormat="false" ht="15" hidden="false" customHeight="false" outlineLevel="0" collapsed="false">
      <c r="A2" s="71" t="s">
        <v>2273</v>
      </c>
    </row>
    <row r="3" customFormat="false" ht="15" hidden="false" customHeight="false" outlineLevel="0" collapsed="false">
      <c r="S3" s="57" t="s">
        <v>2245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1737</v>
      </c>
      <c r="B10" s="56" t="s">
        <v>2247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8" t="s">
        <v>1738</v>
      </c>
      <c r="B11" s="56" t="s">
        <v>2274</v>
      </c>
      <c r="C11" s="158" t="n">
        <f aca="false">Theory_Rev_Prod!C10*INDEX(B4_EffRef,1,1)/1000000000</f>
        <v>2.44762339054934</v>
      </c>
      <c r="D11" s="158" t="n">
        <f aca="false">Theory_Rev_Prod!D10*INDEX(B4_EffRef,1,1)/1000000000</f>
        <v>2.44762339054934</v>
      </c>
      <c r="E11" s="158" t="n">
        <f aca="false">Theory_Rev_Prod!E10*INDEX(B4_EffRef,1,1)/1000000000</f>
        <v>2.44762339054934</v>
      </c>
      <c r="F11" s="158" t="n">
        <f aca="false">Theory_Rev_Prod!F10*INDEX(B4_EffRef,1,1)/1000000000</f>
        <v>13.6555857459493</v>
      </c>
      <c r="G11" s="158" t="n">
        <f aca="false">Theory_Rev_Prod!G10*INDEX(B4_EffRef,1,1)/1000000000</f>
        <v>13.6555857459493</v>
      </c>
      <c r="H11" s="158" t="n">
        <f aca="false">Theory_Rev_Prod!H10*INDEX(B4_EffRef,1,1)/1000000000</f>
        <v>13.6555857459493</v>
      </c>
      <c r="I11" s="158" t="n">
        <f aca="false">Theory_Rev_Prod!I10*INDEX(B4_EffRef,1,1)/1000000000</f>
        <v>19.8808398591479</v>
      </c>
      <c r="J11" s="158" t="n">
        <f aca="false">Theory_Rev_Prod!J10*INDEX(B4_EffRef,1,1)/1000000000</f>
        <v>19.8808398591479</v>
      </c>
      <c r="K11" s="158" t="n">
        <f aca="false">Theory_Rev_Prod!K10*INDEX(B4_EffRef,1,1)/1000000000</f>
        <v>19.8808398591479</v>
      </c>
      <c r="L11" s="158" t="n">
        <f aca="false">Theory_Rev_Prod!L10*INDEX(B4_EffRef,1,1)/1000000000</f>
        <v>29.3255549100997</v>
      </c>
      <c r="M11" s="158" t="n">
        <f aca="false">Theory_Rev_Prod!M10*INDEX(B4_EffRef,1,1)/1000000000</f>
        <v>29.3255549100997</v>
      </c>
      <c r="N11" s="158" t="n">
        <f aca="false">Theory_Rev_Prod!N10*INDEX(B4_EffRef,1,1)/1000000000</f>
        <v>29.3255549100997</v>
      </c>
      <c r="O11" s="158" t="n">
        <f aca="false">Theory_Rev_Prod!O10*INDEX(B4_EffRef,1,1)/1000000000</f>
        <v>39.6992397829504</v>
      </c>
      <c r="P11" s="158" t="n">
        <f aca="false">Theory_Rev_Prod!P10*INDEX(B4_EffRef,1,1)/1000000000</f>
        <v>39.6992397829504</v>
      </c>
      <c r="Q11" s="158" t="n">
        <f aca="false">Theory_Rev_Prod!Q10*INDEX(B4_EffRef,1,1)/1000000000</f>
        <v>39.6992397829504</v>
      </c>
      <c r="S11" s="158" t="n">
        <f aca="false">Theory_Rev_Prod!S10*INDEX(B4_EffRef,1,1)/1000000000</f>
        <v>3.57102907624799</v>
      </c>
      <c r="T11" s="158" t="n">
        <f aca="false">Theory_Rev_Prod!T10*INDEX(B4_EffRef,1,1)/1000000000</f>
        <v>3.57102907624799</v>
      </c>
      <c r="U11" s="158" t="n">
        <f aca="false">Theory_Rev_Prod!U10*INDEX(B4_EffRef,1,1)/1000000000</f>
        <v>3.57102907624799</v>
      </c>
      <c r="V11" s="158" t="n">
        <f aca="false">Theory_Rev_Prod!V10*INDEX(B4_EffRef,1,1)/1000000000</f>
        <v>17.4680230535144</v>
      </c>
      <c r="W11" s="158" t="n">
        <f aca="false">Theory_Rev_Prod!W10*INDEX(B4_EffRef,1,1)/1000000000</f>
        <v>17.4680230535144</v>
      </c>
      <c r="X11" s="158" t="n">
        <f aca="false">Theory_Rev_Prod!X10*INDEX(B4_EffRef,1,1)/1000000000</f>
        <v>17.4680230535144</v>
      </c>
      <c r="Y11" s="158" t="n">
        <f aca="false">Theory_Rev_Prod!Y10*INDEX(B4_EffRef,1,1)/1000000000</f>
        <v>25.4312759220773</v>
      </c>
      <c r="Z11" s="158" t="n">
        <f aca="false">Theory_Rev_Prod!Z10*INDEX(B4_EffRef,1,1)/1000000000</f>
        <v>25.4312759220773</v>
      </c>
      <c r="AA11" s="158" t="n">
        <f aca="false">Theory_Rev_Prod!AA10*INDEX(B4_EffRef,1,1)/1000000000</f>
        <v>25.4312759220773</v>
      </c>
      <c r="AB11" s="158" t="n">
        <f aca="false">Theory_Rev_Prod!AB10*INDEX(B4_EffRef,1,1)/1000000000</f>
        <v>37.2582226398973</v>
      </c>
      <c r="AC11" s="158" t="n">
        <f aca="false">Theory_Rev_Prod!AC10*INDEX(B4_EffRef,1,1)/1000000000</f>
        <v>37.2582226398973</v>
      </c>
      <c r="AD11" s="158" t="n">
        <f aca="false">Theory_Rev_Prod!AD10*INDEX(B4_EffRef,1,1)/1000000000</f>
        <v>37.2582226398973</v>
      </c>
      <c r="AE11" s="158" t="n">
        <f aca="false">Theory_Rev_Prod!AE10*INDEX(B4_EffRef,1,1)/1000000000</f>
        <v>50.3527379522069</v>
      </c>
      <c r="AF11" s="158" t="n">
        <f aca="false">Theory_Rev_Prod!AF10*INDEX(B4_EffRef,1,1)/1000000000</f>
        <v>50.3527379522069</v>
      </c>
      <c r="AG11" s="158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8" t="s">
        <v>1745</v>
      </c>
      <c r="B17" s="56" t="s">
        <v>791</v>
      </c>
      <c r="C17" s="154" t="n">
        <f aca="false">Amortize_Prod!C14</f>
        <v>0.185897057978832</v>
      </c>
      <c r="D17" s="154" t="n">
        <f aca="false">Amortize_Prod!D14</f>
        <v>0.265605066614536</v>
      </c>
      <c r="E17" s="154" t="n">
        <f aca="false">Amortize_Prod!E14</f>
        <v>0.456133819952971</v>
      </c>
      <c r="F17" s="154" t="n">
        <f aca="false">Amortize_Prod!F14</f>
        <v>0.0338189655046863</v>
      </c>
      <c r="G17" s="154" t="n">
        <f aca="false">Amortize_Prod!G14</f>
        <v>0.0451518018428237</v>
      </c>
      <c r="H17" s="154" t="n">
        <f aca="false">Amortize_Prod!H14</f>
        <v>0.0732258559951609</v>
      </c>
      <c r="I17" s="154" t="n">
        <f aca="false">Amortize_Prod!I14</f>
        <v>0.0296187586934242</v>
      </c>
      <c r="J17" s="154" t="n">
        <f aca="false">Amortize_Prod!J14</f>
        <v>0.0382511826386745</v>
      </c>
      <c r="K17" s="154" t="n">
        <f aca="false">Amortize_Prod!K14</f>
        <v>0.0651168930985114</v>
      </c>
      <c r="L17" s="154" t="n">
        <f aca="false">Amortize_Prod!L14</f>
        <v>0.022487341757189</v>
      </c>
      <c r="M17" s="154" t="n">
        <f aca="false">Amortize_Prod!M14</f>
        <v>0.0288989412468376</v>
      </c>
      <c r="N17" s="154" t="n">
        <f aca="false">Amortize_Prod!N14</f>
        <v>0.0466804667985899</v>
      </c>
      <c r="O17" s="154" t="n">
        <f aca="false">Amortize_Prod!O14</f>
        <v>0.0176242505638179</v>
      </c>
      <c r="P17" s="154" t="n">
        <f aca="false">Amortize_Prod!P14</f>
        <v>0.0267808129187387</v>
      </c>
      <c r="Q17" s="154" t="n">
        <f aca="false">Amortize_Prod!Q14</f>
        <v>0.0488805421237386</v>
      </c>
      <c r="S17" s="154" t="n">
        <f aca="false">Amortize_Prod!S14</f>
        <v>0.12131988200181</v>
      </c>
      <c r="T17" s="154" t="n">
        <f aca="false">Amortize_Prod!T14</f>
        <v>0.173337199275656</v>
      </c>
      <c r="U17" s="154" t="n">
        <f aca="false">Amortize_Prod!U14</f>
        <v>0.297675954964459</v>
      </c>
      <c r="V17" s="154" t="n">
        <f aca="false">Amortize_Prod!V14</f>
        <v>0.0260936867672857</v>
      </c>
      <c r="W17" s="154" t="n">
        <f aca="false">Amortize_Prod!W14</f>
        <v>0.0348369296673268</v>
      </c>
      <c r="X17" s="154" t="n">
        <f aca="false">Amortize_Prod!X14</f>
        <v>0.0564959625271565</v>
      </c>
      <c r="Y17" s="154" t="n">
        <f aca="false">Amortize_Prod!Y14</f>
        <v>0.0228541941694006</v>
      </c>
      <c r="Z17" s="154" t="n">
        <f aca="false">Amortize_Prod!Z14</f>
        <v>0.0295143560848238</v>
      </c>
      <c r="AA17" s="154" t="n">
        <f aca="false">Amortize_Prod!AA14</f>
        <v>0.0502420199217979</v>
      </c>
      <c r="AB17" s="154" t="n">
        <f aca="false">Amortize_Prod!AB14</f>
        <v>0.0174796823282432</v>
      </c>
      <c r="AC17" s="154" t="n">
        <f aca="false">Amortize_Prod!AC14</f>
        <v>0.0224628079319604</v>
      </c>
      <c r="AD17" s="154" t="n">
        <f aca="false">Amortize_Prod!AD14</f>
        <v>0.0362826941230965</v>
      </c>
      <c r="AE17" s="154" t="n">
        <f aca="false">Amortize_Prod!AE14</f>
        <v>0.0137286838275377</v>
      </c>
      <c r="AF17" s="154" t="n">
        <f aca="false">Amortize_Prod!AF14</f>
        <v>0.020860085624086</v>
      </c>
      <c r="AG17" s="154" t="n">
        <f aca="false">Amortize_Prod!AG14</f>
        <v>0.0380720088816252</v>
      </c>
    </row>
    <row r="18" customFormat="false" ht="15" hidden="false" customHeight="false" outlineLevel="0" collapsed="false">
      <c r="A18" s="58" t="s">
        <v>1746</v>
      </c>
      <c r="B18" s="56" t="s">
        <v>791</v>
      </c>
      <c r="C18" s="155" t="n">
        <f aca="false">IF(AND(ISNUMBER(Theory_Rev_Prod!C17),ISNUMBER(Amortize_Prod!C13)),Theory_Rev_Prod!C17+Amortize_Prod!C13,"SLO 不可達")</f>
        <v>0.199223727263524</v>
      </c>
      <c r="D18" s="155" t="n">
        <f aca="false">IF(AND(ISNUMBER(Theory_Rev_Prod!D17),ISNUMBER(Amortize_Prod!D13)),Theory_Rev_Prod!D17+Amortize_Prod!D13,"SLO 不可達")</f>
        <v>0.284646211338278</v>
      </c>
      <c r="E18" s="155" t="n">
        <f aca="false">IF(AND(ISNUMBER(Theory_Rev_Prod!E17),ISNUMBER(Amortize_Prod!E13)),Theory_Rev_Prod!E17+Amortize_Prod!E13,"SLO 不可達")</f>
        <v>0.48883446890999</v>
      </c>
      <c r="F18" s="155" t="n">
        <f aca="false">IF(AND(ISNUMBER(Theory_Rev_Prod!F17),ISNUMBER(Amortize_Prod!F13)),Theory_Rev_Prod!F17+Amortize_Prod!F13,"SLO 不可達")</f>
        <v>0.0348610874282257</v>
      </c>
      <c r="G18" s="155" t="n">
        <f aca="false">IF(AND(ISNUMBER(Theory_Rev_Prod!G17),ISNUMBER(Amortize_Prod!G13)),Theory_Rev_Prod!G17+Amortize_Prod!G13,"SLO 不可達")</f>
        <v>0.046543253827663</v>
      </c>
      <c r="H18" s="155" t="n">
        <f aca="false">IF(AND(ISNUMBER(Theory_Rev_Prod!H17),ISNUMBER(Amortize_Prod!H13)),Theory_Rev_Prod!H17+Amortize_Prod!H13,"SLO 不可達")</f>
        <v>0.0754826792573534</v>
      </c>
      <c r="I18" s="155" t="n">
        <f aca="false">IF(AND(ISNUMBER(Theory_Rev_Prod!I17),ISNUMBER(Amortize_Prod!I13)),Theory_Rev_Prod!I17+Amortize_Prod!I13,"SLO 不可達")</f>
        <v>0.0304205991468791</v>
      </c>
      <c r="J18" s="155" t="n">
        <f aca="false">IF(AND(ISNUMBER(Theory_Rev_Prod!J17),ISNUMBER(Amortize_Prod!J13)),Theory_Rev_Prod!J17+Amortize_Prod!J13,"SLO 不可達")</f>
        <v>0.0392868059874972</v>
      </c>
      <c r="K18" s="155" t="n">
        <f aca="false">IF(AND(ISNUMBER(Theory_Rev_Prod!K17),ISNUMBER(Amortize_Prod!K13)),Theory_Rev_Prod!K17+Amortize_Prod!K13,"SLO 不可達")</f>
        <v>0.066880092342268</v>
      </c>
      <c r="L18" s="155" t="n">
        <f aca="false">IF(AND(ISNUMBER(Theory_Rev_Prod!L17),ISNUMBER(Amortize_Prod!L13)),Theory_Rev_Prod!L17+Amortize_Prod!L13,"SLO 不可達")</f>
        <v>0.0228819097896184</v>
      </c>
      <c r="M18" s="155" t="n">
        <f aca="false">IF(AND(ISNUMBER(Theory_Rev_Prod!M17),ISNUMBER(Amortize_Prod!M13)),Theory_Rev_Prod!M17+Amortize_Prod!M13,"SLO 不可達")</f>
        <v>0.0294060628861059</v>
      </c>
      <c r="N18" s="155" t="n">
        <f aca="false">IF(AND(ISNUMBER(Theory_Rev_Prod!N17),ISNUMBER(Amortize_Prod!N13)),Theory_Rev_Prod!N17+Amortize_Prod!N13,"SLO 不可達")</f>
        <v>0.0474997375106722</v>
      </c>
      <c r="O18" s="155" t="n">
        <f aca="false">IF(AND(ISNUMBER(Theory_Rev_Prod!O17),ISNUMBER(Amortize_Prod!O13)),Theory_Rev_Prod!O17+Amortize_Prod!O13,"SLO 不可達")</f>
        <v>0.0178199605787568</v>
      </c>
      <c r="P18" s="155" t="n">
        <f aca="false">IF(AND(ISNUMBER(Theory_Rev_Prod!P17),ISNUMBER(Amortize_Prod!P13)),Theory_Rev_Prod!P17+Amortize_Prod!P13,"SLO 不可達")</f>
        <v>0.0270782653064731</v>
      </c>
      <c r="Q18" s="155" t="n">
        <f aca="false">IF(AND(ISNUMBER(Theory_Rev_Prod!Q17),ISNUMBER(Amortize_Prod!Q13)),Theory_Rev_Prod!Q17+Amortize_Prod!Q13,"SLO 不可達")</f>
        <v>0.0494235537945645</v>
      </c>
      <c r="S18" s="155" t="n">
        <f aca="false">IF(AND(ISNUMBER(Theory_Rev_Prod!S17),ISNUMBER(Amortize_Prod!S13)),Theory_Rev_Prod!S17+Amortize_Prod!S13,"SLO 不可達")</f>
        <v>0.129349911856988</v>
      </c>
      <c r="T18" s="155" t="n">
        <f aca="false">IF(AND(ISNUMBER(Theory_Rev_Prod!T17),ISNUMBER(Amortize_Prod!T13)),Theory_Rev_Prod!T17+Amortize_Prod!T13,"SLO 不可達")</f>
        <v>0.184810505721705</v>
      </c>
      <c r="U18" s="155" t="n">
        <f aca="false">IF(AND(ISNUMBER(Theory_Rev_Prod!U17),ISNUMBER(Amortize_Prod!U13)),Theory_Rev_Prod!U17+Amortize_Prod!U13,"SLO 不可達")</f>
        <v>0.317379842094771</v>
      </c>
      <c r="V18" s="155" t="n">
        <f aca="false">IF(AND(ISNUMBER(Theory_Rev_Prod!V17),ISNUMBER(Amortize_Prod!V13)),Theory_Rev_Prod!V17+Amortize_Prod!V13,"SLO 不可達")</f>
        <v>0.0268367168208034</v>
      </c>
      <c r="W18" s="155" t="n">
        <f aca="false">IF(AND(ISNUMBER(Theory_Rev_Prod!W17),ISNUMBER(Amortize_Prod!W13)),Theory_Rev_Prod!W17+Amortize_Prod!W13,"SLO 不可達")</f>
        <v>0.0358290310898272</v>
      </c>
      <c r="X18" s="155" t="n">
        <f aca="false">IF(AND(ISNUMBER(Theory_Rev_Prod!X17),ISNUMBER(Amortize_Prod!X13)),Theory_Rev_Prod!X17+Amortize_Prod!X13,"SLO 不可達")</f>
        <v>0.0581050712805656</v>
      </c>
      <c r="Y18" s="155" t="n">
        <f aca="false">IF(AND(ISNUMBER(Theory_Rev_Prod!Y17),ISNUMBER(Amortize_Prod!Y13)),Theory_Rev_Prod!Y17+Amortize_Prod!Y13,"SLO 不可達")</f>
        <v>0.023433876795332</v>
      </c>
      <c r="Z18" s="155" t="n">
        <f aca="false">IF(AND(ISNUMBER(Theory_Rev_Prod!Z17),ISNUMBER(Amortize_Prod!Z13)),Theory_Rev_Prod!Z17+Amortize_Prod!Z13,"SLO 不可達")</f>
        <v>0.0302630497429385</v>
      </c>
      <c r="AA18" s="155" t="n">
        <f aca="false">IF(AND(ISNUMBER(Theory_Rev_Prod!AA17),ISNUMBER(Amortize_Prod!AA13)),Theory_Rev_Prod!AA17+Amortize_Prod!AA13,"SLO 不可達")</f>
        <v>0.0515167073777091</v>
      </c>
      <c r="AB18" s="155" t="n">
        <f aca="false">IF(AND(ISNUMBER(Theory_Rev_Prod!AB17),ISNUMBER(Amortize_Prod!AB13)),Theory_Rev_Prod!AB17+Amortize_Prod!AB13,"SLO 不可達")</f>
        <v>0.0177624501204372</v>
      </c>
      <c r="AC18" s="155" t="n">
        <f aca="false">IF(AND(ISNUMBER(Theory_Rev_Prod!AC17),ISNUMBER(Amortize_Prod!AC13)),Theory_Rev_Prod!AC17+Amortize_Prod!AC13,"SLO 不可達")</f>
        <v>0.0228262374410029</v>
      </c>
      <c r="AD18" s="155" t="n">
        <f aca="false">IF(AND(ISNUMBER(Theory_Rev_Prod!AD17),ISNUMBER(Amortize_Prod!AD13)),Theory_Rev_Prod!AD17+Amortize_Prod!AD13,"SLO 不可達")</f>
        <v>0.0368698257491389</v>
      </c>
      <c r="AE18" s="155" t="n">
        <f aca="false">IF(AND(ISNUMBER(Theory_Rev_Prod!AE17),ISNUMBER(Amortize_Prod!AE13)),Theory_Rev_Prod!AE17+Amortize_Prod!AE13,"SLO 不可達")</f>
        <v>0.013871436434276</v>
      </c>
      <c r="AF18" s="155" t="n">
        <f aca="false">IF(AND(ISNUMBER(Theory_Rev_Prod!AF17),ISNUMBER(Amortize_Prod!AF13)),Theory_Rev_Prod!AF17+Amortize_Prod!AF13,"SLO 不可達")</f>
        <v>0.021077050012663</v>
      </c>
      <c r="AG18" s="155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8" t="s">
        <v>1737</v>
      </c>
      <c r="B28" s="56" t="s">
        <v>2247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8" t="s">
        <v>1755</v>
      </c>
      <c r="B29" s="56" t="s">
        <v>2274</v>
      </c>
      <c r="C29" s="158" t="n">
        <f aca="false">Theory_Rev_Prod!C28*INDEX(B4_EffRef,1,2)/1000000000</f>
        <v>15.1336974133362</v>
      </c>
      <c r="D29" s="158" t="n">
        <f aca="false">Theory_Rev_Prod!D28*INDEX(B4_EffRef,1,2)/1000000000</f>
        <v>15.1336974133362</v>
      </c>
      <c r="E29" s="158" t="n">
        <f aca="false">Theory_Rev_Prod!E28*INDEX(B4_EffRef,1,2)/1000000000</f>
        <v>15.1336974133362</v>
      </c>
      <c r="F29" s="158" t="n">
        <f aca="false">Theory_Rev_Prod!F28*INDEX(B4_EffRef,1,2)/1000000000</f>
        <v>80.1519532436076</v>
      </c>
      <c r="G29" s="158" t="n">
        <f aca="false">Theory_Rev_Prod!G28*INDEX(B4_EffRef,1,2)/1000000000</f>
        <v>80.1519532436076</v>
      </c>
      <c r="H29" s="158" t="n">
        <f aca="false">Theory_Rev_Prod!H28*INDEX(B4_EffRef,1,2)/1000000000</f>
        <v>80.1519532436076</v>
      </c>
      <c r="I29" s="158" t="n">
        <f aca="false">Theory_Rev_Prod!I28*INDEX(B4_EffRef,1,2)/1000000000</f>
        <v>116.69130687468</v>
      </c>
      <c r="J29" s="158" t="n">
        <f aca="false">Theory_Rev_Prod!J28*INDEX(B4_EffRef,1,2)/1000000000</f>
        <v>116.69130687468</v>
      </c>
      <c r="K29" s="158" t="n">
        <f aca="false">Theory_Rev_Prod!K28*INDEX(B4_EffRef,1,2)/1000000000</f>
        <v>116.69130687468</v>
      </c>
      <c r="L29" s="158" t="n">
        <f aca="false">Theory_Rev_Prod!L28*INDEX(B4_EffRef,1,2)/1000000000</f>
        <v>184.79597204631</v>
      </c>
      <c r="M29" s="158" t="n">
        <f aca="false">Theory_Rev_Prod!M28*INDEX(B4_EffRef,1,2)/1000000000</f>
        <v>184.79597204631</v>
      </c>
      <c r="N29" s="158" t="n">
        <f aca="false">Theory_Rev_Prod!N28*INDEX(B4_EffRef,1,2)/1000000000</f>
        <v>184.79597204631</v>
      </c>
      <c r="O29" s="158" t="n">
        <f aca="false">Theory_Rev_Prod!O28*INDEX(B4_EffRef,1,2)/1000000000</f>
        <v>254.725350558298</v>
      </c>
      <c r="P29" s="158" t="n">
        <f aca="false">Theory_Rev_Prod!P28*INDEX(B4_EffRef,1,2)/1000000000</f>
        <v>254.725350558298</v>
      </c>
      <c r="Q29" s="158" t="n">
        <f aca="false">Theory_Rev_Prod!Q28*INDEX(B4_EffRef,1,2)/1000000000</f>
        <v>254.725350558298</v>
      </c>
      <c r="S29" s="158" t="n">
        <f aca="false">Theory_Rev_Prod!S28*INDEX(B4_EffRef,1,2)/1000000000</f>
        <v>20.7225049979976</v>
      </c>
      <c r="T29" s="158" t="n">
        <f aca="false">Theory_Rev_Prod!T28*INDEX(B4_EffRef,1,2)/1000000000</f>
        <v>20.7225049979976</v>
      </c>
      <c r="U29" s="158" t="n">
        <f aca="false">Theory_Rev_Prod!U28*INDEX(B4_EffRef,1,2)/1000000000</f>
        <v>20.7225049979976</v>
      </c>
      <c r="V29" s="158" t="n">
        <f aca="false">Theory_Rev_Prod!V28*INDEX(B4_EffRef,1,2)/1000000000</f>
        <v>100.404653415384</v>
      </c>
      <c r="W29" s="158" t="n">
        <f aca="false">Theory_Rev_Prod!W28*INDEX(B4_EffRef,1,2)/1000000000</f>
        <v>100.404653415384</v>
      </c>
      <c r="X29" s="158" t="n">
        <f aca="false">Theory_Rev_Prod!X28*INDEX(B4_EffRef,1,2)/1000000000</f>
        <v>100.404653415384</v>
      </c>
      <c r="Y29" s="158" t="n">
        <f aca="false">Theory_Rev_Prod!Y28*INDEX(B4_EffRef,1,2)/1000000000</f>
        <v>146.176727443319</v>
      </c>
      <c r="Z29" s="158" t="n">
        <f aca="false">Theory_Rev_Prod!Z28*INDEX(B4_EffRef,1,2)/1000000000</f>
        <v>146.176727443319</v>
      </c>
      <c r="AA29" s="158" t="n">
        <f aca="false">Theory_Rev_Prod!AA28*INDEX(B4_EffRef,1,2)/1000000000</f>
        <v>146.176727443319</v>
      </c>
      <c r="AB29" s="158" t="n">
        <f aca="false">Theory_Rev_Prod!AB28*INDEX(B4_EffRef,1,2)/1000000000</f>
        <v>228.808271164193</v>
      </c>
      <c r="AC29" s="158" t="n">
        <f aca="false">Theory_Rev_Prod!AC28*INDEX(B4_EffRef,1,2)/1000000000</f>
        <v>228.808271164193</v>
      </c>
      <c r="AD29" s="158" t="n">
        <f aca="false">Theory_Rev_Prod!AD28*INDEX(B4_EffRef,1,2)/1000000000</f>
        <v>228.808271164193</v>
      </c>
      <c r="AE29" s="158" t="n">
        <f aca="false">Theory_Rev_Prod!AE28*INDEX(B4_EffRef,1,2)/1000000000</f>
        <v>314.529969229019</v>
      </c>
      <c r="AF29" s="158" t="n">
        <f aca="false">Theory_Rev_Prod!AF28*INDEX(B4_EffRef,1,2)/1000000000</f>
        <v>314.529969229019</v>
      </c>
      <c r="AG29" s="158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8" t="s">
        <v>1745</v>
      </c>
      <c r="B35" s="56" t="s">
        <v>791</v>
      </c>
      <c r="C35" s="154" t="n">
        <f aca="false">Amortize_Prod!C23</f>
        <v>0.592529378470979</v>
      </c>
      <c r="D35" s="154" t="n">
        <f aca="false">Amortize_Prod!D23</f>
        <v>0.846599371053822</v>
      </c>
      <c r="E35" s="154" t="n">
        <f aca="false">Amortize_Prod!E23</f>
        <v>1.45391148154395</v>
      </c>
      <c r="F35" s="154" t="n">
        <f aca="false">Amortize_Prod!F23</f>
        <v>0.114871399557638</v>
      </c>
      <c r="G35" s="154" t="n">
        <f aca="false">Amortize_Prod!G23</f>
        <v>0.153372331182364</v>
      </c>
      <c r="H35" s="154" t="n">
        <f aca="false">Amortize_Prod!H23</f>
        <v>0.248748034765995</v>
      </c>
      <c r="I35" s="154" t="n">
        <f aca="false">Amortize_Prod!I23</f>
        <v>0.100593835195458</v>
      </c>
      <c r="J35" s="154" t="n">
        <f aca="false">Amortize_Prod!J23</f>
        <v>0.129918279259559</v>
      </c>
      <c r="K35" s="154" t="n">
        <f aca="false">Amortize_Prod!K23</f>
        <v>0.221181408667757</v>
      </c>
      <c r="L35" s="154" t="n">
        <f aca="false">Amortize_Prod!L23</f>
        <v>0.0702382629306258</v>
      </c>
      <c r="M35" s="154" t="n">
        <f aca="false">Amortize_Prod!M23</f>
        <v>0.0902698913934871</v>
      </c>
      <c r="N35" s="154" t="n">
        <f aca="false">Amortize_Prod!N23</f>
        <v>0.145824346086211</v>
      </c>
      <c r="O35" s="154" t="n">
        <f aca="false">Amortize_Prod!O23</f>
        <v>0.0538369096431518</v>
      </c>
      <c r="P35" s="154" t="n">
        <f aca="false">Amortize_Prod!P23</f>
        <v>0.0818167320663129</v>
      </c>
      <c r="Q35" s="154" t="n">
        <f aca="false">Amortize_Prod!Q23</f>
        <v>0.149347151757448</v>
      </c>
      <c r="S35" s="154" t="n">
        <f aca="false">Amortize_Prod!S23</f>
        <v>0.417331151374463</v>
      </c>
      <c r="T35" s="154" t="n">
        <f aca="false">Amortize_Prod!T23</f>
        <v>0.596276148782533</v>
      </c>
      <c r="U35" s="154" t="n">
        <f aca="false">Amortize_Prod!U23</f>
        <v>1.02401443827026</v>
      </c>
      <c r="V35" s="154" t="n">
        <f aca="false">Amortize_Prod!V23</f>
        <v>0.0907896070390855</v>
      </c>
      <c r="W35" s="154" t="n">
        <f aca="false">Amortize_Prod!W23</f>
        <v>0.121218072413277</v>
      </c>
      <c r="X35" s="154" t="n">
        <f aca="false">Amortize_Prod!X23</f>
        <v>0.196596411886232</v>
      </c>
      <c r="Y35" s="154" t="n">
        <f aca="false">Amortize_Prod!Y23</f>
        <v>0.0795068498732029</v>
      </c>
      <c r="Z35" s="154" t="n">
        <f aca="false">Amortize_Prod!Z23</f>
        <v>0.102683217394179</v>
      </c>
      <c r="AA35" s="154" t="n">
        <f aca="false">Amortize_Prod!AA23</f>
        <v>0.17481238798153</v>
      </c>
      <c r="AB35" s="154" t="n">
        <f aca="false">Amortize_Prod!AB23</f>
        <v>0.0562061280073716</v>
      </c>
      <c r="AC35" s="154" t="n">
        <f aca="false">Amortize_Prod!AC23</f>
        <v>0.0722349806053506</v>
      </c>
      <c r="AD35" s="154" t="n">
        <f aca="false">Amortize_Prod!AD23</f>
        <v>0.116688389227706</v>
      </c>
      <c r="AE35" s="154" t="n">
        <f aca="false">Amortize_Prod!AE23</f>
        <v>0.0432131923940377</v>
      </c>
      <c r="AF35" s="154" t="n">
        <f aca="false">Amortize_Prod!AF23</f>
        <v>0.0656701385291775</v>
      </c>
      <c r="AG35" s="154" t="n">
        <f aca="false">Amortize_Prod!AG23</f>
        <v>0.11987087556573</v>
      </c>
    </row>
    <row r="36" customFormat="false" ht="15" hidden="false" customHeight="false" outlineLevel="0" collapsed="false">
      <c r="A36" s="58" t="s">
        <v>1757</v>
      </c>
      <c r="B36" s="56" t="s">
        <v>791</v>
      </c>
      <c r="C36" s="155" t="n">
        <f aca="false">IF(AND(ISNUMBER(Theory_Rev_Prod!C35),ISNUMBER(Amortize_Prod!C22)),Theory_Rev_Prod!C35+Amortize_Prod!C22,"SLO 不可達")</f>
        <v>0.768864222354789</v>
      </c>
      <c r="D36" s="155" t="n">
        <f aca="false">IF(AND(ISNUMBER(Theory_Rev_Prod!D35),ISNUMBER(Amortize_Prod!D22)),Theory_Rev_Prod!D35+Amortize_Prod!D22,"SLO 不可達")</f>
        <v>1.09854659136093</v>
      </c>
      <c r="E36" s="155" t="n">
        <f aca="false">IF(AND(ISNUMBER(Theory_Rev_Prod!E35),ISNUMBER(Amortize_Prod!E22)),Theory_Rev_Prod!E35+Amortize_Prod!E22,"SLO 不可達")</f>
        <v>1.88659752676299</v>
      </c>
      <c r="F36" s="155" t="n">
        <f aca="false">IF(AND(ISNUMBER(Theory_Rev_Prod!F35),ISNUMBER(Amortize_Prod!F22)),Theory_Rev_Prod!F35+Amortize_Prod!F22,"SLO 不可達")</f>
        <v>0.12793792194079</v>
      </c>
      <c r="G36" s="155" t="n">
        <f aca="false">IF(AND(ISNUMBER(Theory_Rev_Prod!G35),ISNUMBER(Amortize_Prod!G22)),Theory_Rev_Prod!G35+Amortize_Prod!G22,"SLO 不可達")</f>
        <v>0.1708188871892</v>
      </c>
      <c r="H36" s="155" t="n">
        <f aca="false">IF(AND(ISNUMBER(Theory_Rev_Prod!H35),ISNUMBER(Amortize_Prod!H22)),Theory_Rev_Prod!H35+Amortize_Prod!H22,"SLO 不可達")</f>
        <v>0.277044946100612</v>
      </c>
      <c r="I36" s="155" t="n">
        <f aca="false">IF(AND(ISNUMBER(Theory_Rev_Prod!I35),ISNUMBER(Amortize_Prod!I22)),Theory_Rev_Prod!I35+Amortize_Prod!I22,"SLO 不可達")</f>
        <v>0.111753984998198</v>
      </c>
      <c r="J36" s="155" t="n">
        <f aca="false">IF(AND(ISNUMBER(Theory_Rev_Prod!J35),ISNUMBER(Amortize_Prod!J22)),Theory_Rev_Prod!J35+Amortize_Prod!J22,"SLO 不可達")</f>
        <v>0.144332258577112</v>
      </c>
      <c r="K36" s="155" t="n">
        <f aca="false">IF(AND(ISNUMBER(Theory_Rev_Prod!K35),ISNUMBER(Amortize_Prod!K22)),Theory_Rev_Prod!K35+Amortize_Prod!K22,"SLO 不可達")</f>
        <v>0.245721911217379</v>
      </c>
      <c r="L36" s="155" t="n">
        <f aca="false">IF(AND(ISNUMBER(Theory_Rev_Prod!L35),ISNUMBER(Amortize_Prod!L22)),Theory_Rev_Prod!L35+Amortize_Prod!L22,"SLO 不可達")</f>
        <v>0.0748217065123653</v>
      </c>
      <c r="M36" s="155" t="n">
        <f aca="false">IF(AND(ISNUMBER(Theory_Rev_Prod!M35),ISNUMBER(Amortize_Prod!M22)),Theory_Rev_Prod!M35+Amortize_Prod!M22,"SLO 不可達")</f>
        <v>0.0961607979840544</v>
      </c>
      <c r="N36" s="155" t="n">
        <f aca="false">IF(AND(ISNUMBER(Theory_Rev_Prod!N35),ISNUMBER(Amortize_Prod!N22)),Theory_Rev_Prod!N35+Amortize_Prod!N22,"SLO 不可達")</f>
        <v>0.155341288104752</v>
      </c>
      <c r="O36" s="155" t="n">
        <f aca="false">IF(AND(ISNUMBER(Theory_Rev_Prod!O35),ISNUMBER(Amortize_Prod!O22)),Theory_Rev_Prod!O35+Amortize_Prod!O22,"SLO 不可達")</f>
        <v>0.0561365917923775</v>
      </c>
      <c r="P36" s="155" t="n">
        <f aca="false">IF(AND(ISNUMBER(Theory_Rev_Prod!P35),ISNUMBER(Amortize_Prod!P22)),Theory_Rev_Prod!P35+Amortize_Prod!P22,"SLO 不可達")</f>
        <v>0.0853119336099394</v>
      </c>
      <c r="Q36" s="155" t="n">
        <f aca="false">IF(AND(ISNUMBER(Theory_Rev_Prod!Q35),ISNUMBER(Amortize_Prod!Q22)),Theory_Rev_Prod!Q35+Amortize_Prod!Q22,"SLO 不可達")</f>
        <v>0.155727787140924</v>
      </c>
      <c r="S36" s="155" t="n">
        <f aca="false">IF(AND(ISNUMBER(Theory_Rev_Prod!S35),ISNUMBER(Amortize_Prod!S22)),Theory_Rev_Prod!S35+Amortize_Prod!S22,"SLO 不可達")</f>
        <v>0.516032138344316</v>
      </c>
      <c r="T36" s="155" t="n">
        <f aca="false">IF(AND(ISNUMBER(Theory_Rev_Prod!T35),ISNUMBER(Amortize_Prod!T22)),Theory_Rev_Prod!T35+Amortize_Prod!T22,"SLO 不可達")</f>
        <v>0.737300116371195</v>
      </c>
      <c r="U36" s="155" t="n">
        <f aca="false">IF(AND(ISNUMBER(Theory_Rev_Prod!U35),ISNUMBER(Amortize_Prod!U22)),Theory_Rev_Prod!U35+Amortize_Prod!U22,"SLO 不可達")</f>
        <v>1.26620446022271</v>
      </c>
      <c r="V36" s="155" t="n">
        <f aca="false">IF(AND(ISNUMBER(Theory_Rev_Prod!V35),ISNUMBER(Amortize_Prod!V22)),Theory_Rev_Prod!V35+Amortize_Prod!V22,"SLO 不可達")</f>
        <v>0.100142793644531</v>
      </c>
      <c r="W36" s="155" t="n">
        <f aca="false">IF(AND(ISNUMBER(Theory_Rev_Prod!W35),ISNUMBER(Amortize_Prod!W22)),Theory_Rev_Prod!W35+Amortize_Prod!W22,"SLO 不可達")</f>
        <v>0.133706544033293</v>
      </c>
      <c r="X36" s="155" t="n">
        <f aca="false">IF(AND(ISNUMBER(Theory_Rev_Prod!X35),ISNUMBER(Amortize_Prod!X22)),Theory_Rev_Prod!X35+Amortize_Prod!X22,"SLO 不可達")</f>
        <v>0.216851708920099</v>
      </c>
      <c r="Y36" s="155" t="n">
        <f aca="false">IF(AND(ISNUMBER(Theory_Rev_Prod!Y35),ISNUMBER(Amortize_Prod!Y22)),Theory_Rev_Prod!Y35+Amortize_Prod!Y22,"SLO 不可達")</f>
        <v>0.0874805497989355</v>
      </c>
      <c r="Z36" s="155" t="n">
        <f aca="false">IF(AND(ISNUMBER(Theory_Rev_Prod!Z35),ISNUMBER(Amortize_Prod!Z22)),Theory_Rev_Prod!Z35+Amortize_Prod!Z22,"SLO 不可達")</f>
        <v>0.112981712293025</v>
      </c>
      <c r="AA36" s="155" t="n">
        <f aca="false">IF(AND(ISNUMBER(Theory_Rev_Prod!AA35),ISNUMBER(Amortize_Prod!AA22)),Theory_Rev_Prod!AA35+Amortize_Prod!AA22,"SLO 不可達")</f>
        <v>0.192346077655599</v>
      </c>
      <c r="AB36" s="155" t="n">
        <f aca="false">IF(AND(ISNUMBER(Theory_Rev_Prod!AB35),ISNUMBER(Amortize_Prod!AB22)),Theory_Rev_Prod!AB35+Amortize_Prod!AB22,"SLO 不可達")</f>
        <v>0.0595405683227212</v>
      </c>
      <c r="AC36" s="155" t="n">
        <f aca="false">IF(AND(ISNUMBER(Theory_Rev_Prod!AC35),ISNUMBER(Amortize_Prod!AC22)),Theory_Rev_Prod!AC35+Amortize_Prod!AC22,"SLO 不可達")</f>
        <v>0.0765205960120296</v>
      </c>
      <c r="AD36" s="155" t="n">
        <f aca="false">IF(AND(ISNUMBER(Theory_Rev_Prod!AD35),ISNUMBER(Amortize_Prod!AD22)),Theory_Rev_Prod!AD35+Amortize_Prod!AD22,"SLO 不可達")</f>
        <v>0.12361193362823</v>
      </c>
      <c r="AE36" s="155" t="n">
        <f aca="false">IF(AND(ISNUMBER(Theory_Rev_Prod!AE35),ISNUMBER(Amortize_Prod!AE22)),Theory_Rev_Prod!AE35+Amortize_Prod!AE22,"SLO 不可達")</f>
        <v>0.0449201585182448</v>
      </c>
      <c r="AF36" s="155" t="n">
        <f aca="false">IF(AND(ISNUMBER(Theory_Rev_Prod!AF35),ISNUMBER(Amortize_Prod!AF22)),Theory_Rev_Prod!AF35+Amortize_Prod!AF22,"SLO 不可達")</f>
        <v>0.0682644929856207</v>
      </c>
      <c r="AG36" s="155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8" t="s">
        <v>1737</v>
      </c>
      <c r="B46" s="56" t="s">
        <v>2247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8" t="s">
        <v>1760</v>
      </c>
      <c r="B47" s="56" t="s">
        <v>2274</v>
      </c>
      <c r="C47" s="158" t="n">
        <f aca="false">Theory_Rev_Prod!C46*INDEX(B4_EffRef,1,3)/1000000000</f>
        <v>9.08886774488705</v>
      </c>
      <c r="D47" s="158" t="n">
        <f aca="false">Theory_Rev_Prod!D46*INDEX(B4_EffRef,1,3)/1000000000</f>
        <v>9.08886774488705</v>
      </c>
      <c r="E47" s="158" t="n">
        <f aca="false">Theory_Rev_Prod!E46*INDEX(B4_EffRef,1,3)/1000000000</f>
        <v>9.08886774488705</v>
      </c>
      <c r="F47" s="158" t="n">
        <f aca="false">Theory_Rev_Prod!F46*INDEX(B4_EffRef,1,3)/1000000000</f>
        <v>70.8060260045462</v>
      </c>
      <c r="G47" s="158" t="n">
        <f aca="false">Theory_Rev_Prod!G46*INDEX(B4_EffRef,1,3)/1000000000</f>
        <v>70.8060260045462</v>
      </c>
      <c r="H47" s="158" t="n">
        <f aca="false">Theory_Rev_Prod!H46*INDEX(B4_EffRef,1,3)/1000000000</f>
        <v>70.8060260045462</v>
      </c>
      <c r="I47" s="158" t="n">
        <f aca="false">Theory_Rev_Prod!I46*INDEX(B4_EffRef,1,3)/1000000000</f>
        <v>81.6810591163036</v>
      </c>
      <c r="J47" s="158" t="n">
        <f aca="false">Theory_Rev_Prod!J46*INDEX(B4_EffRef,1,3)/1000000000</f>
        <v>81.6810591163036</v>
      </c>
      <c r="K47" s="158" t="n">
        <f aca="false">Theory_Rev_Prod!K46*INDEX(B4_EffRef,1,3)/1000000000</f>
        <v>81.6810591163036</v>
      </c>
      <c r="L47" s="158" t="n">
        <f aca="false">Theory_Rev_Prod!L46*INDEX(B4_EffRef,1,3)/1000000000</f>
        <v>188.934678809326</v>
      </c>
      <c r="M47" s="158" t="n">
        <f aca="false">Theory_Rev_Prod!M46*INDEX(B4_EffRef,1,3)/1000000000</f>
        <v>188.934678809326</v>
      </c>
      <c r="N47" s="158" t="n">
        <f aca="false">Theory_Rev_Prod!N46*INDEX(B4_EffRef,1,3)/1000000000</f>
        <v>188.934678809326</v>
      </c>
      <c r="O47" s="158" t="n">
        <f aca="false">Theory_Rev_Prod!O46*INDEX(B4_EffRef,1,3)/1000000000</f>
        <v>278.482692813541</v>
      </c>
      <c r="P47" s="158" t="n">
        <f aca="false">Theory_Rev_Prod!P46*INDEX(B4_EffRef,1,3)/1000000000</f>
        <v>278.482692813541</v>
      </c>
      <c r="Q47" s="158" t="n">
        <f aca="false">Theory_Rev_Prod!Q46*INDEX(B4_EffRef,1,3)/1000000000</f>
        <v>278.482692813541</v>
      </c>
      <c r="S47" s="158" t="n">
        <f aca="false">Theory_Rev_Prod!S46*INDEX(B4_EffRef,1,3)/1000000000</f>
        <v>18.6899868774826</v>
      </c>
      <c r="T47" s="158" t="n">
        <f aca="false">Theory_Rev_Prod!T46*INDEX(B4_EffRef,1,3)/1000000000</f>
        <v>18.6899868774826</v>
      </c>
      <c r="U47" s="158" t="n">
        <f aca="false">Theory_Rev_Prod!U46*INDEX(B4_EffRef,1,3)/1000000000</f>
        <v>18.6899868774826</v>
      </c>
      <c r="V47" s="158" t="n">
        <f aca="false">Theory_Rev_Prod!V46*INDEX(B4_EffRef,1,3)/1000000000</f>
        <v>96.6283848132214</v>
      </c>
      <c r="W47" s="158" t="n">
        <f aca="false">Theory_Rev_Prod!W46*INDEX(B4_EffRef,1,3)/1000000000</f>
        <v>96.6283848132214</v>
      </c>
      <c r="X47" s="158" t="n">
        <f aca="false">Theory_Rev_Prod!X46*INDEX(B4_EffRef,1,3)/1000000000</f>
        <v>96.6283848132214</v>
      </c>
      <c r="Y47" s="158" t="n">
        <f aca="false">Theory_Rev_Prod!Y46*INDEX(B4_EffRef,1,3)/1000000000</f>
        <v>116.841337205439</v>
      </c>
      <c r="Z47" s="158" t="n">
        <f aca="false">Theory_Rev_Prod!Z46*INDEX(B4_EffRef,1,3)/1000000000</f>
        <v>116.841337205439</v>
      </c>
      <c r="AA47" s="158" t="n">
        <f aca="false">Theory_Rev_Prod!AA46*INDEX(B4_EffRef,1,3)/1000000000</f>
        <v>116.841337205439</v>
      </c>
      <c r="AB47" s="158" t="n">
        <f aca="false">Theory_Rev_Prod!AB46*INDEX(B4_EffRef,1,3)/1000000000</f>
        <v>246.697456312585</v>
      </c>
      <c r="AC47" s="158" t="n">
        <f aca="false">Theory_Rev_Prod!AC46*INDEX(B4_EffRef,1,3)/1000000000</f>
        <v>246.697456312585</v>
      </c>
      <c r="AD47" s="158" t="n">
        <f aca="false">Theory_Rev_Prod!AD46*INDEX(B4_EffRef,1,3)/1000000000</f>
        <v>246.697456312585</v>
      </c>
      <c r="AE47" s="158" t="n">
        <f aca="false">Theory_Rev_Prod!AE46*INDEX(B4_EffRef,1,3)/1000000000</f>
        <v>358.71180915499</v>
      </c>
      <c r="AF47" s="158" t="n">
        <f aca="false">Theory_Rev_Prod!AF46*INDEX(B4_EffRef,1,3)/1000000000</f>
        <v>358.71180915499</v>
      </c>
      <c r="AG47" s="158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8" t="s">
        <v>1745</v>
      </c>
      <c r="B53" s="56" t="s">
        <v>791</v>
      </c>
      <c r="C53" s="154" t="n">
        <f aca="false">Amortize_Prod!C33</f>
        <v>5.57756686435066</v>
      </c>
      <c r="D53" s="154" t="n">
        <f aca="false">Amortize_Prod!D33</f>
        <v>7.96913166521358</v>
      </c>
      <c r="E53" s="154" t="n">
        <f aca="false">Amortize_Prod!E33</f>
        <v>13.6857700286062</v>
      </c>
      <c r="F53" s="154" t="n">
        <f aca="false">Amortize_Prod!F33</f>
        <v>0.69195636564798</v>
      </c>
      <c r="G53" s="154" t="n">
        <f aca="false">Amortize_Prod!G33</f>
        <v>0.923832474189568</v>
      </c>
      <c r="H53" s="154" t="n">
        <f aca="false">Amortize_Prod!H33</f>
        <v>1.49824317188253</v>
      </c>
      <c r="I53" s="154" t="n">
        <f aca="false">Amortize_Prod!I33</f>
        <v>0.778189574375637</v>
      </c>
      <c r="J53" s="154" t="n">
        <f aca="false">Amortize_Prod!J33</f>
        <v>1.00501178330979</v>
      </c>
      <c r="K53" s="154" t="n">
        <f aca="false">Amortize_Prod!K33</f>
        <v>1.71092472615577</v>
      </c>
      <c r="L53" s="154" t="n">
        <f aca="false">Amortize_Prod!L33</f>
        <v>0.363684463990818</v>
      </c>
      <c r="M53" s="154" t="n">
        <f aca="false">Amortize_Prod!M33</f>
        <v>0.467364612124674</v>
      </c>
      <c r="N53" s="154" t="n">
        <f aca="false">Amortize_Prod!N33</f>
        <v>0.754904594344097</v>
      </c>
      <c r="O53" s="154" t="n">
        <f aca="false">Amortize_Prod!O33</f>
        <v>0.259425247110484</v>
      </c>
      <c r="P53" s="154" t="n">
        <f aca="false">Amortize_Prod!P33</f>
        <v>0.394174751660967</v>
      </c>
      <c r="Q53" s="154" t="n">
        <f aca="false">Amortize_Prod!Q33</f>
        <v>0.719398066442766</v>
      </c>
      <c r="S53" s="154" t="n">
        <f aca="false">Amortize_Prod!S33</f>
        <v>2.55728838640192</v>
      </c>
      <c r="T53" s="154" t="n">
        <f aca="false">Amortize_Prod!T33</f>
        <v>3.65375785529338</v>
      </c>
      <c r="U53" s="154" t="n">
        <f aca="false">Amortize_Prod!U33</f>
        <v>6.2746859722702</v>
      </c>
      <c r="V53" s="154" t="n">
        <f aca="false">Amortize_Prod!V33</f>
        <v>0.500258998810704</v>
      </c>
      <c r="W53" s="154" t="n">
        <f aca="false">Amortize_Prod!W33</f>
        <v>0.667876164712613</v>
      </c>
      <c r="X53" s="154" t="n">
        <f aca="false">Amortize_Prod!X33</f>
        <v>1.08310261394278</v>
      </c>
      <c r="Y53" s="154" t="n">
        <f aca="false">Amortize_Prod!Y33</f>
        <v>0.536385918424571</v>
      </c>
      <c r="Z53" s="154" t="n">
        <f aca="false">Amortize_Prod!Z33</f>
        <v>0.692708368266773</v>
      </c>
      <c r="AA53" s="154" t="n">
        <f aca="false">Amortize_Prod!AA33</f>
        <v>1.1792129355203</v>
      </c>
      <c r="AB53" s="154" t="n">
        <f aca="false">Amortize_Prod!AB33</f>
        <v>0.275196951960023</v>
      </c>
      <c r="AC53" s="154" t="n">
        <f aca="false">Amortize_Prod!AC33</f>
        <v>0.353635347542499</v>
      </c>
      <c r="AD53" s="154" t="n">
        <f aca="false">Amortize_Prod!AD33</f>
        <v>0.571171445600413</v>
      </c>
      <c r="AE53" s="154" t="n">
        <f aca="false">Amortize_Prod!AE33</f>
        <v>0.199188660250764</v>
      </c>
      <c r="AF53" s="154" t="n">
        <f aca="false">Amortize_Prod!AF33</f>
        <v>0.302623399033489</v>
      </c>
      <c r="AG53" s="154" t="n">
        <f aca="false">Amortize_Prod!AG33</f>
        <v>0.5522672750739</v>
      </c>
    </row>
    <row r="54" customFormat="false" ht="15" hidden="false" customHeight="false" outlineLevel="0" collapsed="false">
      <c r="A54" s="58" t="s">
        <v>1762</v>
      </c>
      <c r="B54" s="56" t="s">
        <v>791</v>
      </c>
      <c r="C54" s="155" t="n">
        <f aca="false">IF(AND(ISNUMBER(Theory_Rev_Prod!C53),ISNUMBER(Amortize_Prod!C32)),Theory_Rev_Prod!C53+Amortize_Prod!C32,"SLO 不可達")</f>
        <v>13.8187128955432</v>
      </c>
      <c r="D54" s="155" t="n">
        <f aca="false">IF(AND(ISNUMBER(Theory_Rev_Prod!D53),ISNUMBER(Amortize_Prod!D32)),Theory_Rev_Prod!D53+Amortize_Prod!D32,"SLO 不可達")</f>
        <v>19.744080898004</v>
      </c>
      <c r="E54" s="155" t="n">
        <f aca="false">IF(AND(ISNUMBER(Theory_Rev_Prod!E53),ISNUMBER(Amortize_Prod!E32)),Theory_Rev_Prod!E53+Amortize_Prod!E32,"SLO 不可達")</f>
        <v>33.9076887700821</v>
      </c>
      <c r="F54" s="155" t="n">
        <f aca="false">IF(AND(ISNUMBER(Theory_Rev_Prod!F53),ISNUMBER(Amortize_Prod!F32)),Theory_Rev_Prod!F53+Amortize_Prod!F32,"SLO 不可達")</f>
        <v>1.25766742001632</v>
      </c>
      <c r="G54" s="155" t="n">
        <f aca="false">IF(AND(ISNUMBER(Theory_Rev_Prod!G53),ISNUMBER(Amortize_Prod!G32)),Theory_Rev_Prod!G53+Amortize_Prod!G32,"SLO 不可達")</f>
        <v>1.6791757326567</v>
      </c>
      <c r="H54" s="155" t="n">
        <f aca="false">IF(AND(ISNUMBER(Theory_Rev_Prod!H53),ISNUMBER(Amortize_Prod!H32)),Theory_Rev_Prod!H53+Amortize_Prod!H32,"SLO 不可達")</f>
        <v>2.72334921594475</v>
      </c>
      <c r="I54" s="155" t="n">
        <f aca="false">IF(AND(ISNUMBER(Theory_Rev_Prod!I53),ISNUMBER(Amortize_Prod!I32)),Theory_Rev_Prod!I53+Amortize_Prod!I32,"SLO 不可達")</f>
        <v>1.30458253122324</v>
      </c>
      <c r="J54" s="155" t="n">
        <f aca="false">IF(AND(ISNUMBER(Theory_Rev_Prod!J53),ISNUMBER(Amortize_Prod!J32)),Theory_Rev_Prod!J53+Amortize_Prod!J32,"SLO 不可達")</f>
        <v>1.6848787498844</v>
      </c>
      <c r="K54" s="155" t="n">
        <f aca="false">IF(AND(ISNUMBER(Theory_Rev_Prod!K53),ISNUMBER(Amortize_Prod!K32)),Theory_Rev_Prod!K53+Amortize_Prod!K32,"SLO 不可達")</f>
        <v>2.86843138403682</v>
      </c>
      <c r="L54" s="155" t="n">
        <f aca="false">IF(AND(ISNUMBER(Theory_Rev_Prod!L53),ISNUMBER(Amortize_Prod!L32)),Theory_Rev_Prod!L53+Amortize_Prod!L32,"SLO 不可達")</f>
        <v>0.550105101834505</v>
      </c>
      <c r="M54" s="155" t="n">
        <f aca="false">IF(AND(ISNUMBER(Theory_Rev_Prod!M53),ISNUMBER(Amortize_Prod!M32)),Theory_Rev_Prod!M53+Amortize_Prod!M32,"SLO 不可達")</f>
        <v>0.706963190029358</v>
      </c>
      <c r="N54" s="155" t="n">
        <f aca="false">IF(AND(ISNUMBER(Theory_Rev_Prod!N53),ISNUMBER(Amortize_Prod!N32)),Theory_Rev_Prod!N53+Amortize_Prod!N32,"SLO 不可達")</f>
        <v>1.14198351650778</v>
      </c>
      <c r="O54" s="155" t="n">
        <f aca="false">IF(AND(ISNUMBER(Theory_Rev_Prod!O53),ISNUMBER(Amortize_Prod!O32)),Theory_Rev_Prod!O53+Amortize_Prod!O32,"SLO 不可達")</f>
        <v>0.352607903361854</v>
      </c>
      <c r="P54" s="155" t="n">
        <f aca="false">IF(AND(ISNUMBER(Theory_Rev_Prod!P53),ISNUMBER(Amortize_Prod!P32)),Theory_Rev_Prod!P53+Amortize_Prod!P32,"SLO 不可達")</f>
        <v>0.535799612330799</v>
      </c>
      <c r="Q54" s="155" t="n">
        <f aca="false">IF(AND(ISNUMBER(Theory_Rev_Prod!Q53),ISNUMBER(Amortize_Prod!Q32)),Theory_Rev_Prod!Q53+Amortize_Prod!Q32,"SLO 不可達")</f>
        <v>0.97794012357181</v>
      </c>
      <c r="S54" s="155" t="n">
        <f aca="false">IF(AND(ISNUMBER(Theory_Rev_Prod!S53),ISNUMBER(Amortize_Prod!S32)),Theory_Rev_Prod!S53+Amortize_Prod!S32,"SLO 不可達")</f>
        <v>6.77389042755267</v>
      </c>
      <c r="T54" s="155" t="n">
        <f aca="false">IF(AND(ISNUMBER(Theory_Rev_Prod!T53),ISNUMBER(Amortize_Prod!T32)),Theory_Rev_Prod!T53+Amortize_Prod!T32,"SLO 不可達")</f>
        <v>9.67843874087721</v>
      </c>
      <c r="U54" s="155" t="n">
        <f aca="false">IF(AND(ISNUMBER(Theory_Rev_Prod!U53),ISNUMBER(Amortize_Prod!U32)),Theory_Rev_Prod!U53+Amortize_Prod!U32,"SLO 不可達")</f>
        <v>16.6212789726315</v>
      </c>
      <c r="V54" s="155" t="n">
        <f aca="false">IF(AND(ISNUMBER(Theory_Rev_Prod!V53),ISNUMBER(Amortize_Prod!V32)),Theory_Rev_Prod!V53+Amortize_Prod!V32,"SLO 不可達")</f>
        <v>0.902351992967805</v>
      </c>
      <c r="W54" s="155" t="n">
        <f aca="false">IF(AND(ISNUMBER(Theory_Rev_Prod!W53),ISNUMBER(Amortize_Prod!W32)),Theory_Rev_Prod!W53+Amortize_Prod!W32,"SLO 不可達")</f>
        <v>1.20475489470766</v>
      </c>
      <c r="X54" s="155" t="n">
        <f aca="false">IF(AND(ISNUMBER(Theory_Rev_Prod!X53),ISNUMBER(Amortize_Prod!X32)),Theory_Rev_Prod!X53+Amortize_Prod!X32,"SLO 不可達")</f>
        <v>1.95387675493419</v>
      </c>
      <c r="Y54" s="155" t="n">
        <f aca="false">IF(AND(ISNUMBER(Theory_Rev_Prod!Y53),ISNUMBER(Amortize_Prod!Y32)),Theory_Rev_Prod!Y53+Amortize_Prod!Y32,"SLO 不可達")</f>
        <v>0.903208960889859</v>
      </c>
      <c r="Z54" s="155" t="n">
        <f aca="false">IF(AND(ISNUMBER(Theory_Rev_Prod!Z53),ISNUMBER(Amortize_Prod!Z32)),Theory_Rev_Prod!Z53+Amortize_Prod!Z32,"SLO 不可達")</f>
        <v>1.16648155597062</v>
      </c>
      <c r="AA54" s="155" t="n">
        <f aca="false">IF(AND(ISNUMBER(Theory_Rev_Prod!AA53),ISNUMBER(Amortize_Prod!AA32)),Theory_Rev_Prod!AA53+Amortize_Prod!AA32,"SLO 不可達")</f>
        <v>1.98583488665837</v>
      </c>
      <c r="AB54" s="155" t="n">
        <f aca="false">IF(AND(ISNUMBER(Theory_Rev_Prod!AB53),ISNUMBER(Amortize_Prod!AB32)),Theory_Rev_Prod!AB53+Amortize_Prod!AB32,"SLO 不可達")</f>
        <v>0.411354577285165</v>
      </c>
      <c r="AC54" s="155" t="n">
        <f aca="false">IF(AND(ISNUMBER(Theory_Rev_Prod!AC53),ISNUMBER(Amortize_Prod!AC32)),Theory_Rev_Prod!AC53+Amortize_Prod!AC32,"SLO 不可達")</f>
        <v>0.528632996816382</v>
      </c>
      <c r="AD54" s="155" t="n">
        <f aca="false">IF(AND(ISNUMBER(Theory_Rev_Prod!AD53),ISNUMBER(Amortize_Prod!AD32)),Theory_Rev_Prod!AD53+Amortize_Prod!AD32,"SLO 不可達")</f>
        <v>0.85388556708848</v>
      </c>
      <c r="AE54" s="155" t="n">
        <f aca="false">IF(AND(ISNUMBER(Theory_Rev_Prod!AE53),ISNUMBER(Amortize_Prod!AE32)),Theory_Rev_Prod!AE53+Amortize_Prod!AE32,"SLO 不可達")</f>
        <v>0.268797402426283</v>
      </c>
      <c r="AF54" s="155" t="n">
        <f aca="false">IF(AND(ISNUMBER(Theory_Rev_Prod!AF53),ISNUMBER(Amortize_Prod!AF32)),Theory_Rev_Prod!AF53+Amortize_Prod!AF32,"SLO 不可達")</f>
        <v>0.408419142668617</v>
      </c>
      <c r="AG54" s="155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1768</v>
      </c>
      <c r="B67" s="56" t="s">
        <v>2274</v>
      </c>
      <c r="C67" s="158" t="n">
        <f aca="false">IF(Fleet_1GW_Prod!C18=1,(Fleet_1GW_Prod!C21*INDEX(B4_EffRef,1,1)+Fleet_1GW_Prod!C24*INDEX(B4_EffRef,1,2)+Fleet_1GW_Prod!C27*INDEX(B4_EffRef,1,3))/1000000000,"SLO 不可達")</f>
        <v>2.24296199760285</v>
      </c>
      <c r="D67" s="158" t="n">
        <f aca="false">IF(Fleet_1GW_Prod!D18=1,(Fleet_1GW_Prod!D21*INDEX(B4_EffRef,1,1)+Fleet_1GW_Prod!D24*INDEX(B4_EffRef,1,2)+Fleet_1GW_Prod!D27*INDEX(B4_EffRef,1,3))/1000000000,"SLO 不可達")</f>
        <v>2.24296199760285</v>
      </c>
      <c r="E67" s="158" t="n">
        <f aca="false">IF(Fleet_1GW_Prod!E18=1,(Fleet_1GW_Prod!E21*INDEX(B4_EffRef,1,1)+Fleet_1GW_Prod!E24*INDEX(B4_EffRef,1,2)+Fleet_1GW_Prod!E27*INDEX(B4_EffRef,1,3))/1000000000,"SLO 不可達")</f>
        <v>2.24296199760285</v>
      </c>
      <c r="F67" s="158" t="n">
        <f aca="false">IF(Fleet_1GW_Prod!F18=1,(Fleet_1GW_Prod!F21*INDEX(B4_EffRef,1,1)+Fleet_1GW_Prod!F24*INDEX(B4_EffRef,1,2)+Fleet_1GW_Prod!F27*INDEX(B4_EffRef,1,3))/1000000000,"SLO 不可達")</f>
        <v>15.2851605558118</v>
      </c>
      <c r="G67" s="158" t="n">
        <f aca="false">IF(Fleet_1GW_Prod!G18=1,(Fleet_1GW_Prod!G21*INDEX(B4_EffRef,1,1)+Fleet_1GW_Prod!G24*INDEX(B4_EffRef,1,2)+Fleet_1GW_Prod!G27*INDEX(B4_EffRef,1,3))/1000000000,"SLO 不可達")</f>
        <v>15.2851605558118</v>
      </c>
      <c r="H67" s="158" t="n">
        <f aca="false">IF(Fleet_1GW_Prod!H18=1,(Fleet_1GW_Prod!H21*INDEX(B4_EffRef,1,1)+Fleet_1GW_Prod!H24*INDEX(B4_EffRef,1,2)+Fleet_1GW_Prod!H27*INDEX(B4_EffRef,1,3))/1000000000,"SLO 不可達")</f>
        <v>15.2851605558118</v>
      </c>
      <c r="I67" s="158" t="n">
        <f aca="false">IF(Fleet_1GW_Prod!I18=1,(Fleet_1GW_Prod!I21*INDEX(B4_EffRef,1,1)+Fleet_1GW_Prod!I24*INDEX(B4_EffRef,1,2)+Fleet_1GW_Prod!I27*INDEX(B4_EffRef,1,3))/1000000000,"SLO 不可達")</f>
        <v>19.2324652424837</v>
      </c>
      <c r="J67" s="158" t="n">
        <f aca="false">IF(Fleet_1GW_Prod!J18=1,(Fleet_1GW_Prod!J21*INDEX(B4_EffRef,1,1)+Fleet_1GW_Prod!J24*INDEX(B4_EffRef,1,2)+Fleet_1GW_Prod!J27*INDEX(B4_EffRef,1,3))/1000000000,"SLO 不可達")</f>
        <v>19.2324652424837</v>
      </c>
      <c r="K67" s="158" t="n">
        <f aca="false">IF(Fleet_1GW_Prod!K18=1,(Fleet_1GW_Prod!K21*INDEX(B4_EffRef,1,1)+Fleet_1GW_Prod!K24*INDEX(B4_EffRef,1,2)+Fleet_1GW_Prod!K27*INDEX(B4_EffRef,1,3))/1000000000,"SLO 不可達")</f>
        <v>19.2324652424837</v>
      </c>
      <c r="L67" s="158" t="n">
        <f aca="false">IF(Fleet_1GW_Prod!L18=1,(Fleet_1GW_Prod!L21*INDEX(B4_EffRef,1,1)+Fleet_1GW_Prod!L24*INDEX(B4_EffRef,1,2)+Fleet_1GW_Prod!L27*INDEX(B4_EffRef,1,3))/1000000000,"SLO 不可達")</f>
        <v>38.1145472754025</v>
      </c>
      <c r="M67" s="158" t="n">
        <f aca="false">IF(Fleet_1GW_Prod!M18=1,(Fleet_1GW_Prod!M21*INDEX(B4_EffRef,1,1)+Fleet_1GW_Prod!M24*INDEX(B4_EffRef,1,2)+Fleet_1GW_Prod!M27*INDEX(B4_EffRef,1,3))/1000000000,"SLO 不可達")</f>
        <v>38.1145472754025</v>
      </c>
      <c r="N67" s="158" t="n">
        <f aca="false">IF(Fleet_1GW_Prod!N18=1,(Fleet_1GW_Prod!N21*INDEX(B4_EffRef,1,1)+Fleet_1GW_Prod!N24*INDEX(B4_EffRef,1,2)+Fleet_1GW_Prod!N27*INDEX(B4_EffRef,1,3))/1000000000,"SLO 不可達")</f>
        <v>38.1145472754025</v>
      </c>
      <c r="O67" s="158" t="n">
        <f aca="false">IF(Fleet_1GW_Prod!O18=1,(Fleet_1GW_Prod!O21*INDEX(B4_EffRef,1,1)+Fleet_1GW_Prod!O24*INDEX(B4_EffRef,1,2)+Fleet_1GW_Prod!O27*INDEX(B4_EffRef,1,3))/1000000000,"SLO 不可達")</f>
        <v>54.4181760054532</v>
      </c>
      <c r="P67" s="158" t="n">
        <f aca="false">IF(Fleet_1GW_Prod!P18=1,(Fleet_1GW_Prod!P21*INDEX(B4_EffRef,1,1)+Fleet_1GW_Prod!P24*INDEX(B4_EffRef,1,2)+Fleet_1GW_Prod!P27*INDEX(B4_EffRef,1,3))/1000000000,"SLO 不可達")</f>
        <v>54.4181760054532</v>
      </c>
      <c r="Q67" s="158" t="n">
        <f aca="false">IF(Fleet_1GW_Prod!Q18=1,(Fleet_1GW_Prod!Q21*INDEX(B4_EffRef,1,1)+Fleet_1GW_Prod!Q24*INDEX(B4_EffRef,1,2)+Fleet_1GW_Prod!Q27*INDEX(B4_EffRef,1,3))/1000000000,"SLO 不可達")</f>
        <v>54.4181760054532</v>
      </c>
      <c r="S67" s="158" t="n">
        <f aca="false">IF(Fleet_1GW_Prod!S18=1,(Fleet_1GW_Prod!S21*INDEX(B4_EffRef,1,1)+Fleet_1GW_Prod!S24*INDEX(B4_EffRef,1,2)+Fleet_1GW_Prod!S27*INDEX(B4_EffRef,1,3))/1000000000,"SLO 不可達")</f>
        <v>4.00488774987164</v>
      </c>
      <c r="T67" s="158" t="n">
        <f aca="false">IF(Fleet_1GW_Prod!T18=1,(Fleet_1GW_Prod!T21*INDEX(B4_EffRef,1,1)+Fleet_1GW_Prod!T24*INDEX(B4_EffRef,1,2)+Fleet_1GW_Prod!T27*INDEX(B4_EffRef,1,3))/1000000000,"SLO 不可達")</f>
        <v>4.00488774987164</v>
      </c>
      <c r="U67" s="158" t="n">
        <f aca="false">IF(Fleet_1GW_Prod!U18=1,(Fleet_1GW_Prod!U21*INDEX(B4_EffRef,1,1)+Fleet_1GW_Prod!U24*INDEX(B4_EffRef,1,2)+Fleet_1GW_Prod!U27*INDEX(B4_EffRef,1,3))/1000000000,"SLO 不可達")</f>
        <v>4.00488774987164</v>
      </c>
      <c r="V67" s="158" t="n">
        <f aca="false">IF(Fleet_1GW_Prod!V18=1,(Fleet_1GW_Prod!V21*INDEX(B4_EffRef,1,1)+Fleet_1GW_Prod!V24*INDEX(B4_EffRef,1,2)+Fleet_1GW_Prod!V27*INDEX(B4_EffRef,1,3))/1000000000,"SLO 不可達")</f>
        <v>20.1746158611128</v>
      </c>
      <c r="W67" s="158" t="n">
        <f aca="false">IF(Fleet_1GW_Prod!W18=1,(Fleet_1GW_Prod!W21*INDEX(B4_EffRef,1,1)+Fleet_1GW_Prod!W24*INDEX(B4_EffRef,1,2)+Fleet_1GW_Prod!W27*INDEX(B4_EffRef,1,3))/1000000000,"SLO 不可達")</f>
        <v>20.1746158611128</v>
      </c>
      <c r="X67" s="158" t="n">
        <f aca="false">IF(Fleet_1GW_Prod!X18=1,(Fleet_1GW_Prod!X21*INDEX(B4_EffRef,1,1)+Fleet_1GW_Prod!X24*INDEX(B4_EffRef,1,2)+Fleet_1GW_Prod!X27*INDEX(B4_EffRef,1,3))/1000000000,"SLO 不可達")</f>
        <v>20.1746158611128</v>
      </c>
      <c r="Y67" s="158" t="n">
        <f aca="false">IF(Fleet_1GW_Prod!Y18=1,(Fleet_1GW_Prod!Y21*INDEX(B4_EffRef,1,1)+Fleet_1GW_Prod!Y24*INDEX(B4_EffRef,1,2)+Fleet_1GW_Prod!Y27*INDEX(B4_EffRef,1,3))/1000000000,"SLO 不可達")</f>
        <v>26.2652356996766</v>
      </c>
      <c r="Z67" s="158" t="n">
        <f aca="false">IF(Fleet_1GW_Prod!Z18=1,(Fleet_1GW_Prod!Z21*INDEX(B4_EffRef,1,1)+Fleet_1GW_Prod!Z24*INDEX(B4_EffRef,1,2)+Fleet_1GW_Prod!Z27*INDEX(B4_EffRef,1,3))/1000000000,"SLO 不可達")</f>
        <v>26.2652356996766</v>
      </c>
      <c r="AA67" s="158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8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8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8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8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8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8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7" t="s">
        <v>2275</v>
      </c>
    </row>
    <row r="90" customFormat="false" ht="15" hidden="false" customHeight="false" outlineLevel="0" collapsed="false">
      <c r="A90" s="56" t="s">
        <v>2276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2277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2278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2279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2280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2281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2282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2283</v>
      </c>
    </row>
    <row r="2" customFormat="false" ht="15" hidden="false" customHeight="true" outlineLevel="0" collapsed="false">
      <c r="A2" s="3" t="s">
        <v>2284</v>
      </c>
    </row>
    <row r="3" customFormat="false" ht="15" hidden="false" customHeight="true" outlineLevel="0" collapsed="false">
      <c r="A3" s="42" t="s">
        <v>2285</v>
      </c>
    </row>
    <row r="4" customFormat="false" ht="15" hidden="false" customHeight="true" outlineLevel="0" collapsed="false">
      <c r="A4" s="20" t="s">
        <v>2286</v>
      </c>
      <c r="B4" s="20" t="s">
        <v>73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2287</v>
      </c>
      <c r="S4" s="82" t="s">
        <v>2288</v>
      </c>
      <c r="T4" s="81" t="s">
        <v>2289</v>
      </c>
      <c r="U4" s="81" t="s">
        <v>2290</v>
      </c>
      <c r="V4" s="81" t="s">
        <v>2291</v>
      </c>
      <c r="W4" s="81" t="s">
        <v>2292</v>
      </c>
      <c r="X4" s="81" t="s">
        <v>2293</v>
      </c>
      <c r="Y4" s="81" t="s">
        <v>2294</v>
      </c>
    </row>
    <row r="5" customFormat="false" ht="15" hidden="false" customHeight="true" outlineLevel="0" collapsed="false">
      <c r="A5" s="20" t="s">
        <v>28</v>
      </c>
      <c r="C5" s="34" t="s">
        <v>74</v>
      </c>
      <c r="D5" s="34" t="s">
        <v>75</v>
      </c>
      <c r="E5" s="34" t="s">
        <v>76</v>
      </c>
      <c r="F5" s="34" t="s">
        <v>74</v>
      </c>
      <c r="G5" s="34" t="s">
        <v>75</v>
      </c>
      <c r="H5" s="34" t="s">
        <v>76</v>
      </c>
      <c r="I5" s="34" t="s">
        <v>74</v>
      </c>
      <c r="J5" s="34" t="s">
        <v>75</v>
      </c>
      <c r="K5" s="34" t="s">
        <v>76</v>
      </c>
      <c r="L5" s="34" t="s">
        <v>74</v>
      </c>
      <c r="M5" s="34" t="s">
        <v>75</v>
      </c>
      <c r="N5" s="34" t="s">
        <v>76</v>
      </c>
      <c r="O5" s="34" t="s">
        <v>74</v>
      </c>
      <c r="P5" s="34" t="s">
        <v>75</v>
      </c>
      <c r="Q5" s="34" t="s">
        <v>76</v>
      </c>
    </row>
    <row r="6" customFormat="false" ht="15" hidden="false" customHeight="true" outlineLevel="0" collapsed="false">
      <c r="A6" s="20" t="s">
        <v>2295</v>
      </c>
      <c r="B6" s="21" t="s">
        <v>725</v>
      </c>
      <c r="C6" s="27" t="n">
        <f aca="false">(DC_Cost!C12)/CTL_GW</f>
        <v>22439</v>
      </c>
      <c r="D6" s="173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3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3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3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3" t="n">
        <f aca="false">(DC_Cost!P12)/CTL_GW</f>
        <v>2705</v>
      </c>
      <c r="Q6" s="27" t="n">
        <f aca="false">(DC_Cost!Q12)/CTL_GW</f>
        <v>2705</v>
      </c>
      <c r="R6" s="174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604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2296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2297</v>
      </c>
      <c r="B7" s="21" t="s">
        <v>719</v>
      </c>
      <c r="C7" s="27" t="n">
        <f aca="false">(DC_Cost!C14)/CTL_GW</f>
        <v>718048</v>
      </c>
      <c r="D7" s="173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3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3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3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3" t="n">
        <f aca="false">(DC_Cost!P14)/CTL_GW</f>
        <v>194760</v>
      </c>
      <c r="Q7" s="27" t="n">
        <f aca="false">(DC_Cost!Q14)/CTL_GW</f>
        <v>194760</v>
      </c>
      <c r="R7" s="174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604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2298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2299</v>
      </c>
      <c r="B8" s="16" t="s">
        <v>81</v>
      </c>
      <c r="C8" s="128" t="n">
        <f aca="false">(DC_Cost!C16/1000)/CTL_GW</f>
        <v>1.1</v>
      </c>
      <c r="D8" s="175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5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5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5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5" t="n">
        <f aca="false">(DC_Cost!P16/1000)/CTL_GW</f>
        <v>1.2</v>
      </c>
      <c r="Q8" s="128" t="n">
        <f aca="false">(DC_Cost!Q16/1000)/CTL_GW</f>
        <v>1.3</v>
      </c>
      <c r="R8" s="174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604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2300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2301</v>
      </c>
      <c r="B9" s="16" t="s">
        <v>863</v>
      </c>
      <c r="C9" s="36" t="n">
        <f aca="false">(DC_Cost!C24)/CTL_GW</f>
        <v>21.4202694</v>
      </c>
      <c r="D9" s="176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6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6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6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6" t="n">
        <f aca="false">(DC_Cost!P24)/CTL_GW</f>
        <v>50.08578</v>
      </c>
      <c r="Q9" s="36" t="n">
        <f aca="false">(DC_Cost!Q24)/CTL_GW</f>
        <v>65.481558</v>
      </c>
      <c r="R9" s="174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604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2302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2303</v>
      </c>
      <c r="B10" s="16" t="s">
        <v>863</v>
      </c>
      <c r="C10" s="36" t="n">
        <f aca="false">(DC_Cost!C32)/CTL_GW</f>
        <v>10.212</v>
      </c>
      <c r="D10" s="176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6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6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6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6" t="n">
        <f aca="false">(DC_Cost!P32)/CTL_GW</f>
        <v>12.67</v>
      </c>
      <c r="Q10" s="36" t="n">
        <f aca="false">(DC_Cost!Q32)/CTL_GW</f>
        <v>16.186</v>
      </c>
      <c r="R10" s="174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604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2304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2305</v>
      </c>
      <c r="B11" s="16" t="s">
        <v>863</v>
      </c>
      <c r="C11" s="36" t="n">
        <f aca="false">(DC_Cost!C33)/CTL_GW</f>
        <v>31.6322694</v>
      </c>
      <c r="D11" s="176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6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6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6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6" t="n">
        <f aca="false">(DC_Cost!P33)/CTL_GW</f>
        <v>62.75578</v>
      </c>
      <c r="Q11" s="36" t="n">
        <f aca="false">(DC_Cost!Q33)/CTL_GW</f>
        <v>81.667558</v>
      </c>
      <c r="R11" s="174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604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2306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2307</v>
      </c>
      <c r="B12" s="16" t="s">
        <v>2308</v>
      </c>
      <c r="C12" s="177" t="n">
        <f aca="false">(DC_Cost!C49)/CTL_GW</f>
        <v>5.19000377241587</v>
      </c>
      <c r="D12" s="178" t="n">
        <f aca="false">(DC_Cost!D49)/CTL_GW</f>
        <v>7.10411981353067</v>
      </c>
      <c r="E12" s="177" t="n">
        <f aca="false">(DC_Cost!E49)/CTL_GW</f>
        <v>12.2070705365445</v>
      </c>
      <c r="F12" s="177" t="n">
        <f aca="false">(DC_Cost!F49)/CTL_GW</f>
        <v>5.04951503784896</v>
      </c>
      <c r="G12" s="178" t="n">
        <f aca="false">(DC_Cost!G49)/CTL_GW</f>
        <v>6.44917840537967</v>
      </c>
      <c r="H12" s="177" t="n">
        <f aca="false">(DC_Cost!H49)/CTL_GW</f>
        <v>10.4195985807088</v>
      </c>
      <c r="I12" s="177" t="n">
        <f aca="false">(DC_Cost!I49)/CTL_GW</f>
        <v>6.47360284700915</v>
      </c>
      <c r="J12" s="178" t="n">
        <f aca="false">(DC_Cost!J49)/CTL_GW</f>
        <v>7.98992214647791</v>
      </c>
      <c r="K12" s="177" t="n">
        <f aca="false">(DC_Cost!K49)/CTL_GW</f>
        <v>13.6330236684808</v>
      </c>
      <c r="L12" s="177" t="n">
        <f aca="false">(DC_Cost!L49)/CTL_GW</f>
        <v>7.32251312176997</v>
      </c>
      <c r="M12" s="178" t="n">
        <f aca="false">(DC_Cost!M49)/CTL_GW</f>
        <v>8.9923042149807</v>
      </c>
      <c r="N12" s="177" t="n">
        <f aca="false">(DC_Cost!N49)/CTL_GW</f>
        <v>14.5598263108425</v>
      </c>
      <c r="O12" s="177" t="n">
        <f aca="false">(DC_Cost!O49)/CTL_GW</f>
        <v>7.78527570436843</v>
      </c>
      <c r="P12" s="178" t="n">
        <f aca="false">(DC_Cost!P49)/CTL_GW</f>
        <v>11.3345929943372</v>
      </c>
      <c r="Q12" s="177" t="n">
        <f aca="false">(DC_Cost!Q49)/CTL_GW</f>
        <v>20.8704255692031</v>
      </c>
      <c r="R12" s="174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604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2309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2310</v>
      </c>
      <c r="B13" s="16" t="s">
        <v>2308</v>
      </c>
      <c r="C13" s="177" t="n">
        <f aca="false">(DC_Cost!C55)/CTL_GW</f>
        <v>6.79107465326444</v>
      </c>
      <c r="D13" s="178" t="n">
        <f aca="false">(DC_Cost!D55)/CTL_GW</f>
        <v>9.70308728611469</v>
      </c>
      <c r="E13" s="177" t="n">
        <f aca="false">(DC_Cost!E55)/CTL_GW</f>
        <v>16.6637697337026</v>
      </c>
      <c r="F13" s="177" t="n">
        <f aca="false">(DC_Cost!F55)/CTL_GW</f>
        <v>6.6118162762144</v>
      </c>
      <c r="G13" s="178" t="n">
        <f aca="false">(DC_Cost!G55)/CTL_GW</f>
        <v>8.82816556596761</v>
      </c>
      <c r="H13" s="177" t="n">
        <f aca="false">(DC_Cost!H55)/CTL_GW</f>
        <v>14.3185748619737</v>
      </c>
      <c r="I13" s="177" t="n">
        <f aca="false">(DC_Cost!I55)/CTL_GW</f>
        <v>8.42889912085495</v>
      </c>
      <c r="J13" s="178" t="n">
        <f aca="false">(DC_Cost!J55)/CTL_GW</f>
        <v>10.8864110021101</v>
      </c>
      <c r="K13" s="177" t="n">
        <f aca="false">(DC_Cost!K55)/CTL_GW</f>
        <v>18.5346455040469</v>
      </c>
      <c r="L13" s="177" t="n">
        <f aca="false">(DC_Cost!L55)/CTL_GW</f>
        <v>9.51207691858967</v>
      </c>
      <c r="M13" s="178" t="n">
        <f aca="false">(DC_Cost!M55)/CTL_GW</f>
        <v>12.2254710045841</v>
      </c>
      <c r="N13" s="177" t="n">
        <f aca="false">(DC_Cost!N55)/CTL_GW</f>
        <v>19.7506269894487</v>
      </c>
      <c r="O13" s="177" t="n">
        <f aca="false">(DC_Cost!O55)/CTL_GW</f>
        <v>10.1025446864987</v>
      </c>
      <c r="P13" s="178" t="n">
        <f aca="false">(DC_Cost!P55)/CTL_GW</f>
        <v>15.3544827030524</v>
      </c>
      <c r="Q13" s="177" t="n">
        <f aca="false">(DC_Cost!Q55)/CTL_GW</f>
        <v>28.0302450108258</v>
      </c>
      <c r="R13" s="174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604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2309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895</v>
      </c>
      <c r="B14" s="16" t="s">
        <v>836</v>
      </c>
      <c r="C14" s="177" t="n">
        <f aca="false">DC_Cost!C58</f>
        <v>1.07964486018265</v>
      </c>
      <c r="D14" s="178" t="n">
        <f aca="false">DC_Cost!D58</f>
        <v>1.54259654785589</v>
      </c>
      <c r="E14" s="177" t="n">
        <f aca="false">DC_Cost!E58</f>
        <v>2.64920565047995</v>
      </c>
      <c r="F14" s="177" t="n">
        <f aca="false">DC_Cost!F58</f>
        <v>1.50422814430785</v>
      </c>
      <c r="G14" s="178" t="n">
        <f aca="false">DC_Cost!G58</f>
        <v>2.00846099652078</v>
      </c>
      <c r="H14" s="177" t="n">
        <f aca="false">DC_Cost!H58</f>
        <v>3.25756227849869</v>
      </c>
      <c r="I14" s="177" t="n">
        <f aca="false">DC_Cost!I58</f>
        <v>1.97574392204647</v>
      </c>
      <c r="J14" s="178" t="n">
        <f aca="false">DC_Cost!J58</f>
        <v>2.55178761329595</v>
      </c>
      <c r="K14" s="177" t="n">
        <f aca="false">DC_Cost!K58</f>
        <v>4.34454282544458</v>
      </c>
      <c r="L14" s="177" t="n">
        <f aca="false">DC_Cost!L58</f>
        <v>3.72193954123947</v>
      </c>
      <c r="M14" s="178" t="n">
        <f aca="false">DC_Cost!M58</f>
        <v>4.78365180724219</v>
      </c>
      <c r="N14" s="177" t="n">
        <f aca="false">DC_Cost!N58</f>
        <v>7.72813762813851</v>
      </c>
      <c r="O14" s="177" t="n">
        <f aca="false">DC_Cost!O58</f>
        <v>5.92143420546319</v>
      </c>
      <c r="P14" s="178" t="n">
        <f aca="false">DC_Cost!P58</f>
        <v>8.99976806898525</v>
      </c>
      <c r="Q14" s="177" t="n">
        <f aca="false">DC_Cost!Q58</f>
        <v>16.4294498807254</v>
      </c>
      <c r="R14" s="174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604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2309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2311</v>
      </c>
      <c r="B15" s="16" t="s">
        <v>2308</v>
      </c>
      <c r="C15" s="177" t="n">
        <f aca="false">(DC_Cost!C43)/CTL_GW</f>
        <v>0.404712</v>
      </c>
      <c r="D15" s="178" t="n">
        <f aca="false">(DC_Cost!D43)/CTL_GW</f>
        <v>0.672768</v>
      </c>
      <c r="E15" s="177" t="n">
        <f aca="false">(DC_Cost!E43)/CTL_GW</f>
        <v>1.02492</v>
      </c>
      <c r="F15" s="177" t="n">
        <f aca="false">(DC_Cost!F43)/CTL_GW</f>
        <v>0.404712</v>
      </c>
      <c r="G15" s="178" t="n">
        <f aca="false">(DC_Cost!G43)/CTL_GW</f>
        <v>0.672768</v>
      </c>
      <c r="H15" s="177" t="n">
        <f aca="false">(DC_Cost!H43)/CTL_GW</f>
        <v>1.02492</v>
      </c>
      <c r="I15" s="177" t="n">
        <f aca="false">(DC_Cost!I43)/CTL_GW</f>
        <v>0.404712</v>
      </c>
      <c r="J15" s="178" t="n">
        <f aca="false">(DC_Cost!J43)/CTL_GW</f>
        <v>0.672768</v>
      </c>
      <c r="K15" s="177" t="n">
        <f aca="false">(DC_Cost!K43)/CTL_GW</f>
        <v>1.02492</v>
      </c>
      <c r="L15" s="177" t="n">
        <f aca="false">(DC_Cost!L43)/CTL_GW</f>
        <v>0.404712</v>
      </c>
      <c r="M15" s="178" t="n">
        <f aca="false">(DC_Cost!M43)/CTL_GW</f>
        <v>0.672768</v>
      </c>
      <c r="N15" s="177" t="n">
        <f aca="false">(DC_Cost!N43)/CTL_GW</f>
        <v>1.02492</v>
      </c>
      <c r="O15" s="177" t="n">
        <f aca="false">(DC_Cost!O43)/CTL_GW</f>
        <v>0.404712</v>
      </c>
      <c r="P15" s="178" t="n">
        <f aca="false">(DC_Cost!P43)/CTL_GW</f>
        <v>0.672768</v>
      </c>
      <c r="Q15" s="177" t="n">
        <f aca="false">(DC_Cost!Q43)/CTL_GW</f>
        <v>1.02492</v>
      </c>
      <c r="R15" s="174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604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2312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79" t="s">
        <v>2313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245</v>
      </c>
      <c r="C18" s="11"/>
    </row>
    <row r="19" customFormat="false" ht="15" hidden="false" customHeight="true" outlineLevel="0" collapsed="false">
      <c r="A19" s="180" t="s">
        <v>2314</v>
      </c>
      <c r="B19" s="28" t="s">
        <v>355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2315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2316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0" t="s">
        <v>2317</v>
      </c>
      <c r="B20" s="28" t="s">
        <v>355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2315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2316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0" t="s">
        <v>2256</v>
      </c>
      <c r="B21" s="28" t="s">
        <v>783</v>
      </c>
      <c r="C21" s="173" t="n">
        <f aca="false">INDEX(Perf!$C$98:$Q$98,3*(Unit_Cost!C$6-1)+1)</f>
        <v>74067251304.9223</v>
      </c>
      <c r="D21" s="181" t="n">
        <f aca="false">INDEX(Perf!$C$98:$Q$98,3*(Unit_Cost!D$6-1)+1)</f>
        <v>74067251304.9223</v>
      </c>
      <c r="E21" s="181" t="n">
        <f aca="false">INDEX(Perf!$C$98:$Q$98,3*(Unit_Cost!E$6-1)+1)</f>
        <v>74067251304.9223</v>
      </c>
      <c r="F21" s="181" t="n">
        <f aca="false">INDEX(Perf!$C$98:$Q$98,3*(Unit_Cost!F$6-1)+1)</f>
        <v>362306894085.614</v>
      </c>
      <c r="G21" s="181" t="n">
        <f aca="false">INDEX(Perf!$C$98:$Q$98,3*(Unit_Cost!G$6-1)+1)</f>
        <v>362306894085.614</v>
      </c>
      <c r="H21" s="181" t="n">
        <f aca="false">INDEX(Perf!$C$98:$Q$98,3*(Unit_Cost!H$6-1)+1)</f>
        <v>362306894085.614</v>
      </c>
      <c r="I21" s="181" t="n">
        <f aca="false">INDEX(Perf!$C$98:$Q$98,3*(Unit_Cost!I$6-1)+1)</f>
        <v>527473919843.971</v>
      </c>
      <c r="J21" s="181" t="n">
        <f aca="false">INDEX(Perf!$C$98:$Q$98,3*(Unit_Cost!J$6-1)+1)</f>
        <v>527473919843.971</v>
      </c>
      <c r="K21" s="181" t="n">
        <f aca="false">INDEX(Perf!$C$98:$Q$98,3*(Unit_Cost!K$6-1)+1)</f>
        <v>527473919843.971</v>
      </c>
      <c r="L21" s="181" t="n">
        <f aca="false">INDEX(Perf!$C$98:$Q$98,3*(Unit_Cost!L$6-1)+1)</f>
        <v>772778400993.445</v>
      </c>
      <c r="M21" s="181" t="n">
        <f aca="false">INDEX(Perf!$C$98:$Q$98,3*(Unit_Cost!M$6-1)+1)</f>
        <v>772778400993.445</v>
      </c>
      <c r="N21" s="181" t="n">
        <f aca="false">INDEX(Perf!$C$98:$Q$98,3*(Unit_Cost!N$6-1)+1)</f>
        <v>772778400993.445</v>
      </c>
      <c r="O21" s="181" t="n">
        <f aca="false">INDEX(Perf!$C$98:$Q$98,3*(Unit_Cost!O$6-1)+1)</f>
        <v>1044373713057.39</v>
      </c>
      <c r="P21" s="181" t="n">
        <f aca="false">INDEX(Perf!$C$98:$Q$98,3*(Unit_Cost!P$6-1)+1)</f>
        <v>1044373713057.39</v>
      </c>
      <c r="Q21" s="181" t="n">
        <f aca="false">INDEX(Perf!$C$98:$Q$98,3*(Unit_Cost!Q$6-1)+1)</f>
        <v>1044373713057.39</v>
      </c>
      <c r="R2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2315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2318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2319</v>
      </c>
      <c r="B22" s="28" t="s">
        <v>93</v>
      </c>
      <c r="C22" s="128" t="n">
        <f aca="false">INDEX(Perf!$C$120:$Q$120,3*(Unit_Cost!C$6-1)+1)</f>
        <v>0.0958453952772297</v>
      </c>
      <c r="D22" s="182" t="n">
        <f aca="false">INDEX(Perf!$C$120:$Q$120,3*(Unit_Cost!D$6-1)+1)</f>
        <v>0.0958453952772297</v>
      </c>
      <c r="E22" s="182" t="n">
        <f aca="false">INDEX(Perf!$C$120:$Q$120,3*(Unit_Cost!E$6-1)+1)</f>
        <v>0.0958453952772297</v>
      </c>
      <c r="F22" s="182" t="n">
        <f aca="false">INDEX(Perf!$C$120:$Q$120,3*(Unit_Cost!F$6-1)+1)</f>
        <v>0.468836724240545</v>
      </c>
      <c r="G22" s="182" t="n">
        <f aca="false">INDEX(Perf!$C$120:$Q$120,3*(Unit_Cost!G$6-1)+1)</f>
        <v>0.468836724240545</v>
      </c>
      <c r="H22" s="182" t="n">
        <f aca="false">INDEX(Perf!$C$120:$Q$120,3*(Unit_Cost!H$6-1)+1)</f>
        <v>0.468836724240545</v>
      </c>
      <c r="I22" s="182" t="n">
        <f aca="false">INDEX(Perf!$C$120:$Q$120,3*(Unit_Cost!I$6-1)+1)</f>
        <v>0.682568145235267</v>
      </c>
      <c r="J22" s="182" t="n">
        <f aca="false">INDEX(Perf!$C$120:$Q$120,3*(Unit_Cost!J$6-1)+1)</f>
        <v>0.682568145235267</v>
      </c>
      <c r="K22" s="182" t="n">
        <f aca="false">INDEX(Perf!$C$120:$Q$120,3*(Unit_Cost!K$6-1)+1)</f>
        <v>0.682568145235267</v>
      </c>
      <c r="L22" s="182" t="n">
        <f aca="false">INDEX(Perf!$C$120:$Q$120,3*(Unit_Cost!L$6-1)+1)</f>
        <v>1</v>
      </c>
      <c r="M22" s="182" t="n">
        <f aca="false">INDEX(Perf!$C$120:$Q$120,3*(Unit_Cost!M$6-1)+1)</f>
        <v>1</v>
      </c>
      <c r="N22" s="182" t="n">
        <f aca="false">INDEX(Perf!$C$120:$Q$120,3*(Unit_Cost!N$6-1)+1)</f>
        <v>1</v>
      </c>
      <c r="O22" s="182" t="n">
        <f aca="false">INDEX(Perf!$C$120:$Q$120,3*(Unit_Cost!O$6-1)+1)</f>
        <v>1.35145303196207</v>
      </c>
      <c r="P22" s="182" t="n">
        <f aca="false">INDEX(Perf!$C$120:$Q$120,3*(Unit_Cost!P$6-1)+1)</f>
        <v>1.35145303196207</v>
      </c>
      <c r="Q22" s="182" t="n">
        <f aca="false">INDEX(Perf!$C$120:$Q$120,3*(Unit_Cost!Q$6-1)+1)</f>
        <v>1.35145303196207</v>
      </c>
      <c r="R2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2315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2318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2257</v>
      </c>
      <c r="B23" s="28" t="s">
        <v>791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2315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2320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2321</v>
      </c>
      <c r="B24" s="28" t="s">
        <v>791</v>
      </c>
      <c r="C24" s="183" t="n">
        <f aca="false">Unit_Cost!C17</f>
        <v>8.3822427339181E-006</v>
      </c>
      <c r="D24" s="183" t="n">
        <f aca="false">Unit_Cost!D17</f>
        <v>1.19765481979367E-005</v>
      </c>
      <c r="E24" s="183" t="n">
        <f aca="false">Unit_Cost!E17</f>
        <v>2.05681383141429E-005</v>
      </c>
      <c r="F24" s="183" t="n">
        <f aca="false">Unit_Cost!F17</f>
        <v>1.16786601759456E-005</v>
      </c>
      <c r="G24" s="183" t="n">
        <f aca="false">Unit_Cost!G17</f>
        <v>1.55934680146544E-005</v>
      </c>
      <c r="H24" s="183" t="n">
        <f aca="false">Unit_Cost!H17</f>
        <v>2.52913515788996E-005</v>
      </c>
      <c r="I24" s="183" t="n">
        <f aca="false">Unit_Cost!I17</f>
        <v>1.53394562836664E-005</v>
      </c>
      <c r="J24" s="183" t="n">
        <f aca="false">Unit_Cost!J17</f>
        <v>1.98117954976727E-005</v>
      </c>
      <c r="K24" s="183" t="n">
        <f aca="false">Unit_Cost!K17</f>
        <v>3.37305477697711E-005</v>
      </c>
      <c r="L24" s="183" t="n">
        <f aca="false">Unit_Cost!L17</f>
        <v>2.88967250493453E-005</v>
      </c>
      <c r="M24" s="183" t="n">
        <f aca="false">Unit_Cost!M17</f>
        <v>3.71397411145609E-005</v>
      </c>
      <c r="N24" s="183" t="n">
        <f aca="false">Unit_Cost!N17</f>
        <v>6.00004018629087E-005</v>
      </c>
      <c r="O24" s="183" t="n">
        <f aca="false">Unit_Cost!O17</f>
        <v>4.59733572340822E-005</v>
      </c>
      <c r="P24" s="183" t="n">
        <f aca="false">Unit_Cost!P17</f>
        <v>6.98731993133716E-005</v>
      </c>
      <c r="Q24" s="183" t="n">
        <f aca="false">Unit_Cost!Q17</f>
        <v>0.000127556423379521</v>
      </c>
      <c r="R2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2315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2322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2258</v>
      </c>
      <c r="B25" s="28" t="s">
        <v>791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2315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2323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2324</v>
      </c>
      <c r="B26" s="28" t="s">
        <v>791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2315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2323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2325</v>
      </c>
      <c r="B27" s="28" t="s">
        <v>807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2315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2326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246</v>
      </c>
    </row>
    <row r="29" customFormat="false" ht="15" hidden="false" customHeight="true" outlineLevel="0" collapsed="false">
      <c r="A29" s="41" t="s">
        <v>2327</v>
      </c>
      <c r="B29" s="28" t="s">
        <v>355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2315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2316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2328</v>
      </c>
      <c r="B30" s="28" t="s">
        <v>355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2315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2316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2259</v>
      </c>
      <c r="B31" s="28" t="s">
        <v>783</v>
      </c>
      <c r="C31" s="181" t="n">
        <f aca="false">INDEX(Perf!$C$98:$Q$98,3*(Unit_Cost!C$6-1)+2)</f>
        <v>21490429685.4234</v>
      </c>
      <c r="D31" s="181" t="n">
        <f aca="false">INDEX(Perf!$C$98:$Q$98,3*(Unit_Cost!D$6-1)+2)</f>
        <v>21490429685.4234</v>
      </c>
      <c r="E31" s="181" t="n">
        <f aca="false">INDEX(Perf!$C$98:$Q$98,3*(Unit_Cost!E$6-1)+2)</f>
        <v>21490429685.4234</v>
      </c>
      <c r="F31" s="181" t="n">
        <f aca="false">INDEX(Perf!$C$98:$Q$98,3*(Unit_Cost!F$6-1)+2)</f>
        <v>104125401080.667</v>
      </c>
      <c r="G31" s="181" t="n">
        <f aca="false">INDEX(Perf!$C$98:$Q$98,3*(Unit_Cost!G$6-1)+2)</f>
        <v>104125401080.667</v>
      </c>
      <c r="H31" s="181" t="n">
        <f aca="false">INDEX(Perf!$C$98:$Q$98,3*(Unit_Cost!H$6-1)+2)</f>
        <v>104125401080.667</v>
      </c>
      <c r="I31" s="181" t="n">
        <f aca="false">INDEX(Perf!$C$98:$Q$98,3*(Unit_Cost!I$6-1)+2)</f>
        <v>151593674754.548</v>
      </c>
      <c r="J31" s="181" t="n">
        <f aca="false">INDEX(Perf!$C$98:$Q$98,3*(Unit_Cost!J$6-1)+2)</f>
        <v>151593674754.548</v>
      </c>
      <c r="K31" s="181" t="n">
        <f aca="false">INDEX(Perf!$C$98:$Q$98,3*(Unit_Cost!K$6-1)+2)</f>
        <v>151593674754.548</v>
      </c>
      <c r="L31" s="181" t="n">
        <f aca="false">INDEX(Perf!$C$98:$Q$98,3*(Unit_Cost!L$6-1)+2)</f>
        <v>237287338734.99</v>
      </c>
      <c r="M31" s="181" t="n">
        <f aca="false">INDEX(Perf!$C$98:$Q$98,3*(Unit_Cost!M$6-1)+2)</f>
        <v>237287338734.99</v>
      </c>
      <c r="N31" s="181" t="n">
        <f aca="false">INDEX(Perf!$C$98:$Q$98,3*(Unit_Cost!N$6-1)+2)</f>
        <v>237287338734.99</v>
      </c>
      <c r="O31" s="181" t="n">
        <f aca="false">INDEX(Perf!$C$98:$Q$98,3*(Unit_Cost!O$6-1)+2)</f>
        <v>326185670522.351</v>
      </c>
      <c r="P31" s="181" t="n">
        <f aca="false">INDEX(Perf!$C$98:$Q$98,3*(Unit_Cost!P$6-1)+2)</f>
        <v>326185670522.351</v>
      </c>
      <c r="Q31" s="181" t="n">
        <f aca="false">INDEX(Perf!$C$98:$Q$98,3*(Unit_Cost!Q$6-1)+2)</f>
        <v>326185670522.351</v>
      </c>
      <c r="R3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2315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2318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2329</v>
      </c>
      <c r="B32" s="28" t="s">
        <v>93</v>
      </c>
      <c r="C32" s="182" t="n">
        <f aca="false">INDEX(Perf!$C$120:$Q$120,3*(Unit_Cost!C$6-1)+2)</f>
        <v>0.0905671149585636</v>
      </c>
      <c r="D32" s="182" t="n">
        <f aca="false">INDEX(Perf!$C$120:$Q$120,3*(Unit_Cost!D$6-1)+2)</f>
        <v>0.0905671149585636</v>
      </c>
      <c r="E32" s="182" t="n">
        <f aca="false">INDEX(Perf!$C$120:$Q$120,3*(Unit_Cost!E$6-1)+2)</f>
        <v>0.0905671149585636</v>
      </c>
      <c r="F32" s="182" t="n">
        <f aca="false">INDEX(Perf!$C$120:$Q$120,3*(Unit_Cost!F$6-1)+2)</f>
        <v>0.438815663894134</v>
      </c>
      <c r="G32" s="182" t="n">
        <f aca="false">INDEX(Perf!$C$120:$Q$120,3*(Unit_Cost!G$6-1)+2)</f>
        <v>0.438815663894134</v>
      </c>
      <c r="H32" s="182" t="n">
        <f aca="false">INDEX(Perf!$C$120:$Q$120,3*(Unit_Cost!H$6-1)+2)</f>
        <v>0.438815663894134</v>
      </c>
      <c r="I32" s="182" t="n">
        <f aca="false">INDEX(Perf!$C$120:$Q$120,3*(Unit_Cost!I$6-1)+2)</f>
        <v>0.638861203310358</v>
      </c>
      <c r="J32" s="182" t="n">
        <f aca="false">INDEX(Perf!$C$120:$Q$120,3*(Unit_Cost!J$6-1)+2)</f>
        <v>0.638861203310358</v>
      </c>
      <c r="K32" s="182" t="n">
        <f aca="false">INDEX(Perf!$C$120:$Q$120,3*(Unit_Cost!K$6-1)+2)</f>
        <v>0.638861203310358</v>
      </c>
      <c r="L32" s="182" t="n">
        <f aca="false">INDEX(Perf!$C$120:$Q$120,3*(Unit_Cost!L$6-1)+2)</f>
        <v>1</v>
      </c>
      <c r="M32" s="182" t="n">
        <f aca="false">INDEX(Perf!$C$120:$Q$120,3*(Unit_Cost!M$6-1)+2)</f>
        <v>1</v>
      </c>
      <c r="N32" s="182" t="n">
        <f aca="false">INDEX(Perf!$C$120:$Q$120,3*(Unit_Cost!N$6-1)+2)</f>
        <v>1</v>
      </c>
      <c r="O32" s="182" t="n">
        <f aca="false">INDEX(Perf!$C$120:$Q$120,3*(Unit_Cost!O$6-1)+2)</f>
        <v>1.37464422780115</v>
      </c>
      <c r="P32" s="182" t="n">
        <f aca="false">INDEX(Perf!$C$120:$Q$120,3*(Unit_Cost!P$6-1)+2)</f>
        <v>1.37464422780115</v>
      </c>
      <c r="Q32" s="182" t="n">
        <f aca="false">INDEX(Perf!$C$120:$Q$120,3*(Unit_Cost!Q$6-1)+2)</f>
        <v>1.37464422780115</v>
      </c>
      <c r="R3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2315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2318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2260</v>
      </c>
      <c r="B33" s="28" t="s">
        <v>791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2315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2320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2330</v>
      </c>
      <c r="B34" s="28" t="s">
        <v>791</v>
      </c>
      <c r="C34" s="183" t="n">
        <f aca="false">Unit_Cost!C30</f>
        <v>1.18910885295117E-005</v>
      </c>
      <c r="D34" s="183" t="n">
        <f aca="false">Unit_Cost!D30</f>
        <v>1.69899869784684E-005</v>
      </c>
      <c r="E34" s="183" t="n">
        <f aca="false">Unit_Cost!E30</f>
        <v>2.91780566782028E-005</v>
      </c>
      <c r="F34" s="183" t="n">
        <f aca="false">Unit_Cost!F30</f>
        <v>1.65674016449461E-005</v>
      </c>
      <c r="G34" s="183" t="n">
        <f aca="false">Unit_Cost!G30</f>
        <v>2.21209662533469E-005</v>
      </c>
      <c r="H34" s="183" t="n">
        <f aca="false">Unit_Cost!H30</f>
        <v>3.58784289840203E-005</v>
      </c>
      <c r="I34" s="183" t="n">
        <f aca="false">Unit_Cost!I30</f>
        <v>2.17606240303174E-005</v>
      </c>
      <c r="J34" s="183" t="n">
        <f aca="false">Unit_Cost!J30</f>
        <v>2.81051052408846E-005</v>
      </c>
      <c r="K34" s="183" t="n">
        <f aca="false">Unit_Cost!K30</f>
        <v>4.7850311952466E-005</v>
      </c>
      <c r="L34" s="183" t="n">
        <f aca="false">Unit_Cost!L30</f>
        <v>4.09930285583736E-005</v>
      </c>
      <c r="M34" s="183" t="n">
        <f aca="false">Unit_Cost!M30</f>
        <v>5.2686609488098E-005</v>
      </c>
      <c r="N34" s="183" t="n">
        <f aca="false">Unit_Cost!N30</f>
        <v>8.51168491543588E-005</v>
      </c>
      <c r="O34" s="183" t="n">
        <f aca="false">Unit_Cost!O30</f>
        <v>6.52180184018376E-005</v>
      </c>
      <c r="P34" s="183" t="n">
        <f aca="false">Unit_Cost!P30</f>
        <v>9.91224455375737E-005</v>
      </c>
      <c r="Q34" s="183" t="n">
        <f aca="false">Unit_Cost!Q30</f>
        <v>0.000180952135491878</v>
      </c>
      <c r="R3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2315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2322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2261</v>
      </c>
      <c r="B35" s="28" t="s">
        <v>791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2315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2323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2331</v>
      </c>
      <c r="B36" s="28" t="s">
        <v>791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2315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2323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2332</v>
      </c>
      <c r="B37" s="28" t="s">
        <v>807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2315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2326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247</v>
      </c>
    </row>
    <row r="39" customFormat="false" ht="15" hidden="false" customHeight="true" outlineLevel="0" collapsed="false">
      <c r="A39" s="41" t="s">
        <v>2333</v>
      </c>
      <c r="B39" s="28" t="s">
        <v>355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2315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2316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2334</v>
      </c>
      <c r="B40" s="28" t="s">
        <v>355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2315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2316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2262</v>
      </c>
      <c r="B41" s="28" t="s">
        <v>783</v>
      </c>
      <c r="C41" s="181" t="n">
        <f aca="false">INDEX(Perf!$C$98:$Q$98,3*(Unit_Cost!C$6-1)+3)</f>
        <v>3876518295.93805</v>
      </c>
      <c r="D41" s="181" t="n">
        <f aca="false">INDEX(Perf!$C$98:$Q$98,3*(Unit_Cost!D$6-1)+3)</f>
        <v>3876518295.93805</v>
      </c>
      <c r="E41" s="181" t="n">
        <f aca="false">INDEX(Perf!$C$98:$Q$98,3*(Unit_Cost!E$6-1)+3)</f>
        <v>3876518295.93805</v>
      </c>
      <c r="F41" s="181" t="n">
        <f aca="false">INDEX(Perf!$C$98:$Q$98,3*(Unit_Cost!F$6-1)+3)</f>
        <v>20041838664.2467</v>
      </c>
      <c r="G41" s="181" t="n">
        <f aca="false">INDEX(Perf!$C$98:$Q$98,3*(Unit_Cost!G$6-1)+3)</f>
        <v>20041838664.2467</v>
      </c>
      <c r="H41" s="181" t="n">
        <f aca="false">INDEX(Perf!$C$98:$Q$98,3*(Unit_Cost!H$6-1)+3)</f>
        <v>20041838664.2467</v>
      </c>
      <c r="I41" s="181" t="n">
        <f aca="false">INDEX(Perf!$C$98:$Q$98,3*(Unit_Cost!I$6-1)+3)</f>
        <v>24234237528.7831</v>
      </c>
      <c r="J41" s="181" t="n">
        <f aca="false">INDEX(Perf!$C$98:$Q$98,3*(Unit_Cost!J$6-1)+3)</f>
        <v>24234237528.7831</v>
      </c>
      <c r="K41" s="181" t="n">
        <f aca="false">INDEX(Perf!$C$98:$Q$98,3*(Unit_Cost!K$6-1)+3)</f>
        <v>24234237528.7831</v>
      </c>
      <c r="L41" s="181" t="n">
        <f aca="false">INDEX(Perf!$C$98:$Q$98,3*(Unit_Cost!L$6-1)+3)</f>
        <v>51167890551.5595</v>
      </c>
      <c r="M41" s="181" t="n">
        <f aca="false">INDEX(Perf!$C$98:$Q$98,3*(Unit_Cost!M$6-1)+3)</f>
        <v>51167890551.5595</v>
      </c>
      <c r="N41" s="181" t="n">
        <f aca="false">INDEX(Perf!$C$98:$Q$98,3*(Unit_Cost!N$6-1)+3)</f>
        <v>51167890551.5595</v>
      </c>
      <c r="O41" s="181" t="n">
        <f aca="false">INDEX(Perf!$C$98:$Q$98,3*(Unit_Cost!O$6-1)+3)</f>
        <v>74400955991.7707</v>
      </c>
      <c r="P41" s="181" t="n">
        <f aca="false">INDEX(Perf!$C$98:$Q$98,3*(Unit_Cost!P$6-1)+3)</f>
        <v>74400955991.7707</v>
      </c>
      <c r="Q41" s="181" t="n">
        <f aca="false">INDEX(Perf!$C$98:$Q$98,3*(Unit_Cost!Q$6-1)+3)</f>
        <v>74400955991.7707</v>
      </c>
      <c r="R4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2315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2318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2335</v>
      </c>
      <c r="B42" s="28" t="s">
        <v>93</v>
      </c>
      <c r="C42" s="182" t="n">
        <f aca="false">INDEX(Perf!$C$120:$Q$120,3*(Unit_Cost!C$6-1)+3)</f>
        <v>0.075760760393901</v>
      </c>
      <c r="D42" s="182" t="n">
        <f aca="false">INDEX(Perf!$C$120:$Q$120,3*(Unit_Cost!D$6-1)+3)</f>
        <v>0.075760760393901</v>
      </c>
      <c r="E42" s="182" t="n">
        <f aca="false">INDEX(Perf!$C$120:$Q$120,3*(Unit_Cost!E$6-1)+3)</f>
        <v>0.075760760393901</v>
      </c>
      <c r="F42" s="182" t="n">
        <f aca="false">INDEX(Perf!$C$120:$Q$120,3*(Unit_Cost!F$6-1)+3)</f>
        <v>0.39168780358556</v>
      </c>
      <c r="G42" s="182" t="n">
        <f aca="false">INDEX(Perf!$C$120:$Q$120,3*(Unit_Cost!G$6-1)+3)</f>
        <v>0.39168780358556</v>
      </c>
      <c r="H42" s="182" t="n">
        <f aca="false">INDEX(Perf!$C$120:$Q$120,3*(Unit_Cost!H$6-1)+3)</f>
        <v>0.39168780358556</v>
      </c>
      <c r="I42" s="182" t="n">
        <f aca="false">INDEX(Perf!$C$120:$Q$120,3*(Unit_Cost!I$6-1)+3)</f>
        <v>0.473621977915297</v>
      </c>
      <c r="J42" s="182" t="n">
        <f aca="false">INDEX(Perf!$C$120:$Q$120,3*(Unit_Cost!J$6-1)+3)</f>
        <v>0.473621977915297</v>
      </c>
      <c r="K42" s="182" t="n">
        <f aca="false">INDEX(Perf!$C$120:$Q$120,3*(Unit_Cost!K$6-1)+3)</f>
        <v>0.473621977915297</v>
      </c>
      <c r="L42" s="182" t="n">
        <f aca="false">INDEX(Perf!$C$120:$Q$120,3*(Unit_Cost!L$6-1)+3)</f>
        <v>1</v>
      </c>
      <c r="M42" s="182" t="n">
        <f aca="false">INDEX(Perf!$C$120:$Q$120,3*(Unit_Cost!M$6-1)+3)</f>
        <v>1</v>
      </c>
      <c r="N42" s="182" t="n">
        <f aca="false">INDEX(Perf!$C$120:$Q$120,3*(Unit_Cost!N$6-1)+3)</f>
        <v>1</v>
      </c>
      <c r="O42" s="182" t="n">
        <f aca="false">INDEX(Perf!$C$120:$Q$120,3*(Unit_Cost!O$6-1)+3)</f>
        <v>1.4540555647257</v>
      </c>
      <c r="P42" s="182" t="n">
        <f aca="false">INDEX(Perf!$C$120:$Q$120,3*(Unit_Cost!P$6-1)+3)</f>
        <v>1.4540555647257</v>
      </c>
      <c r="Q42" s="182" t="n">
        <f aca="false">INDEX(Perf!$C$120:$Q$120,3*(Unit_Cost!Q$6-1)+3)</f>
        <v>1.4540555647257</v>
      </c>
      <c r="R4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2315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2318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2263</v>
      </c>
      <c r="B43" s="28" t="s">
        <v>791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2315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2320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2336</v>
      </c>
      <c r="B44" s="28" t="s">
        <v>791</v>
      </c>
      <c r="C44" s="183" t="n">
        <f aca="false">Unit_Cost!C43</f>
        <v>0.000172743177629224</v>
      </c>
      <c r="D44" s="183" t="n">
        <f aca="false">Unit_Cost!D43</f>
        <v>0.000246815447656943</v>
      </c>
      <c r="E44" s="183" t="n">
        <f aca="false">Unit_Cost!E43</f>
        <v>0.000423872904076792</v>
      </c>
      <c r="F44" s="183" t="n">
        <f aca="false">Unit_Cost!F43</f>
        <v>0.000240676503089255</v>
      </c>
      <c r="G44" s="183" t="n">
        <f aca="false">Unit_Cost!G43</f>
        <v>0.000321353759443325</v>
      </c>
      <c r="H44" s="183" t="n">
        <f aca="false">Unit_Cost!H43</f>
        <v>0.000521209964559791</v>
      </c>
      <c r="I44" s="183" t="n">
        <f aca="false">Unit_Cost!I43</f>
        <v>0.000316119027527436</v>
      </c>
      <c r="J44" s="183" t="n">
        <f aca="false">Unit_Cost!J43</f>
        <v>0.000408286018127352</v>
      </c>
      <c r="K44" s="183" t="n">
        <f aca="false">Unit_Cost!K43</f>
        <v>0.000695126852071133</v>
      </c>
      <c r="L44" s="183" t="n">
        <f aca="false">Unit_Cost!L43</f>
        <v>0.000595510326598316</v>
      </c>
      <c r="M44" s="183" t="n">
        <f aca="false">Unit_Cost!M43</f>
        <v>0.000765384289158751</v>
      </c>
      <c r="N44" s="183" t="n">
        <f aca="false">Unit_Cost!N43</f>
        <v>0.00123650202050216</v>
      </c>
      <c r="O44" s="183" t="n">
        <f aca="false">Unit_Cost!O43</f>
        <v>0.00094742947287411</v>
      </c>
      <c r="P44" s="183" t="n">
        <f aca="false">Unit_Cost!P43</f>
        <v>0.00143996289103764</v>
      </c>
      <c r="Q44" s="183" t="n">
        <f aca="false">Unit_Cost!Q43</f>
        <v>0.00262871198091606</v>
      </c>
      <c r="R4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2315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2322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2264</v>
      </c>
      <c r="B45" s="28" t="s">
        <v>791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2315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2323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2337</v>
      </c>
      <c r="B46" s="28" t="s">
        <v>791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2315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2323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2338</v>
      </c>
      <c r="B47" s="28" t="s">
        <v>807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2315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2326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2339</v>
      </c>
      <c r="B48" s="28" t="s">
        <v>89</v>
      </c>
      <c r="C48" s="184" t="n">
        <f aca="false">Serving!$C$17</f>
        <v>0.6</v>
      </c>
      <c r="R48" s="174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2340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2341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2342</v>
      </c>
      <c r="C50" s="52" t="s">
        <v>2343</v>
      </c>
    </row>
    <row r="52" customFormat="false" ht="15" hidden="false" customHeight="true" outlineLevel="0" collapsed="false">
      <c r="A52" s="40" t="s">
        <v>2344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245</v>
      </c>
    </row>
    <row r="54" customFormat="false" ht="15" hidden="false" customHeight="true" outlineLevel="0" collapsed="false">
      <c r="A54" s="41" t="s">
        <v>2345</v>
      </c>
      <c r="B54" s="28" t="s">
        <v>1006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604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2346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2347</v>
      </c>
      <c r="B55" s="28" t="s">
        <v>861</v>
      </c>
      <c r="C55" s="185" t="n">
        <f aca="false">INDEX(Training!$C$106:$Q$106,3*(Unit_Cost!C$6-1)+1)*Unit_Cost!C$8/1000000</f>
        <v>6.90343155422855</v>
      </c>
      <c r="D55" s="185" t="n">
        <f aca="false">INDEX(Training!$C$106:$Q$106,3*(Unit_Cost!D$6-1)+1)*Unit_Cost!D$8/1000000</f>
        <v>9.86362282325948</v>
      </c>
      <c r="E55" s="185" t="n">
        <f aca="false">INDEX(Training!$C$106:$Q$106,3*(Unit_Cost!E$6-1)+1)*Unit_Cost!E$8/1000000</f>
        <v>16.9394682970749</v>
      </c>
      <c r="F55" s="185" t="n">
        <f aca="false">INDEX(Training!$C$106:$Q$106,3*(Unit_Cost!F$6-1)+1)*Unit_Cost!F$8/1000000</f>
        <v>3.12846386480889</v>
      </c>
      <c r="G55" s="185" t="n">
        <f aca="false">INDEX(Training!$C$106:$Q$106,3*(Unit_Cost!G$6-1)+1)*Unit_Cost!G$8/1000000</f>
        <v>4.17715735160942</v>
      </c>
      <c r="H55" s="185" t="n">
        <f aca="false">INDEX(Training!$C$106:$Q$106,3*(Unit_Cost!H$6-1)+1)*Unit_Cost!H$8/1000000</f>
        <v>6.77501342745918</v>
      </c>
      <c r="I55" s="185" t="n">
        <f aca="false">INDEX(Training!$C$106:$Q$106,3*(Unit_Cost!I$6-1)+1)*Unit_Cost!I$8/1000000</f>
        <v>3.50743929439388</v>
      </c>
      <c r="J55" s="185" t="n">
        <f aca="false">INDEX(Training!$C$106:$Q$106,3*(Unit_Cost!J$6-1)+1)*Unit_Cost!J$8/1000000</f>
        <v>4.53006082719016</v>
      </c>
      <c r="K55" s="185" t="n">
        <f aca="false">INDEX(Training!$C$106:$Q$106,3*(Unit_Cost!K$6-1)+1)*Unit_Cost!K$8/1000000</f>
        <v>7.71264942389781</v>
      </c>
      <c r="L55" s="185" t="n">
        <f aca="false">INDEX(Training!$C$106:$Q$106,3*(Unit_Cost!L$6-1)+1)*Unit_Cost!L$8/1000000</f>
        <v>2.62098107419554</v>
      </c>
      <c r="M55" s="185" t="n">
        <f aca="false">INDEX(Training!$C$106:$Q$106,3*(Unit_Cost!M$6-1)+1)*Unit_Cost!M$8/1000000</f>
        <v>3.36863635569634</v>
      </c>
      <c r="N55" s="185" t="n">
        <f aca="false">INDEX(Training!$C$106:$Q$106,3*(Unit_Cost!N$6-1)+1)*Unit_Cost!N$8/1000000</f>
        <v>5.44213634791714</v>
      </c>
      <c r="O55" s="185" t="n">
        <f aca="false">INDEX(Training!$C$106:$Q$106,3*(Unit_Cost!O$6-1)+1)*Unit_Cost!O$8/1000000</f>
        <v>1.80639626932665</v>
      </c>
      <c r="P55" s="185" t="n">
        <f aca="false">INDEX(Training!$C$106:$Q$106,3*(Unit_Cost!P$6-1)+1)*Unit_Cost!P$8/1000000</f>
        <v>2.74547464356203</v>
      </c>
      <c r="Q55" s="185" t="n">
        <f aca="false">INDEX(Training!$C$106:$Q$106,3*(Unit_Cost!Q$6-1)+1)*Unit_Cost!Q$8/1000000</f>
        <v>5.01197783203435</v>
      </c>
      <c r="R55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604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2348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2349</v>
      </c>
      <c r="B56" s="28" t="s">
        <v>89</v>
      </c>
      <c r="C56" s="186" t="n">
        <f aca="false">INDEX(Training!$C$110:$Q$110,3*(Unit_Cost!C$6-1)+1)</f>
        <v>0.131230136086418</v>
      </c>
      <c r="D56" s="186" t="n">
        <f aca="false">INDEX(Training!$C$110:$Q$110,3*(Unit_Cost!D$6-1)+1)</f>
        <v>0.131230136086418</v>
      </c>
      <c r="E56" s="186" t="n">
        <f aca="false">INDEX(Training!$C$110:$Q$110,3*(Unit_Cost!E$6-1)+1)</f>
        <v>0.131230136086418</v>
      </c>
      <c r="F56" s="186" t="n">
        <f aca="false">INDEX(Training!$C$110:$Q$110,3*(Unit_Cost!F$6-1)+1)</f>
        <v>0.131230136086418</v>
      </c>
      <c r="G56" s="186" t="n">
        <f aca="false">INDEX(Training!$C$110:$Q$110,3*(Unit_Cost!G$6-1)+1)</f>
        <v>0.131230136086418</v>
      </c>
      <c r="H56" s="186" t="n">
        <f aca="false">INDEX(Training!$C$110:$Q$110,3*(Unit_Cost!H$6-1)+1)</f>
        <v>0.131230136086418</v>
      </c>
      <c r="I56" s="186" t="n">
        <f aca="false">INDEX(Training!$C$110:$Q$110,3*(Unit_Cost!I$6-1)+1)</f>
        <v>0.131230136086418</v>
      </c>
      <c r="J56" s="186" t="n">
        <f aca="false">INDEX(Training!$C$110:$Q$110,3*(Unit_Cost!J$6-1)+1)</f>
        <v>0.131230136086418</v>
      </c>
      <c r="K56" s="186" t="n">
        <f aca="false">INDEX(Training!$C$110:$Q$110,3*(Unit_Cost!K$6-1)+1)</f>
        <v>0.131230136086418</v>
      </c>
      <c r="L56" s="186" t="n">
        <f aca="false">INDEX(Training!$C$110:$Q$110,3*(Unit_Cost!L$6-1)+1)</f>
        <v>0.131230136086418</v>
      </c>
      <c r="M56" s="186" t="n">
        <f aca="false">INDEX(Training!$C$110:$Q$110,3*(Unit_Cost!M$6-1)+1)</f>
        <v>0.131230136086418</v>
      </c>
      <c r="N56" s="186" t="n">
        <f aca="false">INDEX(Training!$C$110:$Q$110,3*(Unit_Cost!N$6-1)+1)</f>
        <v>0.131230136086418</v>
      </c>
      <c r="O56" s="186" t="n">
        <f aca="false">INDEX(Training!$C$110:$Q$110,3*(Unit_Cost!O$6-1)+1)</f>
        <v>0.131230136086418</v>
      </c>
      <c r="P56" s="186" t="n">
        <f aca="false">INDEX(Training!$C$110:$Q$110,3*(Unit_Cost!P$6-1)+1)</f>
        <v>0.131230136086418</v>
      </c>
      <c r="Q56" s="186" t="n">
        <f aca="false">INDEX(Training!$C$110:$Q$110,3*(Unit_Cost!Q$6-1)+1)</f>
        <v>0.131230136086418</v>
      </c>
      <c r="R56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604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2350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2351</v>
      </c>
      <c r="B57" s="28" t="s">
        <v>89</v>
      </c>
      <c r="C57" s="187" t="n">
        <f aca="false">INDEX(Training!$C$111:$Q$111,3*(Unit_Cost!C$6-1)+1)</f>
        <v>0.30539979787603</v>
      </c>
      <c r="D57" s="187" t="n">
        <f aca="false">INDEX(Training!$C$111:$Q$111,3*(Unit_Cost!D$6-1)+1)</f>
        <v>0.30539979787603</v>
      </c>
      <c r="E57" s="187" t="n">
        <f aca="false">INDEX(Training!$C$111:$Q$111,3*(Unit_Cost!E$6-1)+1)</f>
        <v>0.30539979787603</v>
      </c>
      <c r="F57" s="187" t="n">
        <f aca="false">INDEX(Training!$C$111:$Q$111,3*(Unit_Cost!F$6-1)+1)</f>
        <v>0.269893093641953</v>
      </c>
      <c r="G57" s="187" t="n">
        <f aca="false">INDEX(Training!$C$111:$Q$111,3*(Unit_Cost!G$6-1)+1)</f>
        <v>0.269893093641953</v>
      </c>
      <c r="H57" s="187" t="n">
        <f aca="false">INDEX(Training!$C$111:$Q$111,3*(Unit_Cost!H$6-1)+1)</f>
        <v>0.269893093641953</v>
      </c>
      <c r="I57" s="187" t="n">
        <f aca="false">INDEX(Training!$C$111:$Q$111,3*(Unit_Cost!I$6-1)+1)</f>
        <v>0.238707389111481</v>
      </c>
      <c r="J57" s="187" t="n">
        <f aca="false">INDEX(Training!$C$111:$Q$111,3*(Unit_Cost!J$6-1)+1)</f>
        <v>0.238707389111481</v>
      </c>
      <c r="K57" s="187" t="n">
        <f aca="false">INDEX(Training!$C$111:$Q$111,3*(Unit_Cost!K$6-1)+1)</f>
        <v>0.238707389111481</v>
      </c>
      <c r="L57" s="187" t="n">
        <f aca="false">INDEX(Training!$C$111:$Q$111,3*(Unit_Cost!L$6-1)+1)</f>
        <v>0.286511860627156</v>
      </c>
      <c r="M57" s="187" t="n">
        <f aca="false">INDEX(Training!$C$111:$Q$111,3*(Unit_Cost!M$6-1)+1)</f>
        <v>0.286511860627156</v>
      </c>
      <c r="N57" s="187" t="n">
        <f aca="false">INDEX(Training!$C$111:$Q$111,3*(Unit_Cost!N$6-1)+1)</f>
        <v>0.286511860627156</v>
      </c>
      <c r="O57" s="187" t="n">
        <f aca="false">INDEX(Training!$C$111:$Q$111,3*(Unit_Cost!O$6-1)+1)</f>
        <v>0.26008816948871</v>
      </c>
      <c r="P57" s="187" t="n">
        <f aca="false">INDEX(Training!$C$111:$Q$111,3*(Unit_Cost!P$6-1)+1)</f>
        <v>0.26008816948871</v>
      </c>
      <c r="Q57" s="187" t="n">
        <f aca="false">INDEX(Training!$C$111:$Q$111,3*(Unit_Cost!Q$6-1)+1)</f>
        <v>0.26008816948871</v>
      </c>
      <c r="R5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604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2352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2353</v>
      </c>
      <c r="B58" s="28" t="s">
        <v>89</v>
      </c>
      <c r="C58" s="186" t="n">
        <f aca="false">INDEX(Training!$C$77:$Q$77,3*(Unit_Cost!C$6-1)+1)</f>
        <v>0.0761956076461837</v>
      </c>
      <c r="D58" s="186" t="n">
        <f aca="false">INDEX(Training!$C$77:$Q$77,3*(Unit_Cost!D$6-1)+1)</f>
        <v>0.0761956076461837</v>
      </c>
      <c r="E58" s="186" t="n">
        <f aca="false">INDEX(Training!$C$77:$Q$77,3*(Unit_Cost!E$6-1)+1)</f>
        <v>0.0761956076461837</v>
      </c>
      <c r="F58" s="186" t="n">
        <f aca="false">INDEX(Training!$C$77:$Q$77,3*(Unit_Cost!F$6-1)+1)</f>
        <v>0.0901475818714053</v>
      </c>
      <c r="G58" s="186" t="n">
        <f aca="false">INDEX(Training!$C$77:$Q$77,3*(Unit_Cost!G$6-1)+1)</f>
        <v>0.0901475818714053</v>
      </c>
      <c r="H58" s="186" t="n">
        <f aca="false">INDEX(Training!$C$77:$Q$77,3*(Unit_Cost!H$6-1)+1)</f>
        <v>0.0901475818714053</v>
      </c>
      <c r="I58" s="186" t="n">
        <f aca="false">INDEX(Training!$C$77:$Q$77,3*(Unit_Cost!I$6-1)+1)</f>
        <v>0.106320482312473</v>
      </c>
      <c r="J58" s="186" t="n">
        <f aca="false">INDEX(Training!$C$77:$Q$77,3*(Unit_Cost!J$6-1)+1)</f>
        <v>0.106320482312473</v>
      </c>
      <c r="K58" s="186" t="n">
        <f aca="false">INDEX(Training!$C$77:$Q$77,3*(Unit_Cost!K$6-1)+1)</f>
        <v>0.106320482312473</v>
      </c>
      <c r="L58" s="186" t="n">
        <f aca="false">INDEX(Training!$C$77:$Q$77,3*(Unit_Cost!L$6-1)+1)</f>
        <v>0.0746224482738129</v>
      </c>
      <c r="M58" s="186" t="n">
        <f aca="false">INDEX(Training!$C$77:$Q$77,3*(Unit_Cost!M$6-1)+1)</f>
        <v>0.0746224482738129</v>
      </c>
      <c r="N58" s="186" t="n">
        <f aca="false">INDEX(Training!$C$77:$Q$77,3*(Unit_Cost!N$6-1)+1)</f>
        <v>0.0746224482738129</v>
      </c>
      <c r="O58" s="186" t="n">
        <f aca="false">INDEX(Training!$C$77:$Q$77,3*(Unit_Cost!O$6-1)+1)</f>
        <v>0.0853336117258793</v>
      </c>
      <c r="P58" s="186" t="n">
        <f aca="false">INDEX(Training!$C$77:$Q$77,3*(Unit_Cost!P$6-1)+1)</f>
        <v>0.0853336117258793</v>
      </c>
      <c r="Q58" s="186" t="n">
        <f aca="false">INDEX(Training!$C$77:$Q$77,3*(Unit_Cost!Q$6-1)+1)</f>
        <v>0.0853336117258793</v>
      </c>
      <c r="R5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604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2354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2355</v>
      </c>
      <c r="B59" s="28" t="s">
        <v>1006</v>
      </c>
      <c r="C59" s="181" t="n">
        <f aca="false">INDEX(Training!$C$120:$Q$120,3*(Unit_Cost!C$6-1)+1)</f>
        <v>51153350.9495753</v>
      </c>
      <c r="D59" s="181" t="n">
        <f aca="false">INDEX(Training!$C$120:$Q$120,3*(Unit_Cost!D$6-1)+1)</f>
        <v>51153350.9495753</v>
      </c>
      <c r="E59" s="181" t="n">
        <f aca="false">INDEX(Training!$C$120:$Q$120,3*(Unit_Cost!E$6-1)+1)</f>
        <v>51153350.9495753</v>
      </c>
      <c r="F59" s="181" t="n">
        <f aca="false">INDEX(Training!$C$120:$Q$120,3*(Unit_Cost!F$6-1)+1)</f>
        <v>16638241.355328</v>
      </c>
      <c r="G59" s="181" t="n">
        <f aca="false">INDEX(Training!$C$120:$Q$120,3*(Unit_Cost!G$6-1)+1)</f>
        <v>16638241.355328</v>
      </c>
      <c r="H59" s="181" t="n">
        <f aca="false">INDEX(Training!$C$120:$Q$120,3*(Unit_Cost!H$6-1)+1)</f>
        <v>16638241.355328</v>
      </c>
      <c r="I59" s="181" t="n">
        <f aca="false">INDEX(Training!$C$120:$Q$120,3*(Unit_Cost!I$6-1)+1)</f>
        <v>14201999.5820546</v>
      </c>
      <c r="J59" s="181" t="n">
        <f aca="false">INDEX(Training!$C$120:$Q$120,3*(Unit_Cost!J$6-1)+1)</f>
        <v>14201999.5820546</v>
      </c>
      <c r="K59" s="181" t="n">
        <f aca="false">INDEX(Training!$C$120:$Q$120,3*(Unit_Cost!K$6-1)+1)</f>
        <v>14201999.5820546</v>
      </c>
      <c r="L59" s="181" t="n">
        <f aca="false">INDEX(Training!$C$120:$Q$120,3*(Unit_Cost!L$6-1)+1)</f>
        <v>5633581.19099958</v>
      </c>
      <c r="M59" s="181" t="n">
        <f aca="false">INDEX(Training!$C$120:$Q$120,3*(Unit_Cost!M$6-1)+1)</f>
        <v>5633581.19099958</v>
      </c>
      <c r="N59" s="181" t="n">
        <f aca="false">INDEX(Training!$C$120:$Q$120,3*(Unit_Cost!N$6-1)+1)</f>
        <v>5633581.19099958</v>
      </c>
      <c r="O59" s="181" t="n">
        <f aca="false">INDEX(Training!$C$120:$Q$120,3*(Unit_Cost!O$6-1)+1)</f>
        <v>2440484.79695685</v>
      </c>
      <c r="P59" s="181" t="n">
        <f aca="false">INDEX(Training!$C$120:$Q$120,3*(Unit_Cost!P$6-1)+1)</f>
        <v>2440484.79695685</v>
      </c>
      <c r="Q59" s="181" t="n">
        <f aca="false">INDEX(Training!$C$120:$Q$120,3*(Unit_Cost!Q$6-1)+1)</f>
        <v>2440484.79695685</v>
      </c>
      <c r="R59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604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2356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2265</v>
      </c>
      <c r="B60" s="28" t="s">
        <v>861</v>
      </c>
      <c r="C60" s="181" t="n">
        <f aca="false">INDEX(Training!$C$120:$Q$120,3*(Unit_Cost!C$6-1)+1)*Unit_Cost!C$8/1000000</f>
        <v>55.2274524338284</v>
      </c>
      <c r="D60" s="181" t="n">
        <f aca="false">INDEX(Training!$C$120:$Q$120,3*(Unit_Cost!D$6-1)+1)*Unit_Cost!D$8/1000000</f>
        <v>78.9089825860758</v>
      </c>
      <c r="E60" s="181" t="n">
        <f aca="false">INDEX(Training!$C$120:$Q$120,3*(Unit_Cost!E$6-1)+1)*Unit_Cost!E$8/1000000</f>
        <v>135.515746376599</v>
      </c>
      <c r="F60" s="181" t="n">
        <f aca="false">INDEX(Training!$C$120:$Q$120,3*(Unit_Cost!F$6-1)+1)*Unit_Cost!F$8/1000000</f>
        <v>25.0277109184711</v>
      </c>
      <c r="G60" s="181" t="n">
        <f aca="false">INDEX(Training!$C$120:$Q$120,3*(Unit_Cost!G$6-1)+1)*Unit_Cost!G$8/1000000</f>
        <v>33.4172588128753</v>
      </c>
      <c r="H60" s="181" t="n">
        <f aca="false">INDEX(Training!$C$120:$Q$120,3*(Unit_Cost!H$6-1)+1)*Unit_Cost!H$8/1000000</f>
        <v>54.2001074196734</v>
      </c>
      <c r="I60" s="181" t="n">
        <f aca="false">INDEX(Training!$C$120:$Q$120,3*(Unit_Cost!I$6-1)+1)*Unit_Cost!I$8/1000000</f>
        <v>28.059514355151</v>
      </c>
      <c r="J60" s="181" t="n">
        <f aca="false">INDEX(Training!$C$120:$Q$120,3*(Unit_Cost!J$6-1)+1)*Unit_Cost!J$8/1000000</f>
        <v>36.2404866175213</v>
      </c>
      <c r="K60" s="181" t="n">
        <f aca="false">INDEX(Training!$C$120:$Q$120,3*(Unit_Cost!K$6-1)+1)*Unit_Cost!K$8/1000000</f>
        <v>61.7011953911825</v>
      </c>
      <c r="L60" s="181" t="n">
        <f aca="false">INDEX(Training!$C$120:$Q$120,3*(Unit_Cost!L$6-1)+1)*Unit_Cost!L$8/1000000</f>
        <v>20.9678485935643</v>
      </c>
      <c r="M60" s="181" t="n">
        <f aca="false">INDEX(Training!$C$120:$Q$120,3*(Unit_Cost!M$6-1)+1)*Unit_Cost!M$8/1000000</f>
        <v>26.9490908455707</v>
      </c>
      <c r="N60" s="181" t="n">
        <f aca="false">INDEX(Training!$C$120:$Q$120,3*(Unit_Cost!N$6-1)+1)*Unit_Cost!N$8/1000000</f>
        <v>43.5370907833372</v>
      </c>
      <c r="O60" s="181" t="n">
        <f aca="false">INDEX(Training!$C$120:$Q$120,3*(Unit_Cost!O$6-1)+1)*Unit_Cost!O$8/1000000</f>
        <v>14.4511701546132</v>
      </c>
      <c r="P60" s="181" t="n">
        <f aca="false">INDEX(Training!$C$120:$Q$120,3*(Unit_Cost!P$6-1)+1)*Unit_Cost!P$8/1000000</f>
        <v>21.9637971484962</v>
      </c>
      <c r="Q60" s="181" t="n">
        <f aca="false">INDEX(Training!$C$120:$Q$120,3*(Unit_Cost!Q$6-1)+1)*Unit_Cost!Q$8/1000000</f>
        <v>40.0958226562748</v>
      </c>
      <c r="R60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604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2357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2358</v>
      </c>
      <c r="B61" s="28" t="s">
        <v>89</v>
      </c>
      <c r="C61" s="188" t="n">
        <f aca="false">INDEX(Training!$C$123:$Q$123,3*(Unit_Cost!C$6-1)+1)</f>
        <v>0.00813235831640886</v>
      </c>
      <c r="D61" s="188" t="n">
        <f aca="false">INDEX(Training!$C$123:$Q$123,3*(Unit_Cost!D$6-1)+1)</f>
        <v>0.00813235831640886</v>
      </c>
      <c r="E61" s="188" t="n">
        <f aca="false">INDEX(Training!$C$123:$Q$123,3*(Unit_Cost!E$6-1)+1)</f>
        <v>0.00813235831640886</v>
      </c>
      <c r="F61" s="188" t="n">
        <f aca="false">INDEX(Training!$C$123:$Q$123,3*(Unit_Cost!F$6-1)+1)</f>
        <v>0.00378530041866208</v>
      </c>
      <c r="G61" s="188" t="n">
        <f aca="false">INDEX(Training!$C$123:$Q$123,3*(Unit_Cost!G$6-1)+1)</f>
        <v>0.00378530041866208</v>
      </c>
      <c r="H61" s="188" t="n">
        <f aca="false">INDEX(Training!$C$123:$Q$123,3*(Unit_Cost!H$6-1)+1)</f>
        <v>0.00378530041866208</v>
      </c>
      <c r="I61" s="188" t="n">
        <f aca="false">INDEX(Training!$C$123:$Q$123,3*(Unit_Cost!I$6-1)+1)</f>
        <v>0.00332896549749013</v>
      </c>
      <c r="J61" s="188" t="n">
        <f aca="false">INDEX(Training!$C$123:$Q$123,3*(Unit_Cost!J$6-1)+1)</f>
        <v>0.00332896549749013</v>
      </c>
      <c r="K61" s="188" t="n">
        <f aca="false">INDEX(Training!$C$123:$Q$123,3*(Unit_Cost!K$6-1)+1)</f>
        <v>0.00332896549749013</v>
      </c>
      <c r="L61" s="188" t="n">
        <f aca="false">INDEX(Training!$C$123:$Q$123,3*(Unit_Cost!L$6-1)+1)</f>
        <v>0.00220433968028437</v>
      </c>
      <c r="M61" s="188" t="n">
        <f aca="false">INDEX(Training!$C$123:$Q$123,3*(Unit_Cost!M$6-1)+1)</f>
        <v>0.00220433968028437</v>
      </c>
      <c r="N61" s="188" t="n">
        <f aca="false">INDEX(Training!$C$123:$Q$123,3*(Unit_Cost!N$6-1)+1)</f>
        <v>0.00220433968028437</v>
      </c>
      <c r="O61" s="188" t="n">
        <f aca="false">INDEX(Training!$C$123:$Q$123,3*(Unit_Cost!O$6-1)+1)</f>
        <v>0.00143044852589726</v>
      </c>
      <c r="P61" s="188" t="n">
        <f aca="false">INDEX(Training!$C$123:$Q$123,3*(Unit_Cost!P$6-1)+1)</f>
        <v>0.00143044852589726</v>
      </c>
      <c r="Q61" s="188" t="n">
        <f aca="false">INDEX(Training!$C$123:$Q$123,3*(Unit_Cost!Q$6-1)+1)</f>
        <v>0.00143044852589726</v>
      </c>
      <c r="R61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604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2359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246</v>
      </c>
    </row>
    <row r="63" customFormat="false" ht="15" hidden="false" customHeight="true" outlineLevel="0" collapsed="false">
      <c r="A63" s="41" t="s">
        <v>2360</v>
      </c>
      <c r="B63" s="28" t="s">
        <v>1006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604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2346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2361</v>
      </c>
      <c r="B64" s="28" t="s">
        <v>861</v>
      </c>
      <c r="C64" s="185" t="n">
        <f aca="false">INDEX(Training!$C$106:$Q$106,3*(Unit_Cost!C$6-1)+2)*Unit_Cost!C$8/1000000</f>
        <v>19.6485246175642</v>
      </c>
      <c r="D64" s="185" t="n">
        <f aca="false">INDEX(Training!$C$106:$Q$106,3*(Unit_Cost!D$6-1)+2)*Unit_Cost!D$8/1000000</f>
        <v>28.0738114572123</v>
      </c>
      <c r="E64" s="185" t="n">
        <f aca="false">INDEX(Training!$C$106:$Q$106,3*(Unit_Cost!E$6-1)+2)*Unit_Cost!E$8/1000000</f>
        <v>48.213060016457</v>
      </c>
      <c r="F64" s="185" t="n">
        <f aca="false">INDEX(Training!$C$106:$Q$106,3*(Unit_Cost!F$6-1)+2)*Unit_Cost!F$8/1000000</f>
        <v>9.25451563543696</v>
      </c>
      <c r="G64" s="185" t="n">
        <f aca="false">INDEX(Training!$C$106:$Q$106,3*(Unit_Cost!G$6-1)+2)*Unit_Cost!G$8/1000000</f>
        <v>12.3567251189942</v>
      </c>
      <c r="H64" s="185" t="n">
        <f aca="false">INDEX(Training!$C$106:$Q$106,3*(Unit_Cost!H$6-1)+2)*Unit_Cost!H$8/1000000</f>
        <v>20.041614800159</v>
      </c>
      <c r="I64" s="185" t="n">
        <f aca="false">INDEX(Training!$C$106:$Q$106,3*(Unit_Cost!I$6-1)+2)*Unit_Cost!I$8/1000000</f>
        <v>10.7756147095243</v>
      </c>
      <c r="J64" s="185" t="n">
        <f aca="false">INDEX(Training!$C$106:$Q$106,3*(Unit_Cost!J$6-1)+2)*Unit_Cost!J$8/1000000</f>
        <v>13.9173299912937</v>
      </c>
      <c r="K64" s="185" t="n">
        <f aca="false">INDEX(Training!$C$106:$Q$106,3*(Unit_Cost!K$6-1)+2)*Unit_Cost!K$8/1000000</f>
        <v>23.6949328572539</v>
      </c>
      <c r="L64" s="185" t="n">
        <f aca="false">INDEX(Training!$C$106:$Q$106,3*(Unit_Cost!L$6-1)+2)*Unit_Cost!L$8/1000000</f>
        <v>7.63477460577875</v>
      </c>
      <c r="M64" s="185" t="n">
        <f aca="false">INDEX(Training!$C$106:$Q$106,3*(Unit_Cost!M$6-1)+2)*Unit_Cost!M$8/1000000</f>
        <v>9.8126535738025</v>
      </c>
      <c r="N64" s="185" t="n">
        <f aca="false">INDEX(Training!$C$106:$Q$106,3*(Unit_Cost!N$6-1)+2)*Unit_Cost!N$8/1000000</f>
        <v>15.8526457132149</v>
      </c>
      <c r="O64" s="185" t="n">
        <f aca="false">INDEX(Training!$C$106:$Q$106,3*(Unit_Cost!O$6-1)+2)*Unit_Cost!O$8/1000000</f>
        <v>5.44209630592475</v>
      </c>
      <c r="P64" s="185" t="n">
        <f aca="false">INDEX(Training!$C$106:$Q$106,3*(Unit_Cost!P$6-1)+2)*Unit_Cost!P$8/1000000</f>
        <v>8.27124018657791</v>
      </c>
      <c r="Q64" s="185" t="n">
        <f aca="false">INDEX(Training!$C$106:$Q$106,3*(Unit_Cost!Q$6-1)+2)*Unit_Cost!Q$8/1000000</f>
        <v>15.0994920152587</v>
      </c>
      <c r="R64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604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2348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2362</v>
      </c>
      <c r="B65" s="28" t="s">
        <v>89</v>
      </c>
      <c r="C65" s="186" t="n">
        <f aca="false">INDEX(Training!$C$110:$Q$110,3*(Unit_Cost!C$6-1)+2)</f>
        <v>0.127029214627552</v>
      </c>
      <c r="D65" s="186" t="n">
        <f aca="false">INDEX(Training!$C$110:$Q$110,3*(Unit_Cost!D$6-1)+2)</f>
        <v>0.127029214627552</v>
      </c>
      <c r="E65" s="186" t="n">
        <f aca="false">INDEX(Training!$C$110:$Q$110,3*(Unit_Cost!E$6-1)+2)</f>
        <v>0.127029214627552</v>
      </c>
      <c r="F65" s="186" t="n">
        <f aca="false">INDEX(Training!$C$110:$Q$110,3*(Unit_Cost!F$6-1)+2)</f>
        <v>0.127029214627552</v>
      </c>
      <c r="G65" s="186" t="n">
        <f aca="false">INDEX(Training!$C$110:$Q$110,3*(Unit_Cost!G$6-1)+2)</f>
        <v>0.127029214627552</v>
      </c>
      <c r="H65" s="186" t="n">
        <f aca="false">INDEX(Training!$C$110:$Q$110,3*(Unit_Cost!H$6-1)+2)</f>
        <v>0.127029214627552</v>
      </c>
      <c r="I65" s="186" t="n">
        <f aca="false">INDEX(Training!$C$110:$Q$110,3*(Unit_Cost!I$6-1)+2)</f>
        <v>0.127029214627552</v>
      </c>
      <c r="J65" s="186" t="n">
        <f aca="false">INDEX(Training!$C$110:$Q$110,3*(Unit_Cost!J$6-1)+2)</f>
        <v>0.127029214627552</v>
      </c>
      <c r="K65" s="186" t="n">
        <f aca="false">INDEX(Training!$C$110:$Q$110,3*(Unit_Cost!K$6-1)+2)</f>
        <v>0.127029214627552</v>
      </c>
      <c r="L65" s="186" t="n">
        <f aca="false">INDEX(Training!$C$110:$Q$110,3*(Unit_Cost!L$6-1)+2)</f>
        <v>0.127029214627552</v>
      </c>
      <c r="M65" s="186" t="n">
        <f aca="false">INDEX(Training!$C$110:$Q$110,3*(Unit_Cost!M$6-1)+2)</f>
        <v>0.127029214627552</v>
      </c>
      <c r="N65" s="186" t="n">
        <f aca="false">INDEX(Training!$C$110:$Q$110,3*(Unit_Cost!N$6-1)+2)</f>
        <v>0.127029214627552</v>
      </c>
      <c r="O65" s="186" t="n">
        <f aca="false">INDEX(Training!$C$110:$Q$110,3*(Unit_Cost!O$6-1)+2)</f>
        <v>0.127029214627552</v>
      </c>
      <c r="P65" s="186" t="n">
        <f aca="false">INDEX(Training!$C$110:$Q$110,3*(Unit_Cost!P$6-1)+2)</f>
        <v>0.127029214627552</v>
      </c>
      <c r="Q65" s="186" t="n">
        <f aca="false">INDEX(Training!$C$110:$Q$110,3*(Unit_Cost!Q$6-1)+2)</f>
        <v>0.127029214627552</v>
      </c>
      <c r="R65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604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2350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2363</v>
      </c>
      <c r="B66" s="28" t="s">
        <v>89</v>
      </c>
      <c r="C66" s="187" t="n">
        <f aca="false">INDEX(Training!$C$111:$Q$111,3*(Unit_Cost!C$6-1)+2)</f>
        <v>0.309968546647496</v>
      </c>
      <c r="D66" s="187" t="n">
        <f aca="false">INDEX(Training!$C$111:$Q$111,3*(Unit_Cost!D$6-1)+2)</f>
        <v>0.309968546647496</v>
      </c>
      <c r="E66" s="187" t="n">
        <f aca="false">INDEX(Training!$C$111:$Q$111,3*(Unit_Cost!E$6-1)+2)</f>
        <v>0.309968546647496</v>
      </c>
      <c r="F66" s="187" t="n">
        <f aca="false">INDEX(Training!$C$111:$Q$111,3*(Unit_Cost!F$6-1)+2)</f>
        <v>0.267986465704979</v>
      </c>
      <c r="G66" s="187" t="n">
        <f aca="false">INDEX(Training!$C$111:$Q$111,3*(Unit_Cost!G$6-1)+2)</f>
        <v>0.267986465704979</v>
      </c>
      <c r="H66" s="187" t="n">
        <f aca="false">INDEX(Training!$C$111:$Q$111,3*(Unit_Cost!H$6-1)+2)</f>
        <v>0.267986465704979</v>
      </c>
      <c r="I66" s="187" t="n">
        <f aca="false">INDEX(Training!$C$111:$Q$111,3*(Unit_Cost!I$6-1)+2)</f>
        <v>0.235738956226448</v>
      </c>
      <c r="J66" s="187" t="n">
        <f aca="false">INDEX(Training!$C$111:$Q$111,3*(Unit_Cost!J$6-1)+2)</f>
        <v>0.235738956226448</v>
      </c>
      <c r="K66" s="187" t="n">
        <f aca="false">INDEX(Training!$C$111:$Q$111,3*(Unit_Cost!K$6-1)+2)</f>
        <v>0.235738956226448</v>
      </c>
      <c r="L66" s="187" t="n">
        <f aca="false">INDEX(Training!$C$111:$Q$111,3*(Unit_Cost!L$6-1)+2)</f>
        <v>0.282310936548276</v>
      </c>
      <c r="M66" s="187" t="n">
        <f aca="false">INDEX(Training!$C$111:$Q$111,3*(Unit_Cost!M$6-1)+2)</f>
        <v>0.282310936548276</v>
      </c>
      <c r="N66" s="187" t="n">
        <f aca="false">INDEX(Training!$C$111:$Q$111,3*(Unit_Cost!N$6-1)+2)</f>
        <v>0.282310936548276</v>
      </c>
      <c r="O66" s="187" t="n">
        <f aca="false">INDEX(Training!$C$111:$Q$111,3*(Unit_Cost!O$6-1)+2)</f>
        <v>0.254949018157508</v>
      </c>
      <c r="P66" s="187" t="n">
        <f aca="false">INDEX(Training!$C$111:$Q$111,3*(Unit_Cost!P$6-1)+2)</f>
        <v>0.254949018157508</v>
      </c>
      <c r="Q66" s="187" t="n">
        <f aca="false">INDEX(Training!$C$111:$Q$111,3*(Unit_Cost!Q$6-1)+2)</f>
        <v>0.254949018157508</v>
      </c>
      <c r="R6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604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2352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2364</v>
      </c>
      <c r="B67" s="28" t="s">
        <v>89</v>
      </c>
      <c r="C67" s="186" t="n">
        <f aca="false">INDEX(Training!$C$77:$Q$77,3*(Unit_Cost!C$6-1)+2)</f>
        <v>0.0716763337592282</v>
      </c>
      <c r="D67" s="186" t="n">
        <f aca="false">INDEX(Training!$C$77:$Q$77,3*(Unit_Cost!D$6-1)+2)</f>
        <v>0.0716763337592282</v>
      </c>
      <c r="E67" s="186" t="n">
        <f aca="false">INDEX(Training!$C$77:$Q$77,3*(Unit_Cost!E$6-1)+2)</f>
        <v>0.0716763337592282</v>
      </c>
      <c r="F67" s="186" t="n">
        <f aca="false">INDEX(Training!$C$77:$Q$77,3*(Unit_Cost!F$6-1)+2)</f>
        <v>0.0874404965486068</v>
      </c>
      <c r="G67" s="186" t="n">
        <f aca="false">INDEX(Training!$C$77:$Q$77,3*(Unit_Cost!G$6-1)+2)</f>
        <v>0.0874404965486068</v>
      </c>
      <c r="H67" s="186" t="n">
        <f aca="false">INDEX(Training!$C$77:$Q$77,3*(Unit_Cost!H$6-1)+2)</f>
        <v>0.0874404965486068</v>
      </c>
      <c r="I67" s="186" t="n">
        <f aca="false">INDEX(Training!$C$77:$Q$77,3*(Unit_Cost!I$6-1)+2)</f>
        <v>0.103815837007901</v>
      </c>
      <c r="J67" s="186" t="n">
        <f aca="false">INDEX(Training!$C$77:$Q$77,3*(Unit_Cost!J$6-1)+2)</f>
        <v>0.103815837007901</v>
      </c>
      <c r="K67" s="186" t="n">
        <f aca="false">INDEX(Training!$C$77:$Q$77,3*(Unit_Cost!K$6-1)+2)</f>
        <v>0.103815837007901</v>
      </c>
      <c r="L67" s="186" t="n">
        <f aca="false">INDEX(Training!$C$77:$Q$77,3*(Unit_Cost!L$6-1)+2)</f>
        <v>0.0731801304364245</v>
      </c>
      <c r="M67" s="186" t="n">
        <f aca="false">INDEX(Training!$C$77:$Q$77,3*(Unit_Cost!M$6-1)+2)</f>
        <v>0.0731801304364245</v>
      </c>
      <c r="N67" s="186" t="n">
        <f aca="false">INDEX(Training!$C$77:$Q$77,3*(Unit_Cost!N$6-1)+2)</f>
        <v>0.0731801304364245</v>
      </c>
      <c r="O67" s="186" t="n">
        <f aca="false">INDEX(Training!$C$77:$Q$77,3*(Unit_Cost!O$6-1)+2)</f>
        <v>0.0842149737466073</v>
      </c>
      <c r="P67" s="186" t="n">
        <f aca="false">INDEX(Training!$C$77:$Q$77,3*(Unit_Cost!P$6-1)+2)</f>
        <v>0.0842149737466073</v>
      </c>
      <c r="Q67" s="186" t="n">
        <f aca="false">INDEX(Training!$C$77:$Q$77,3*(Unit_Cost!Q$6-1)+2)</f>
        <v>0.0842149737466073</v>
      </c>
      <c r="R6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604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2354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2365</v>
      </c>
      <c r="B68" s="28" t="s">
        <v>1006</v>
      </c>
      <c r="C68" s="181" t="n">
        <f aca="false">INDEX(Training!$C$120:$Q$120,3*(Unit_Cost!C$6-1)+2)</f>
        <v>145592502.440035</v>
      </c>
      <c r="D68" s="181" t="n">
        <f aca="false">INDEX(Training!$C$120:$Q$120,3*(Unit_Cost!D$6-1)+2)</f>
        <v>145592502.440035</v>
      </c>
      <c r="E68" s="181" t="n">
        <f aca="false">INDEX(Training!$C$120:$Q$120,3*(Unit_Cost!E$6-1)+2)</f>
        <v>145592502.440035</v>
      </c>
      <c r="F68" s="181" t="n">
        <f aca="false">INDEX(Training!$C$120:$Q$120,3*(Unit_Cost!F$6-1)+2)</f>
        <v>49218680.9319158</v>
      </c>
      <c r="G68" s="181" t="n">
        <f aca="false">INDEX(Training!$C$120:$Q$120,3*(Unit_Cost!G$6-1)+2)</f>
        <v>49218680.9319158</v>
      </c>
      <c r="H68" s="181" t="n">
        <f aca="false">INDEX(Training!$C$120:$Q$120,3*(Unit_Cost!H$6-1)+2)</f>
        <v>49218680.9319158</v>
      </c>
      <c r="I68" s="181" t="n">
        <f aca="false">INDEX(Training!$C$120:$Q$120,3*(Unit_Cost!I$6-1)+2)</f>
        <v>43631624.8853258</v>
      </c>
      <c r="J68" s="181" t="n">
        <f aca="false">INDEX(Training!$C$120:$Q$120,3*(Unit_Cost!J$6-1)+2)</f>
        <v>43631624.8853258</v>
      </c>
      <c r="K68" s="181" t="n">
        <f aca="false">INDEX(Training!$C$120:$Q$120,3*(Unit_Cost!K$6-1)+2)</f>
        <v>43631624.8853258</v>
      </c>
      <c r="L68" s="181" t="n">
        <f aca="false">INDEX(Training!$C$120:$Q$120,3*(Unit_Cost!L$6-1)+2)</f>
        <v>16410314.0767004</v>
      </c>
      <c r="M68" s="181" t="n">
        <f aca="false">INDEX(Training!$C$120:$Q$120,3*(Unit_Cost!M$6-1)+2)</f>
        <v>16410314.0767004</v>
      </c>
      <c r="N68" s="181" t="n">
        <f aca="false">INDEX(Training!$C$120:$Q$120,3*(Unit_Cost!N$6-1)+2)</f>
        <v>16410314.0767004</v>
      </c>
      <c r="O68" s="181" t="n">
        <f aca="false">INDEX(Training!$C$120:$Q$120,3*(Unit_Cost!O$6-1)+2)</f>
        <v>7352402.97143392</v>
      </c>
      <c r="P68" s="181" t="n">
        <f aca="false">INDEX(Training!$C$120:$Q$120,3*(Unit_Cost!P$6-1)+2)</f>
        <v>7352402.97143392</v>
      </c>
      <c r="Q68" s="181" t="n">
        <f aca="false">INDEX(Training!$C$120:$Q$120,3*(Unit_Cost!Q$6-1)+2)</f>
        <v>7352402.97143392</v>
      </c>
      <c r="R6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604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2356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2266</v>
      </c>
      <c r="B69" s="28" t="s">
        <v>861</v>
      </c>
      <c r="C69" s="181" t="n">
        <f aca="false">INDEX(Training!$C$120:$Q$120,3*(Unit_Cost!C$6-1)+2)*Unit_Cost!C$8/1000000</f>
        <v>157.188196940514</v>
      </c>
      <c r="D69" s="181" t="n">
        <f aca="false">INDEX(Training!$C$120:$Q$120,3*(Unit_Cost!D$6-1)+2)*Unit_Cost!D$8/1000000</f>
        <v>224.590491657698</v>
      </c>
      <c r="E69" s="181" t="n">
        <f aca="false">INDEX(Training!$C$120:$Q$120,3*(Unit_Cost!E$6-1)+2)*Unit_Cost!E$8/1000000</f>
        <v>385.704480131656</v>
      </c>
      <c r="F69" s="181" t="n">
        <f aca="false">INDEX(Training!$C$120:$Q$120,3*(Unit_Cost!F$6-1)+2)*Unit_Cost!F$8/1000000</f>
        <v>74.0361250834957</v>
      </c>
      <c r="G69" s="181" t="n">
        <f aca="false">INDEX(Training!$C$120:$Q$120,3*(Unit_Cost!G$6-1)+2)*Unit_Cost!G$8/1000000</f>
        <v>98.8538009519539</v>
      </c>
      <c r="H69" s="181" t="n">
        <f aca="false">INDEX(Training!$C$120:$Q$120,3*(Unit_Cost!H$6-1)+2)*Unit_Cost!H$8/1000000</f>
        <v>160.332918401272</v>
      </c>
      <c r="I69" s="181" t="n">
        <f aca="false">INDEX(Training!$C$120:$Q$120,3*(Unit_Cost!I$6-1)+2)*Unit_Cost!I$8/1000000</f>
        <v>86.2049176761941</v>
      </c>
      <c r="J69" s="181" t="n">
        <f aca="false">INDEX(Training!$C$120:$Q$120,3*(Unit_Cost!J$6-1)+2)*Unit_Cost!J$8/1000000</f>
        <v>111.33863993035</v>
      </c>
      <c r="K69" s="181" t="n">
        <f aca="false">INDEX(Training!$C$120:$Q$120,3*(Unit_Cost!K$6-1)+2)*Unit_Cost!K$8/1000000</f>
        <v>189.559462858032</v>
      </c>
      <c r="L69" s="181" t="n">
        <f aca="false">INDEX(Training!$C$120:$Q$120,3*(Unit_Cost!L$6-1)+2)*Unit_Cost!L$8/1000000</f>
        <v>61.07819684623</v>
      </c>
      <c r="M69" s="181" t="n">
        <f aca="false">INDEX(Training!$C$120:$Q$120,3*(Unit_Cost!M$6-1)+2)*Unit_Cost!M$8/1000000</f>
        <v>78.50122859042</v>
      </c>
      <c r="N69" s="181" t="n">
        <f aca="false">INDEX(Training!$C$120:$Q$120,3*(Unit_Cost!N$6-1)+2)*Unit_Cost!N$8/1000000</f>
        <v>126.821165705719</v>
      </c>
      <c r="O69" s="181" t="n">
        <f aca="false">INDEX(Training!$C$120:$Q$120,3*(Unit_Cost!O$6-1)+2)*Unit_Cost!O$8/1000000</f>
        <v>43.536770447398</v>
      </c>
      <c r="P69" s="181" t="n">
        <f aca="false">INDEX(Training!$C$120:$Q$120,3*(Unit_Cost!P$6-1)+2)*Unit_Cost!P$8/1000000</f>
        <v>66.1699214926233</v>
      </c>
      <c r="Q69" s="181" t="n">
        <f aca="false">INDEX(Training!$C$120:$Q$120,3*(Unit_Cost!Q$6-1)+2)*Unit_Cost!Q$8/1000000</f>
        <v>120.79593612207</v>
      </c>
      <c r="R69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604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2357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2366</v>
      </c>
      <c r="B70" s="28" t="s">
        <v>89</v>
      </c>
      <c r="C70" s="188" t="n">
        <f aca="false">INDEX(Training!$C$123:$Q$123,3*(Unit_Cost!C$6-1)+2)</f>
        <v>0.0231462920032773</v>
      </c>
      <c r="D70" s="188" t="n">
        <f aca="false">INDEX(Training!$C$123:$Q$123,3*(Unit_Cost!D$6-1)+2)</f>
        <v>0.0231462920032773</v>
      </c>
      <c r="E70" s="188" t="n">
        <f aca="false">INDEX(Training!$C$123:$Q$123,3*(Unit_Cost!E$6-1)+2)</f>
        <v>0.0231462920032773</v>
      </c>
      <c r="F70" s="188" t="n">
        <f aca="false">INDEX(Training!$C$123:$Q$123,3*(Unit_Cost!F$6-1)+2)</f>
        <v>0.0111975472382432</v>
      </c>
      <c r="G70" s="188" t="n">
        <f aca="false">INDEX(Training!$C$123:$Q$123,3*(Unit_Cost!G$6-1)+2)</f>
        <v>0.0111975472382432</v>
      </c>
      <c r="H70" s="188" t="n">
        <f aca="false">INDEX(Training!$C$123:$Q$123,3*(Unit_Cost!H$6-1)+2)</f>
        <v>0.0111975472382432</v>
      </c>
      <c r="I70" s="188" t="n">
        <f aca="false">INDEX(Training!$C$123:$Q$123,3*(Unit_Cost!I$6-1)+2)</f>
        <v>0.0102273044724078</v>
      </c>
      <c r="J70" s="188" t="n">
        <f aca="false">INDEX(Training!$C$123:$Q$123,3*(Unit_Cost!J$6-1)+2)</f>
        <v>0.0102273044724078</v>
      </c>
      <c r="K70" s="188" t="n">
        <f aca="false">INDEX(Training!$C$123:$Q$123,3*(Unit_Cost!K$6-1)+2)</f>
        <v>0.0102273044724078</v>
      </c>
      <c r="L70" s="188" t="n">
        <f aca="false">INDEX(Training!$C$123:$Q$123,3*(Unit_Cost!L$6-1)+2)</f>
        <v>0.00642112099901794</v>
      </c>
      <c r="M70" s="188" t="n">
        <f aca="false">INDEX(Training!$C$123:$Q$123,3*(Unit_Cost!M$6-1)+2)</f>
        <v>0.00642112099901794</v>
      </c>
      <c r="N70" s="188" t="n">
        <f aca="false">INDEX(Training!$C$123:$Q$123,3*(Unit_Cost!N$6-1)+2)</f>
        <v>0.00642112099901794</v>
      </c>
      <c r="O70" s="188" t="n">
        <f aca="false">INDEX(Training!$C$123:$Q$123,3*(Unit_Cost!O$6-1)+2)</f>
        <v>0.00430948556016603</v>
      </c>
      <c r="P70" s="188" t="n">
        <f aca="false">INDEX(Training!$C$123:$Q$123,3*(Unit_Cost!P$6-1)+2)</f>
        <v>0.00430948556016603</v>
      </c>
      <c r="Q70" s="188" t="n">
        <f aca="false">INDEX(Training!$C$123:$Q$123,3*(Unit_Cost!Q$6-1)+2)</f>
        <v>0.00430948556016603</v>
      </c>
      <c r="R70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604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2359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247</v>
      </c>
    </row>
    <row r="72" customFormat="false" ht="15" hidden="false" customHeight="true" outlineLevel="0" collapsed="false">
      <c r="A72" s="41" t="s">
        <v>2367</v>
      </c>
      <c r="B72" s="28" t="s">
        <v>1006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604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2346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2368</v>
      </c>
      <c r="B73" s="28" t="s">
        <v>861</v>
      </c>
      <c r="C73" s="185" t="n">
        <f aca="false">INDEX(Training!$C$106:$Q$106,3*(Unit_Cost!C$6-1)+3)*Unit_Cost!C$8/1000000</f>
        <v>121.118299247956</v>
      </c>
      <c r="D73" s="185" t="n">
        <f aca="false">INDEX(Training!$C$106:$Q$106,3*(Unit_Cost!D$6-1)+3)*Unit_Cost!D$8/1000000</f>
        <v>173.053822782489</v>
      </c>
      <c r="E73" s="185" t="n">
        <f aca="false">INDEX(Training!$C$106:$Q$106,3*(Unit_Cost!E$6-1)+3)*Unit_Cost!E$8/1000000</f>
        <v>297.197064125256</v>
      </c>
      <c r="F73" s="185" t="n">
        <f aca="false">INDEX(Training!$C$106:$Q$106,3*(Unit_Cost!F$6-1)+3)*Unit_Cost!F$8/1000000</f>
        <v>58.1819913670892</v>
      </c>
      <c r="G73" s="185" t="n">
        <f aca="false">INDEX(Training!$C$106:$Q$106,3*(Unit_Cost!G$6-1)+3)*Unit_Cost!G$8/1000000</f>
        <v>77.6851974236113</v>
      </c>
      <c r="H73" s="185" t="n">
        <f aca="false">INDEX(Training!$C$106:$Q$106,3*(Unit_Cost!H$6-1)+3)*Unit_Cost!H$8/1000000</f>
        <v>125.99914519787</v>
      </c>
      <c r="I73" s="185" t="n">
        <f aca="false">INDEX(Training!$C$106:$Q$106,3*(Unit_Cost!I$6-1)+3)*Unit_Cost!I$8/1000000</f>
        <v>69.1026515613069</v>
      </c>
      <c r="J73" s="185" t="n">
        <f aca="false">INDEX(Training!$C$106:$Q$106,3*(Unit_Cost!J$6-1)+3)*Unit_Cost!J$8/1000000</f>
        <v>89.2500735203584</v>
      </c>
      <c r="K73" s="185" t="n">
        <f aca="false">INDEX(Training!$C$106:$Q$106,3*(Unit_Cost!K$6-1)+3)*Unit_Cost!K$8/1000000</f>
        <v>151.95260160482</v>
      </c>
      <c r="L73" s="185" t="n">
        <f aca="false">INDEX(Training!$C$106:$Q$106,3*(Unit_Cost!L$6-1)+3)*Unit_Cost!L$8/1000000</f>
        <v>47.581600636821</v>
      </c>
      <c r="M73" s="185" t="n">
        <f aca="false">INDEX(Training!$C$106:$Q$106,3*(Unit_Cost!M$6-1)+3)*Unit_Cost!M$8/1000000</f>
        <v>61.1546231086832</v>
      </c>
      <c r="N73" s="185" t="n">
        <f aca="false">INDEX(Training!$C$106:$Q$106,3*(Unit_Cost!N$6-1)+3)*Unit_Cost!N$8/1000000</f>
        <v>98.7971873841935</v>
      </c>
      <c r="O73" s="185" t="n">
        <f aca="false">INDEX(Training!$C$106:$Q$106,3*(Unit_Cost!O$6-1)+3)*Unit_Cost!O$8/1000000</f>
        <v>34.4123163173522</v>
      </c>
      <c r="P73" s="185" t="n">
        <f aca="false">INDEX(Training!$C$106:$Q$106,3*(Unit_Cost!P$6-1)+3)*Unit_Cost!P$8/1000000</f>
        <v>52.3020023235234</v>
      </c>
      <c r="Q73" s="185" t="n">
        <f aca="false">INDEX(Training!$C$106:$Q$106,3*(Unit_Cost!Q$6-1)+3)*Unit_Cost!Q$8/1000000</f>
        <v>95.4794744985908</v>
      </c>
      <c r="R73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604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2348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2369</v>
      </c>
      <c r="B74" s="28" t="s">
        <v>89</v>
      </c>
      <c r="C74" s="186" t="n">
        <f aca="false">INDEX(Training!$C$110:$Q$110,3*(Unit_Cost!C$6-1)+3)</f>
        <v>0.268885180199482</v>
      </c>
      <c r="D74" s="186" t="n">
        <f aca="false">INDEX(Training!$C$110:$Q$110,3*(Unit_Cost!D$6-1)+3)</f>
        <v>0.268885180199482</v>
      </c>
      <c r="E74" s="186" t="n">
        <f aca="false">INDEX(Training!$C$110:$Q$110,3*(Unit_Cost!E$6-1)+3)</f>
        <v>0.268885180199482</v>
      </c>
      <c r="F74" s="186" t="n">
        <f aca="false">INDEX(Training!$C$110:$Q$110,3*(Unit_Cost!F$6-1)+3)</f>
        <v>0.268885180199482</v>
      </c>
      <c r="G74" s="186" t="n">
        <f aca="false">INDEX(Training!$C$110:$Q$110,3*(Unit_Cost!G$6-1)+3)</f>
        <v>0.268885180199482</v>
      </c>
      <c r="H74" s="186" t="n">
        <f aca="false">INDEX(Training!$C$110:$Q$110,3*(Unit_Cost!H$6-1)+3)</f>
        <v>0.268885180199482</v>
      </c>
      <c r="I74" s="186" t="n">
        <f aca="false">INDEX(Training!$C$110:$Q$110,3*(Unit_Cost!I$6-1)+3)</f>
        <v>0.268885180199482</v>
      </c>
      <c r="J74" s="186" t="n">
        <f aca="false">INDEX(Training!$C$110:$Q$110,3*(Unit_Cost!J$6-1)+3)</f>
        <v>0.268885180199482</v>
      </c>
      <c r="K74" s="186" t="n">
        <f aca="false">INDEX(Training!$C$110:$Q$110,3*(Unit_Cost!K$6-1)+3)</f>
        <v>0.268885180199482</v>
      </c>
      <c r="L74" s="186" t="n">
        <f aca="false">INDEX(Training!$C$110:$Q$110,3*(Unit_Cost!L$6-1)+3)</f>
        <v>0.268885180199482</v>
      </c>
      <c r="M74" s="186" t="n">
        <f aca="false">INDEX(Training!$C$110:$Q$110,3*(Unit_Cost!M$6-1)+3)</f>
        <v>0.268885180199482</v>
      </c>
      <c r="N74" s="186" t="n">
        <f aca="false">INDEX(Training!$C$110:$Q$110,3*(Unit_Cost!N$6-1)+3)</f>
        <v>0.268885180199482</v>
      </c>
      <c r="O74" s="186" t="n">
        <f aca="false">INDEX(Training!$C$110:$Q$110,3*(Unit_Cost!O$6-1)+3)</f>
        <v>0.268885180199482</v>
      </c>
      <c r="P74" s="186" t="n">
        <f aca="false">INDEX(Training!$C$110:$Q$110,3*(Unit_Cost!P$6-1)+3)</f>
        <v>0.268885180199482</v>
      </c>
      <c r="Q74" s="186" t="n">
        <f aca="false">INDEX(Training!$C$110:$Q$110,3*(Unit_Cost!Q$6-1)+3)</f>
        <v>0.268885180199482</v>
      </c>
      <c r="R74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604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2350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2370</v>
      </c>
      <c r="B75" s="28" t="s">
        <v>89</v>
      </c>
      <c r="C75" s="187" t="n">
        <f aca="false">INDEX(Training!$C$111:$Q$111,3*(Unit_Cost!C$6-1)+3)</f>
        <v>0.55968476412224</v>
      </c>
      <c r="D75" s="187" t="n">
        <f aca="false">INDEX(Training!$C$111:$Q$111,3*(Unit_Cost!D$6-1)+3)</f>
        <v>0.55968476412224</v>
      </c>
      <c r="E75" s="187" t="n">
        <f aca="false">INDEX(Training!$C$111:$Q$111,3*(Unit_Cost!E$6-1)+3)</f>
        <v>0.55968476412224</v>
      </c>
      <c r="F75" s="187" t="n">
        <f aca="false">INDEX(Training!$C$111:$Q$111,3*(Unit_Cost!F$6-1)+3)</f>
        <v>0.504541712883535</v>
      </c>
      <c r="G75" s="187" t="n">
        <f aca="false">INDEX(Training!$C$111:$Q$111,3*(Unit_Cost!G$6-1)+3)</f>
        <v>0.504541712883535</v>
      </c>
      <c r="H75" s="187" t="n">
        <f aca="false">INDEX(Training!$C$111:$Q$111,3*(Unit_Cost!H$6-1)+3)</f>
        <v>0.504541712883535</v>
      </c>
      <c r="I75" s="187" t="n">
        <f aca="false">INDEX(Training!$C$111:$Q$111,3*(Unit_Cost!I$6-1)+3)</f>
        <v>0.460983664042966</v>
      </c>
      <c r="J75" s="187" t="n">
        <f aca="false">INDEX(Training!$C$111:$Q$111,3*(Unit_Cost!J$6-1)+3)</f>
        <v>0.460983664042966</v>
      </c>
      <c r="K75" s="187" t="n">
        <f aca="false">INDEX(Training!$C$111:$Q$111,3*(Unit_Cost!K$6-1)+3)</f>
        <v>0.460983664042966</v>
      </c>
      <c r="L75" s="187" t="n">
        <f aca="false">INDEX(Training!$C$111:$Q$111,3*(Unit_Cost!L$6-1)+3)</f>
        <v>0.521148040333377</v>
      </c>
      <c r="M75" s="187" t="n">
        <f aca="false">INDEX(Training!$C$111:$Q$111,3*(Unit_Cost!M$6-1)+3)</f>
        <v>0.521148040333377</v>
      </c>
      <c r="N75" s="187" t="n">
        <f aca="false">INDEX(Training!$C$111:$Q$111,3*(Unit_Cost!N$6-1)+3)</f>
        <v>0.521148040333377</v>
      </c>
      <c r="O75" s="187" t="n">
        <f aca="false">INDEX(Training!$C$111:$Q$111,3*(Unit_Cost!O$6-1)+3)</f>
        <v>0.481150986813593</v>
      </c>
      <c r="P75" s="187" t="n">
        <f aca="false">INDEX(Training!$C$111:$Q$111,3*(Unit_Cost!P$6-1)+3)</f>
        <v>0.481150986813593</v>
      </c>
      <c r="Q75" s="187" t="n">
        <f aca="false">INDEX(Training!$C$111:$Q$111,3*(Unit_Cost!Q$6-1)+3)</f>
        <v>0.481150986813593</v>
      </c>
      <c r="R75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604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2352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2371</v>
      </c>
      <c r="B76" s="28" t="s">
        <v>89</v>
      </c>
      <c r="C76" s="186" t="n">
        <f aca="false">INDEX(Training!$C$77:$Q$77,3*(Unit_Cost!C$6-1)+3)</f>
        <v>0.0647492613469604</v>
      </c>
      <c r="D76" s="186" t="n">
        <f aca="false">INDEX(Training!$C$77:$Q$77,3*(Unit_Cost!D$6-1)+3)</f>
        <v>0.0647492613469604</v>
      </c>
      <c r="E76" s="186" t="n">
        <f aca="false">INDEX(Training!$C$77:$Q$77,3*(Unit_Cost!E$6-1)+3)</f>
        <v>0.0647492613469604</v>
      </c>
      <c r="F76" s="186" t="n">
        <f aca="false">INDEX(Training!$C$77:$Q$77,3*(Unit_Cost!F$6-1)+3)</f>
        <v>0.0807474836755068</v>
      </c>
      <c r="G76" s="186" t="n">
        <f aca="false">INDEX(Training!$C$77:$Q$77,3*(Unit_Cost!G$6-1)+3)</f>
        <v>0.0807474836755068</v>
      </c>
      <c r="H76" s="186" t="n">
        <f aca="false">INDEX(Training!$C$77:$Q$77,3*(Unit_Cost!H$6-1)+3)</f>
        <v>0.0807474836755068</v>
      </c>
      <c r="I76" s="186" t="n">
        <f aca="false">INDEX(Training!$C$77:$Q$77,3*(Unit_Cost!I$6-1)+3)</f>
        <v>0.0961724702603611</v>
      </c>
      <c r="J76" s="186" t="n">
        <f aca="false">INDEX(Training!$C$77:$Q$77,3*(Unit_Cost!J$6-1)+3)</f>
        <v>0.0961724702603611</v>
      </c>
      <c r="K76" s="186" t="n">
        <f aca="false">INDEX(Training!$C$77:$Q$77,3*(Unit_Cost!K$6-1)+3)</f>
        <v>0.0961724702603611</v>
      </c>
      <c r="L76" s="186" t="n">
        <f aca="false">INDEX(Training!$C$77:$Q$77,3*(Unit_Cost!L$6-1)+3)</f>
        <v>0.0679835504547044</v>
      </c>
      <c r="M76" s="186" t="n">
        <f aca="false">INDEX(Training!$C$77:$Q$77,3*(Unit_Cost!M$6-1)+3)</f>
        <v>0.0679835504547044</v>
      </c>
      <c r="N76" s="186" t="n">
        <f aca="false">INDEX(Training!$C$77:$Q$77,3*(Unit_Cost!N$6-1)+3)</f>
        <v>0.0679835504547044</v>
      </c>
      <c r="O76" s="186" t="n">
        <f aca="false">INDEX(Training!$C$77:$Q$77,3*(Unit_Cost!O$6-1)+3)</f>
        <v>0.0798187502820238</v>
      </c>
      <c r="P76" s="186" t="n">
        <f aca="false">INDEX(Training!$C$77:$Q$77,3*(Unit_Cost!P$6-1)+3)</f>
        <v>0.0798187502820238</v>
      </c>
      <c r="Q76" s="186" t="n">
        <f aca="false">INDEX(Training!$C$77:$Q$77,3*(Unit_Cost!Q$6-1)+3)</f>
        <v>0.0798187502820238</v>
      </c>
      <c r="R7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604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2354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2372</v>
      </c>
      <c r="B77" s="28" t="s">
        <v>1006</v>
      </c>
      <c r="C77" s="181" t="n">
        <f aca="false">INDEX(Training!$C$120:$Q$120,3*(Unit_Cost!C$6-1)+3)</f>
        <v>897467704.166834</v>
      </c>
      <c r="D77" s="181" t="n">
        <f aca="false">INDEX(Training!$C$120:$Q$120,3*(Unit_Cost!D$6-1)+3)</f>
        <v>897467704.166834</v>
      </c>
      <c r="E77" s="181" t="n">
        <f aca="false">INDEX(Training!$C$120:$Q$120,3*(Unit_Cost!E$6-1)+3)</f>
        <v>897467704.166834</v>
      </c>
      <c r="F77" s="181" t="n">
        <f aca="false">INDEX(Training!$C$120:$Q$120,3*(Unit_Cost!F$6-1)+3)</f>
        <v>309431739.259797</v>
      </c>
      <c r="G77" s="181" t="n">
        <f aca="false">INDEX(Training!$C$120:$Q$120,3*(Unit_Cost!G$6-1)+3)</f>
        <v>309431739.259797</v>
      </c>
      <c r="H77" s="181" t="n">
        <f aca="false">INDEX(Training!$C$120:$Q$120,3*(Unit_Cost!H$6-1)+3)</f>
        <v>309431739.259797</v>
      </c>
      <c r="I77" s="181" t="n">
        <f aca="false">INDEX(Training!$C$120:$Q$120,3*(Unit_Cost!I$6-1)+3)</f>
        <v>279804081.046011</v>
      </c>
      <c r="J77" s="181" t="n">
        <f aca="false">INDEX(Training!$C$120:$Q$120,3*(Unit_Cost!J$6-1)+3)</f>
        <v>279804081.046011</v>
      </c>
      <c r="K77" s="181" t="n">
        <f aca="false">INDEX(Training!$C$120:$Q$120,3*(Unit_Cost!K$6-1)+3)</f>
        <v>279804081.046011</v>
      </c>
      <c r="L77" s="181" t="n">
        <f aca="false">INDEX(Training!$C$120:$Q$120,3*(Unit_Cost!L$6-1)+3)</f>
        <v>102272699.724672</v>
      </c>
      <c r="M77" s="181" t="n">
        <f aca="false">INDEX(Training!$C$120:$Q$120,3*(Unit_Cost!M$6-1)+3)</f>
        <v>102272699.724672</v>
      </c>
      <c r="N77" s="181" t="n">
        <f aca="false">INDEX(Training!$C$120:$Q$120,3*(Unit_Cost!N$6-1)+3)</f>
        <v>102272699.724672</v>
      </c>
      <c r="O77" s="181" t="n">
        <f aca="false">INDEX(Training!$C$120:$Q$120,3*(Unit_Cost!O$6-1)+3)</f>
        <v>46491866.832671</v>
      </c>
      <c r="P77" s="181" t="n">
        <f aca="false">INDEX(Training!$C$120:$Q$120,3*(Unit_Cost!P$6-1)+3)</f>
        <v>46491866.832671</v>
      </c>
      <c r="Q77" s="181" t="n">
        <f aca="false">INDEX(Training!$C$120:$Q$120,3*(Unit_Cost!Q$6-1)+3)</f>
        <v>46491866.832671</v>
      </c>
      <c r="R7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604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2356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2267</v>
      </c>
      <c r="B78" s="28" t="s">
        <v>861</v>
      </c>
      <c r="C78" s="181" t="n">
        <f aca="false">INDEX(Training!$C$120:$Q$120,3*(Unit_Cost!C$6-1)+3)*Unit_Cost!C$8/1000000</f>
        <v>968.946393983648</v>
      </c>
      <c r="D78" s="181" t="n">
        <f aca="false">INDEX(Training!$C$120:$Q$120,3*(Unit_Cost!D$6-1)+3)*Unit_Cost!D$8/1000000</f>
        <v>1384.43058225991</v>
      </c>
      <c r="E78" s="181" t="n">
        <f aca="false">INDEX(Training!$C$120:$Q$120,3*(Unit_Cost!E$6-1)+3)*Unit_Cost!E$8/1000000</f>
        <v>2377.57651300204</v>
      </c>
      <c r="F78" s="181" t="n">
        <f aca="false">INDEX(Training!$C$120:$Q$120,3*(Unit_Cost!F$6-1)+3)*Unit_Cost!F$8/1000000</f>
        <v>465.455930936714</v>
      </c>
      <c r="G78" s="181" t="n">
        <f aca="false">INDEX(Training!$C$120:$Q$120,3*(Unit_Cost!G$6-1)+3)*Unit_Cost!G$8/1000000</f>
        <v>621.48157938889</v>
      </c>
      <c r="H78" s="181" t="n">
        <f aca="false">INDEX(Training!$C$120:$Q$120,3*(Unit_Cost!H$6-1)+3)*Unit_Cost!H$8/1000000</f>
        <v>1007.99316158296</v>
      </c>
      <c r="I78" s="181" t="n">
        <f aca="false">INDEX(Training!$C$120:$Q$120,3*(Unit_Cost!I$6-1)+3)*Unit_Cost!I$8/1000000</f>
        <v>552.821212490455</v>
      </c>
      <c r="J78" s="181" t="n">
        <f aca="false">INDEX(Training!$C$120:$Q$120,3*(Unit_Cost!J$6-1)+3)*Unit_Cost!J$8/1000000</f>
        <v>714.000588162868</v>
      </c>
      <c r="K78" s="181" t="n">
        <f aca="false">INDEX(Training!$C$120:$Q$120,3*(Unit_Cost!K$6-1)+3)*Unit_Cost!K$8/1000000</f>
        <v>1215.62081283856</v>
      </c>
      <c r="L78" s="181" t="n">
        <f aca="false">INDEX(Training!$C$120:$Q$120,3*(Unit_Cost!L$6-1)+3)*Unit_Cost!L$8/1000000</f>
        <v>380.652805094568</v>
      </c>
      <c r="M78" s="181" t="n">
        <f aca="false">INDEX(Training!$C$120:$Q$120,3*(Unit_Cost!M$6-1)+3)*Unit_Cost!M$8/1000000</f>
        <v>489.236984869465</v>
      </c>
      <c r="N78" s="181" t="n">
        <f aca="false">INDEX(Training!$C$120:$Q$120,3*(Unit_Cost!N$6-1)+3)*Unit_Cost!N$8/1000000</f>
        <v>790.377499073548</v>
      </c>
      <c r="O78" s="181" t="n">
        <f aca="false">INDEX(Training!$C$120:$Q$120,3*(Unit_Cost!O$6-1)+3)*Unit_Cost!O$8/1000000</f>
        <v>275.298530538818</v>
      </c>
      <c r="P78" s="181" t="n">
        <f aca="false">INDEX(Training!$C$120:$Q$120,3*(Unit_Cost!P$6-1)+3)*Unit_Cost!P$8/1000000</f>
        <v>418.416018588187</v>
      </c>
      <c r="Q78" s="181" t="n">
        <f aca="false">INDEX(Training!$C$120:$Q$120,3*(Unit_Cost!Q$6-1)+3)*Unit_Cost!Q$8/1000000</f>
        <v>763.835795988727</v>
      </c>
      <c r="R78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604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2357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2373</v>
      </c>
      <c r="B79" s="28" t="s">
        <v>89</v>
      </c>
      <c r="C79" s="188" t="n">
        <f aca="false">INDEX(Training!$C$123:$Q$123,3*(Unit_Cost!C$6-1)+3)</f>
        <v>0.142679390737942</v>
      </c>
      <c r="D79" s="188" t="n">
        <f aca="false">INDEX(Training!$C$123:$Q$123,3*(Unit_Cost!D$6-1)+3)</f>
        <v>0.142679390737942</v>
      </c>
      <c r="E79" s="188" t="n">
        <f aca="false">INDEX(Training!$C$123:$Q$123,3*(Unit_Cost!E$6-1)+3)</f>
        <v>0.142679390737942</v>
      </c>
      <c r="F79" s="188" t="n">
        <f aca="false">INDEX(Training!$C$123:$Q$123,3*(Unit_Cost!F$6-1)+3)</f>
        <v>0.0703975899347298</v>
      </c>
      <c r="G79" s="188" t="n">
        <f aca="false">INDEX(Training!$C$123:$Q$123,3*(Unit_Cost!G$6-1)+3)</f>
        <v>0.0703975899347298</v>
      </c>
      <c r="H79" s="188" t="n">
        <f aca="false">INDEX(Training!$C$123:$Q$123,3*(Unit_Cost!H$6-1)+3)</f>
        <v>0.0703975899347298</v>
      </c>
      <c r="I79" s="188" t="n">
        <f aca="false">INDEX(Training!$C$123:$Q$123,3*(Unit_Cost!I$6-1)+3)</f>
        <v>0.0655864074968763</v>
      </c>
      <c r="J79" s="188" t="n">
        <f aca="false">INDEX(Training!$C$123:$Q$123,3*(Unit_Cost!J$6-1)+3)</f>
        <v>0.0655864074968763</v>
      </c>
      <c r="K79" s="188" t="n">
        <f aca="false">INDEX(Training!$C$123:$Q$123,3*(Unit_Cost!K$6-1)+3)</f>
        <v>0.0655864074968763</v>
      </c>
      <c r="L79" s="188" t="n">
        <f aca="false">INDEX(Training!$C$123:$Q$123,3*(Unit_Cost!L$6-1)+3)</f>
        <v>0.0400178434586299</v>
      </c>
      <c r="M79" s="188" t="n">
        <f aca="false">INDEX(Training!$C$123:$Q$123,3*(Unit_Cost!M$6-1)+3)</f>
        <v>0.0400178434586299</v>
      </c>
      <c r="N79" s="188" t="n">
        <f aca="false">INDEX(Training!$C$123:$Q$123,3*(Unit_Cost!N$6-1)+3)</f>
        <v>0.0400178434586299</v>
      </c>
      <c r="O79" s="188" t="n">
        <f aca="false">INDEX(Training!$C$123:$Q$123,3*(Unit_Cost!O$6-1)+3)</f>
        <v>0.0272504145323638</v>
      </c>
      <c r="P79" s="188" t="n">
        <f aca="false">INDEX(Training!$C$123:$Q$123,3*(Unit_Cost!P$6-1)+3)</f>
        <v>0.0272504145323638</v>
      </c>
      <c r="Q79" s="188" t="n">
        <f aca="false">INDEX(Training!$C$123:$Q$123,3*(Unit_Cost!Q$6-1)+3)</f>
        <v>0.0272504145323638</v>
      </c>
      <c r="R7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604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2359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2374</v>
      </c>
      <c r="B80" s="28" t="s">
        <v>93</v>
      </c>
      <c r="C80" s="189" t="n">
        <f aca="false">Train_In!$C$13</f>
        <v>8</v>
      </c>
      <c r="R80" s="174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604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2375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2376</v>
      </c>
      <c r="B81" s="41" t="s">
        <v>929</v>
      </c>
      <c r="C81" s="31" t="n">
        <f aca="false">Train_In!$C$16</f>
        <v>4</v>
      </c>
      <c r="D81" s="190" t="str">
        <f aca="false">INDEX(Spec_Rack!$C$4:$G$4,C81)</f>
        <v>VR200 NVL72</v>
      </c>
      <c r="R81" s="174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604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2377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2378</v>
      </c>
      <c r="B82" s="41" t="s">
        <v>929</v>
      </c>
      <c r="C82" s="31" t="n">
        <f aca="false">Train_In!$C$17</f>
        <v>3</v>
      </c>
      <c r="D82" s="190" t="str">
        <f aca="false">INDEX(Spec_Rack!$C$4:$G$4,C82)</f>
        <v>GB300 NVL72</v>
      </c>
      <c r="R82" s="174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604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2377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2379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245</v>
      </c>
    </row>
    <row r="86" customFormat="false" ht="15" hidden="false" customHeight="true" outlineLevel="0" collapsed="false">
      <c r="A86" s="41" t="s">
        <v>2380</v>
      </c>
      <c r="B86" s="28" t="s">
        <v>791</v>
      </c>
      <c r="C86" s="43" t="n">
        <f aca="false">Price_Frontier!C41</f>
        <v>0.08</v>
      </c>
      <c r="R8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604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2381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2382</v>
      </c>
      <c r="B87" s="28" t="s">
        <v>791</v>
      </c>
      <c r="C87" s="43" t="n">
        <f aca="false">Price_Frontier!C42</f>
        <v>0.008</v>
      </c>
      <c r="R8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604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2381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2383</v>
      </c>
      <c r="B88" s="28" t="s">
        <v>791</v>
      </c>
      <c r="C88" s="43" t="n">
        <f aca="false">Price_Frontier!C43</f>
        <v>0.4</v>
      </c>
      <c r="R88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604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2381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2384</v>
      </c>
      <c r="B89" s="28" t="s">
        <v>791</v>
      </c>
      <c r="C89" s="43" t="n">
        <f aca="false">Price_Frontier!C44</f>
        <v>0.4</v>
      </c>
      <c r="R89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604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2381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2385</v>
      </c>
      <c r="B90" s="28" t="s">
        <v>791</v>
      </c>
      <c r="C90" s="53" t="n">
        <f aca="false">Price_Frontier!C45</f>
        <v>0.0803555555555556</v>
      </c>
      <c r="R90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604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2386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2387</v>
      </c>
      <c r="B91" s="28" t="s">
        <v>791</v>
      </c>
      <c r="C91" s="43" t="n">
        <f aca="false">Price_Frontier!C46</f>
        <v>0.0803555555555556</v>
      </c>
      <c r="R91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604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2388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2389</v>
      </c>
      <c r="C92" s="174" t="str">
        <f aca="false">Price_Frontier!C26</f>
        <v>GPT-6 Luna</v>
      </c>
      <c r="R92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604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2390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2391</v>
      </c>
      <c r="B93" s="41" t="s">
        <v>1152</v>
      </c>
      <c r="C93" s="30" t="n">
        <f aca="false">INDEX(B4_Life,1,1)</f>
        <v>12</v>
      </c>
      <c r="R93" s="174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604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2377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2392</v>
      </c>
      <c r="B94" s="28" t="s">
        <v>791</v>
      </c>
      <c r="C94" s="191" t="n">
        <f aca="false">Cache_Store!C17</f>
        <v>1.32943302891933E-005</v>
      </c>
      <c r="D94" s="191" t="n">
        <f aca="false">Cache_Store!D17</f>
        <v>1.32943302891933E-005</v>
      </c>
      <c r="E94" s="191" t="n">
        <f aca="false">Cache_Store!E17</f>
        <v>1.32943302891933E-005</v>
      </c>
      <c r="F94" s="191" t="n">
        <f aca="false">Cache_Store!F17</f>
        <v>1.32943302891933E-005</v>
      </c>
      <c r="G94" s="191" t="n">
        <f aca="false">Cache_Store!G17</f>
        <v>1.32943302891933E-005</v>
      </c>
      <c r="H94" s="191" t="n">
        <f aca="false">Cache_Store!H17</f>
        <v>1.32943302891933E-005</v>
      </c>
      <c r="I94" s="191" t="n">
        <f aca="false">Cache_Store!I17</f>
        <v>1.32943302891933E-005</v>
      </c>
      <c r="J94" s="191" t="n">
        <f aca="false">Cache_Store!J17</f>
        <v>1.32943302891933E-005</v>
      </c>
      <c r="K94" s="191" t="n">
        <f aca="false">Cache_Store!K17</f>
        <v>1.32943302891933E-005</v>
      </c>
      <c r="L94" s="191" t="n">
        <f aca="false">Cache_Store!L17</f>
        <v>1.32943302891933E-005</v>
      </c>
      <c r="M94" s="191" t="n">
        <f aca="false">Cache_Store!M17</f>
        <v>1.32943302891933E-005</v>
      </c>
      <c r="N94" s="191" t="n">
        <f aca="false">Cache_Store!N17</f>
        <v>1.32943302891933E-005</v>
      </c>
      <c r="O94" s="191" t="n">
        <f aca="false">Cache_Store!O17</f>
        <v>1.32943302891933E-005</v>
      </c>
      <c r="P94" s="191" t="n">
        <f aca="false">Cache_Store!P17</f>
        <v>1.32943302891933E-005</v>
      </c>
      <c r="Q94" s="191" t="n">
        <f aca="false">Cache_Store!Q17</f>
        <v>1.32943302891933E-005</v>
      </c>
      <c r="R94" s="174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604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2393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2394</v>
      </c>
      <c r="B95" s="28" t="s">
        <v>791</v>
      </c>
      <c r="C95" s="191" t="n">
        <f aca="false">Amortize!C13</f>
        <v>0.00803002985517824</v>
      </c>
      <c r="D95" s="191" t="n">
        <f aca="false">Amortize!D13</f>
        <v>0.0114733064460494</v>
      </c>
      <c r="E95" s="191" t="n">
        <f aca="false">Amortize!E13</f>
        <v>0.0197038871303124</v>
      </c>
      <c r="F95" s="191" t="n">
        <f aca="false">Amortize!F13</f>
        <v>0.000743030053517681</v>
      </c>
      <c r="G95" s="191" t="n">
        <f aca="false">Amortize!G13</f>
        <v>0.00099210142250044</v>
      </c>
      <c r="H95" s="191" t="n">
        <f aca="false">Amortize!H13</f>
        <v>0.00160910875340909</v>
      </c>
      <c r="I95" s="191" t="n">
        <f aca="false">Amortize!I13</f>
        <v>0.000579682625931463</v>
      </c>
      <c r="J95" s="191" t="n">
        <f aca="false">Amortize!J13</f>
        <v>0.000748693658114658</v>
      </c>
      <c r="K95" s="191" t="n">
        <f aca="false">Amortize!K13</f>
        <v>0.00127468745591119</v>
      </c>
      <c r="L95" s="191" t="n">
        <f aca="false">Amortize!L13</f>
        <v>0.000282767792193943</v>
      </c>
      <c r="M95" s="191" t="n">
        <f aca="false">Amortize!M13</f>
        <v>0.000363429509042476</v>
      </c>
      <c r="N95" s="191" t="n">
        <f aca="false">Amortize!N13</f>
        <v>0.00058713162604246</v>
      </c>
      <c r="O95" s="191" t="n">
        <f aca="false">Amortize!O13</f>
        <v>0.000142752606738247</v>
      </c>
      <c r="P95" s="191" t="n">
        <f aca="false">Amortize!P13</f>
        <v>0.000216964388577005</v>
      </c>
      <c r="Q95" s="191" t="n">
        <f aca="false">Amortize!Q13</f>
        <v>0.000396077490075813</v>
      </c>
      <c r="R95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604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2395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2396</v>
      </c>
      <c r="B96" s="28" t="s">
        <v>791</v>
      </c>
      <c r="C96" s="183" t="n">
        <f aca="false">Amortize!C15</f>
        <v>0.174582269222117</v>
      </c>
      <c r="D96" s="183" t="n">
        <f aca="false">Amortize!D15</f>
        <v>0.249436457494237</v>
      </c>
      <c r="E96" s="183" t="n">
        <f aca="false">Amortize!E15</f>
        <v>0.428362959583001</v>
      </c>
      <c r="F96" s="183" t="n">
        <f aca="false">Amortize!F15</f>
        <v>0.0375494516895087</v>
      </c>
      <c r="G96" s="183" t="n">
        <f aca="false">Amortize!G15</f>
        <v>0.0501311914724947</v>
      </c>
      <c r="H96" s="183" t="n">
        <f aca="false">Amortize!H15</f>
        <v>0.0812990680268838</v>
      </c>
      <c r="I96" s="183" t="n">
        <f aca="false">Amortize!I15</f>
        <v>0.0328877428291374</v>
      </c>
      <c r="J96" s="183" t="n">
        <f aca="false">Amortize!J15</f>
        <v>0.042471878268405</v>
      </c>
      <c r="K96" s="183" t="n">
        <f aca="false">Amortize!K15</f>
        <v>0.0722994920825873</v>
      </c>
      <c r="L96" s="183" t="n">
        <f aca="false">Amortize!L15</f>
        <v>0.0251536892040573</v>
      </c>
      <c r="M96" s="183" t="n">
        <f aca="false">Amortize!M15</f>
        <v>0.0323245284874553</v>
      </c>
      <c r="N96" s="183" t="n">
        <f aca="false">Amortize!N15</f>
        <v>0.0522116817868949</v>
      </c>
      <c r="O96" s="183" t="n">
        <f aca="false">Amortize!O15</f>
        <v>0.0197559108737738</v>
      </c>
      <c r="P96" s="183" t="n">
        <f aca="false">Amortize!P15</f>
        <v>0.030018171995636</v>
      </c>
      <c r="Q96" s="183" t="n">
        <f aca="false">Amortize!Q15</f>
        <v>0.0547865493662411</v>
      </c>
      <c r="R96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604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2397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2398</v>
      </c>
      <c r="B97" s="28" t="s">
        <v>791</v>
      </c>
      <c r="C97" s="183" t="n">
        <f aca="false">Theory_Rev!C18</f>
        <v>0.129349911856988</v>
      </c>
      <c r="D97" s="183" t="n">
        <f aca="false">Theory_Rev!D18</f>
        <v>0.184810505721705</v>
      </c>
      <c r="E97" s="183" t="n">
        <f aca="false">Theory_Rev!E18</f>
        <v>0.317379842094771</v>
      </c>
      <c r="F97" s="183" t="n">
        <f aca="false">Theory_Rev!F18</f>
        <v>0.0268367168208034</v>
      </c>
      <c r="G97" s="183" t="n">
        <f aca="false">Theory_Rev!G18</f>
        <v>0.0358290310898272</v>
      </c>
      <c r="H97" s="183" t="n">
        <f aca="false">Theory_Rev!H18</f>
        <v>0.0581050712805656</v>
      </c>
      <c r="I97" s="183" t="n">
        <f aca="false">Theory_Rev!I18</f>
        <v>0.023433876795332</v>
      </c>
      <c r="J97" s="183" t="n">
        <f aca="false">Theory_Rev!J18</f>
        <v>0.0302630497429385</v>
      </c>
      <c r="K97" s="183" t="n">
        <f aca="false">Theory_Rev!K18</f>
        <v>0.0515167073777091</v>
      </c>
      <c r="L97" s="183" t="n">
        <f aca="false">Theory_Rev!L18</f>
        <v>0.0177624501204372</v>
      </c>
      <c r="M97" s="183" t="n">
        <f aca="false">Theory_Rev!M18</f>
        <v>0.0228262374410029</v>
      </c>
      <c r="N97" s="183" t="n">
        <f aca="false">Theory_Rev!N18</f>
        <v>0.0368698257491389</v>
      </c>
      <c r="O97" s="183" t="n">
        <f aca="false">Theory_Rev!O18</f>
        <v>0.013871436434276</v>
      </c>
      <c r="P97" s="183" t="n">
        <f aca="false">Theory_Rev!P18</f>
        <v>0.021077050012663</v>
      </c>
      <c r="Q97" s="183" t="n">
        <f aca="false">Theory_Rev!Q18</f>
        <v>0.038468086371701</v>
      </c>
      <c r="R97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2340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2399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2400</v>
      </c>
      <c r="B98" s="28" t="s">
        <v>791</v>
      </c>
      <c r="C98" s="192" t="n">
        <f aca="false">Amortize!C43</f>
        <v>0.0175330897088367</v>
      </c>
      <c r="D98" s="192" t="n">
        <f aca="false">Amortize!D43</f>
        <v>0.0250507268313705</v>
      </c>
      <c r="E98" s="192" t="n">
        <f aca="false">Amortize!E43</f>
        <v>0.0430203895230253</v>
      </c>
      <c r="F98" s="192" t="n">
        <f aca="false">Amortize!F43</f>
        <v>0.00352073286710706</v>
      </c>
      <c r="G98" s="192" t="n">
        <f aca="false">Amortize!G43</f>
        <v>0.00470050508934434</v>
      </c>
      <c r="H98" s="192" t="n">
        <f aca="false">Amortize!H43</f>
        <v>0.00762307347966452</v>
      </c>
      <c r="I98" s="192" t="n">
        <f aca="false">Amortize!I43</f>
        <v>0.00298220637516093</v>
      </c>
      <c r="J98" s="192" t="n">
        <f aca="false">Amortize!J43</f>
        <v>0.00385136671979145</v>
      </c>
      <c r="K98" s="192" t="n">
        <f aca="false">Amortize!K43</f>
        <v>0.00655635552827826</v>
      </c>
      <c r="L98" s="192" t="n">
        <f aca="false">Amortize!L43</f>
        <v>0.00231310331933708</v>
      </c>
      <c r="M98" s="192" t="n">
        <f aca="false">Amortize!M43</f>
        <v>0.00297255668954159</v>
      </c>
      <c r="N98" s="192" t="n">
        <f aca="false">Amortize!N43</f>
        <v>0.00480144306515074</v>
      </c>
      <c r="O98" s="192" t="n">
        <f aca="false">Amortize!O43</f>
        <v>0.00171197741040453</v>
      </c>
      <c r="P98" s="192" t="n">
        <f aca="false">Amortize!P43</f>
        <v>0.00260130117562586</v>
      </c>
      <c r="Q98" s="192" t="n">
        <f aca="false">Amortize!Q43</f>
        <v>0.00474771962669451</v>
      </c>
      <c r="R9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604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2399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2401</v>
      </c>
      <c r="B99" s="28" t="s">
        <v>791</v>
      </c>
      <c r="C99" s="191" t="n">
        <f aca="false">Amortize!C44</f>
        <v>0.00782926184897554</v>
      </c>
      <c r="D99" s="191" t="n">
        <f aca="false">Amortize!D44</f>
        <v>0.0111862029526438</v>
      </c>
      <c r="E99" s="191" t="n">
        <f aca="false">Amortize!E44</f>
        <v>0.0192104129970277</v>
      </c>
      <c r="F99" s="191" t="n">
        <f aca="false">Amortize!F44</f>
        <v>0.00165965019412098</v>
      </c>
      <c r="G99" s="191" t="n">
        <f aca="false">Amortize!G44</f>
        <v>0.00221578701891322</v>
      </c>
      <c r="H99" s="191" t="n">
        <f aca="false">Amortize!H44</f>
        <v>0.00359346643379944</v>
      </c>
      <c r="I99" s="191" t="n">
        <f aca="false">Amortize!I44</f>
        <v>0.00148333975179878</v>
      </c>
      <c r="J99" s="191" t="n">
        <f aca="false">Amortize!J44</f>
        <v>0.00191565728039637</v>
      </c>
      <c r="K99" s="191" t="n">
        <f aca="false">Amortize!K44</f>
        <v>0.00326110991614254</v>
      </c>
      <c r="L99" s="191" t="n">
        <f aca="false">Amortize!L44</f>
        <v>0.00106624342241572</v>
      </c>
      <c r="M99" s="191" t="n">
        <f aca="false">Amortize!M44</f>
        <v>0.00137022371265712</v>
      </c>
      <c r="N99" s="191" t="n">
        <f aca="false">Amortize!N44</f>
        <v>0.00221326347315422</v>
      </c>
      <c r="O99" s="191" t="n">
        <f aca="false">Amortize!O44</f>
        <v>0.000825482567485671</v>
      </c>
      <c r="P99" s="191" t="n">
        <f aca="false">Amortize!P44</f>
        <v>0.00125429737577655</v>
      </c>
      <c r="Q99" s="191" t="n">
        <f aca="false">Amortize!Q44</f>
        <v>0.00228925905407819</v>
      </c>
      <c r="R99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604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2" t="s">
        <v>2402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2403</v>
      </c>
      <c r="B100" s="28" t="s">
        <v>791</v>
      </c>
      <c r="C100" s="193" t="n">
        <f aca="false">Theory_Rev!C20</f>
        <v>0.138852971710647</v>
      </c>
      <c r="D100" s="193" t="n">
        <f aca="false">Theory_Rev!D20</f>
        <v>0.198387926107027</v>
      </c>
      <c r="E100" s="193" t="n">
        <f aca="false">Theory_Rev!E20</f>
        <v>0.340696344487484</v>
      </c>
      <c r="F100" s="193" t="n">
        <f aca="false">Theory_Rev!F20</f>
        <v>0.0296144196343927</v>
      </c>
      <c r="G100" s="193" t="n">
        <f aca="false">Theory_Rev!G20</f>
        <v>0.0395374347566711</v>
      </c>
      <c r="H100" s="193" t="n">
        <f aca="false">Theory_Rev!H20</f>
        <v>0.064119036006821</v>
      </c>
      <c r="I100" s="193" t="n">
        <f aca="false">Theory_Rev!I20</f>
        <v>0.0258364005445615</v>
      </c>
      <c r="J100" s="193" t="n">
        <f aca="false">Theory_Rev!J20</f>
        <v>0.0333657228046153</v>
      </c>
      <c r="K100" s="193" t="n">
        <f aca="false">Theory_Rev!K20</f>
        <v>0.0567983754500762</v>
      </c>
      <c r="L100" s="193" t="n">
        <f aca="false">Theory_Rev!L20</f>
        <v>0.0197927856475803</v>
      </c>
      <c r="M100" s="193" t="n">
        <f aca="false">Theory_Rev!M20</f>
        <v>0.025435364621502</v>
      </c>
      <c r="N100" s="193" t="n">
        <f aca="false">Theory_Rev!N20</f>
        <v>0.0410841371882472</v>
      </c>
      <c r="O100" s="193" t="n">
        <f aca="false">Theory_Rev!O20</f>
        <v>0.0154406612379422</v>
      </c>
      <c r="P100" s="193" t="n">
        <f aca="false">Theory_Rev!P20</f>
        <v>0.0234613867997119</v>
      </c>
      <c r="Q100" s="193" t="n">
        <f aca="false">Theory_Rev!Q20</f>
        <v>0.0428197285083197</v>
      </c>
      <c r="R100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2340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2399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2404</v>
      </c>
      <c r="B101" s="28" t="s">
        <v>1739</v>
      </c>
      <c r="C101" s="194" t="n">
        <f aca="false">Theory_Rev!C11</f>
        <v>3.57102907624799</v>
      </c>
      <c r="D101" s="194" t="n">
        <f aca="false">Theory_Rev!D11</f>
        <v>3.57102907624799</v>
      </c>
      <c r="E101" s="194" t="n">
        <f aca="false">Theory_Rev!E11</f>
        <v>3.57102907624799</v>
      </c>
      <c r="F101" s="194" t="n">
        <f aca="false">Theory_Rev!F11</f>
        <v>17.4680230535144</v>
      </c>
      <c r="G101" s="194" t="n">
        <f aca="false">Theory_Rev!G11</f>
        <v>17.4680230535144</v>
      </c>
      <c r="H101" s="194" t="n">
        <f aca="false">Theory_Rev!H11</f>
        <v>17.4680230535144</v>
      </c>
      <c r="I101" s="194" t="n">
        <f aca="false">Theory_Rev!I11</f>
        <v>25.4312759220773</v>
      </c>
      <c r="J101" s="194" t="n">
        <f aca="false">Theory_Rev!J11</f>
        <v>25.4312759220773</v>
      </c>
      <c r="K101" s="194" t="n">
        <f aca="false">Theory_Rev!K11</f>
        <v>25.4312759220773</v>
      </c>
      <c r="L101" s="194" t="n">
        <f aca="false">Theory_Rev!L11</f>
        <v>37.2582226398973</v>
      </c>
      <c r="M101" s="194" t="n">
        <f aca="false">Theory_Rev!M11</f>
        <v>37.2582226398973</v>
      </c>
      <c r="N101" s="194" t="n">
        <f aca="false">Theory_Rev!N11</f>
        <v>37.2582226398973</v>
      </c>
      <c r="O101" s="194" t="n">
        <f aca="false">Theory_Rev!O11</f>
        <v>50.3527379522069</v>
      </c>
      <c r="P101" s="194" t="n">
        <f aca="false">Theory_Rev!P11</f>
        <v>50.3527379522069</v>
      </c>
      <c r="Q101" s="194" t="n">
        <f aca="false">Theory_Rev!Q11</f>
        <v>50.3527379522069</v>
      </c>
      <c r="R10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2340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2405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2406</v>
      </c>
      <c r="B102" s="28" t="s">
        <v>1739</v>
      </c>
      <c r="C102" s="185" t="n">
        <f aca="false">Theory_Rev!C12</f>
        <v>3.57102907624799</v>
      </c>
      <c r="D102" s="185" t="n">
        <f aca="false">Theory_Rev!D12</f>
        <v>3.57102907624799</v>
      </c>
      <c r="E102" s="185" t="n">
        <f aca="false">Theory_Rev!E12</f>
        <v>3.57102907624799</v>
      </c>
      <c r="F102" s="185" t="n">
        <f aca="false">Theory_Rev!F12</f>
        <v>17.4680230535144</v>
      </c>
      <c r="G102" s="185" t="n">
        <f aca="false">Theory_Rev!G12</f>
        <v>17.4680230535144</v>
      </c>
      <c r="H102" s="185" t="n">
        <f aca="false">Theory_Rev!H12</f>
        <v>17.4680230535144</v>
      </c>
      <c r="I102" s="185" t="n">
        <f aca="false">Theory_Rev!I12</f>
        <v>25.4312759220773</v>
      </c>
      <c r="J102" s="185" t="n">
        <f aca="false">Theory_Rev!J12</f>
        <v>25.4312759220773</v>
      </c>
      <c r="K102" s="185" t="n">
        <f aca="false">Theory_Rev!K12</f>
        <v>25.4312759220773</v>
      </c>
      <c r="L102" s="185" t="n">
        <f aca="false">Theory_Rev!L12</f>
        <v>37.2582226398973</v>
      </c>
      <c r="M102" s="185" t="n">
        <f aca="false">Theory_Rev!M12</f>
        <v>37.2582226398973</v>
      </c>
      <c r="N102" s="185" t="n">
        <f aca="false">Theory_Rev!N12</f>
        <v>37.2582226398973</v>
      </c>
      <c r="O102" s="185" t="n">
        <f aca="false">Theory_Rev!O12</f>
        <v>50.3527379522069</v>
      </c>
      <c r="P102" s="185" t="n">
        <f aca="false">Theory_Rev!P12</f>
        <v>50.3527379522069</v>
      </c>
      <c r="Q102" s="185" t="n">
        <f aca="false">Theory_Rev!Q12</f>
        <v>50.3527379522069</v>
      </c>
      <c r="R10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2340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2407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246</v>
      </c>
      <c r="B103" s="195"/>
      <c r="C103" s="43"/>
    </row>
    <row r="104" customFormat="false" ht="15" hidden="false" customHeight="true" outlineLevel="0" collapsed="false">
      <c r="A104" s="41" t="s">
        <v>2408</v>
      </c>
      <c r="B104" s="28" t="s">
        <v>791</v>
      </c>
      <c r="C104" s="43" t="n">
        <f aca="false">Price_Frontier!D41</f>
        <v>1.6</v>
      </c>
      <c r="R10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604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2381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2409</v>
      </c>
      <c r="B105" s="28" t="s">
        <v>791</v>
      </c>
      <c r="C105" s="43" t="n">
        <f aca="false">Price_Frontier!D42</f>
        <v>0.16</v>
      </c>
      <c r="R10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604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2381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2410</v>
      </c>
      <c r="B106" s="28" t="s">
        <v>791</v>
      </c>
      <c r="C106" s="43" t="n">
        <f aca="false">Price_Frontier!D43</f>
        <v>8</v>
      </c>
      <c r="R10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604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2381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2411</v>
      </c>
      <c r="B107" s="28" t="s">
        <v>791</v>
      </c>
      <c r="C107" s="43" t="n">
        <f aca="false">Price_Frontier!D44</f>
        <v>8</v>
      </c>
      <c r="R10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604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2381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2412</v>
      </c>
      <c r="B108" s="28" t="s">
        <v>791</v>
      </c>
      <c r="C108" s="53" t="n">
        <f aca="false">Price_Frontier!D45</f>
        <v>1.60711111111111</v>
      </c>
      <c r="R108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604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2386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2413</v>
      </c>
      <c r="B109" s="28" t="s">
        <v>791</v>
      </c>
      <c r="C109" s="43" t="n">
        <f aca="false">Price_Frontier!D46</f>
        <v>1.60711111111111</v>
      </c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604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2388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2414</v>
      </c>
      <c r="B110" s="195"/>
      <c r="C110" s="191" t="str">
        <f aca="false">Price_Frontier!D26</f>
        <v>GPT-6 Sol</v>
      </c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604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2390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2415</v>
      </c>
      <c r="B111" s="41" t="s">
        <v>1152</v>
      </c>
      <c r="C111" s="30" t="n">
        <f aca="false">INDEX(B4_Life,1,2)</f>
        <v>12</v>
      </c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74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604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2377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2416</v>
      </c>
      <c r="B112" s="28" t="s">
        <v>791</v>
      </c>
      <c r="C112" s="191" t="n">
        <f aca="false">Cache_Store!C23</f>
        <v>1.8859398782344E-005</v>
      </c>
      <c r="D112" s="191" t="n">
        <f aca="false">Cache_Store!D23</f>
        <v>1.8859398782344E-005</v>
      </c>
      <c r="E112" s="191" t="n">
        <f aca="false">Cache_Store!E23</f>
        <v>1.8859398782344E-005</v>
      </c>
      <c r="F112" s="191" t="n">
        <f aca="false">Cache_Store!F23</f>
        <v>1.8859398782344E-005</v>
      </c>
      <c r="G112" s="191" t="n">
        <f aca="false">Cache_Store!G23</f>
        <v>1.8859398782344E-005</v>
      </c>
      <c r="H112" s="191" t="n">
        <f aca="false">Cache_Store!H23</f>
        <v>1.8859398782344E-005</v>
      </c>
      <c r="I112" s="191" t="n">
        <f aca="false">Cache_Store!I23</f>
        <v>1.8859398782344E-005</v>
      </c>
      <c r="J112" s="191" t="n">
        <f aca="false">Cache_Store!J23</f>
        <v>1.8859398782344E-005</v>
      </c>
      <c r="K112" s="191" t="n">
        <f aca="false">Cache_Store!K23</f>
        <v>1.8859398782344E-005</v>
      </c>
      <c r="L112" s="191" t="n">
        <f aca="false">Cache_Store!L23</f>
        <v>1.8859398782344E-005</v>
      </c>
      <c r="M112" s="191" t="n">
        <f aca="false">Cache_Store!M23</f>
        <v>1.8859398782344E-005</v>
      </c>
      <c r="N112" s="191" t="n">
        <f aca="false">Cache_Store!N23</f>
        <v>1.8859398782344E-005</v>
      </c>
      <c r="O112" s="191" t="n">
        <f aca="false">Cache_Store!O23</f>
        <v>1.8859398782344E-005</v>
      </c>
      <c r="P112" s="191" t="n">
        <f aca="false">Cache_Store!P23</f>
        <v>1.8859398782344E-005</v>
      </c>
      <c r="Q112" s="191" t="n">
        <f aca="false">Cache_Store!Q23</f>
        <v>1.8859398782344E-005</v>
      </c>
      <c r="R112" s="174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604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2393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2417</v>
      </c>
      <c r="B113" s="28" t="s">
        <v>791</v>
      </c>
      <c r="C113" s="191" t="n">
        <f aca="false">Amortize!C22</f>
        <v>0.0987009869698532</v>
      </c>
      <c r="D113" s="191" t="n">
        <f aca="false">Amortize!D22</f>
        <v>0.141023967588663</v>
      </c>
      <c r="E113" s="191" t="n">
        <f aca="false">Amortize!E22</f>
        <v>0.242190021952447</v>
      </c>
      <c r="F113" s="191" t="n">
        <f aca="false">Amortize!F22</f>
        <v>0.00935318660544555</v>
      </c>
      <c r="G113" s="191" t="n">
        <f aca="false">Amortize!G22</f>
        <v>0.0124884716200161</v>
      </c>
      <c r="H113" s="191" t="n">
        <f aca="false">Amortize!H22</f>
        <v>0.0202552970338674</v>
      </c>
      <c r="I113" s="191" t="n">
        <f aca="false">Amortize!I22</f>
        <v>0.00797369992573252</v>
      </c>
      <c r="J113" s="191" t="n">
        <f aca="false">Amortize!J22</f>
        <v>0.0102984948988468</v>
      </c>
      <c r="K113" s="191" t="n">
        <f aca="false">Amortize!K22</f>
        <v>0.0175336896740682</v>
      </c>
      <c r="L113" s="191" t="n">
        <f aca="false">Amortize!L22</f>
        <v>0.00333444031534962</v>
      </c>
      <c r="M113" s="191" t="n">
        <f aca="false">Amortize!M22</f>
        <v>0.00428561540667894</v>
      </c>
      <c r="N113" s="191" t="n">
        <f aca="false">Amortize!N22</f>
        <v>0.00692354440052346</v>
      </c>
      <c r="O113" s="191" t="n">
        <f aca="false">Amortize!O22</f>
        <v>0.00170696612420711</v>
      </c>
      <c r="P113" s="191" t="n">
        <f aca="false">Amortize!P22</f>
        <v>0.00259435445644321</v>
      </c>
      <c r="Q113" s="191" t="n">
        <f aca="false">Amortize!Q22</f>
        <v>0.00473610166264831</v>
      </c>
      <c r="R113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604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2395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2418</v>
      </c>
      <c r="B114" s="28" t="s">
        <v>791</v>
      </c>
      <c r="C114" s="183" t="n">
        <f aca="false">Amortize!C24</f>
        <v>0.600549705636422</v>
      </c>
      <c r="D114" s="183" t="n">
        <f aca="false">Amortize!D24</f>
        <v>0.858055921418767</v>
      </c>
      <c r="E114" s="183" t="n">
        <f aca="false">Amortize!E24</f>
        <v>1.47358175263281</v>
      </c>
      <c r="F114" s="183" t="n">
        <f aca="false">Amortize!F24</f>
        <v>0.130648458909903</v>
      </c>
      <c r="G114" s="183" t="n">
        <f aca="false">Amortize!G24</f>
        <v>0.174435762741057</v>
      </c>
      <c r="H114" s="183" t="n">
        <f aca="false">Amortize!H24</f>
        <v>0.282907031738724</v>
      </c>
      <c r="I114" s="183" t="n">
        <f aca="false">Amortize!I24</f>
        <v>0.114412296158999</v>
      </c>
      <c r="J114" s="183" t="n">
        <f aca="false">Amortize!J24</f>
        <v>0.14776365429894</v>
      </c>
      <c r="K114" s="183" t="n">
        <f aca="false">Amortize!K24</f>
        <v>0.251559290022202</v>
      </c>
      <c r="L114" s="183" t="n">
        <f aca="false">Amortize!L24</f>
        <v>0.0808819890837787</v>
      </c>
      <c r="M114" s="183" t="n">
        <f aca="false">Amortize!M24</f>
        <v>0.103947898919895</v>
      </c>
      <c r="N114" s="183" t="n">
        <f aca="false">Amortize!N24</f>
        <v>0.167917438156943</v>
      </c>
      <c r="O114" s="183" t="n">
        <f aca="false">Amortize!O24</f>
        <v>0.0621848378353225</v>
      </c>
      <c r="P114" s="183" t="n">
        <f aca="false">Amortize!P24</f>
        <v>0.0945009310541822</v>
      </c>
      <c r="Q114" s="183" t="n">
        <f aca="false">Amortize!Q24</f>
        <v>0.172497113618978</v>
      </c>
      <c r="R114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604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2397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2419</v>
      </c>
      <c r="B115" s="28" t="s">
        <v>791</v>
      </c>
      <c r="C115" s="183" t="n">
        <f aca="false">Theory_Rev!C36</f>
        <v>0.516032138344316</v>
      </c>
      <c r="D115" s="183" t="n">
        <f aca="false">Theory_Rev!D36</f>
        <v>0.737300116371195</v>
      </c>
      <c r="E115" s="183" t="n">
        <f aca="false">Theory_Rev!E36</f>
        <v>1.26620446022271</v>
      </c>
      <c r="F115" s="183" t="n">
        <f aca="false">Theory_Rev!F36</f>
        <v>0.100142793644531</v>
      </c>
      <c r="G115" s="183" t="n">
        <f aca="false">Theory_Rev!G36</f>
        <v>0.133706544033293</v>
      </c>
      <c r="H115" s="183" t="n">
        <f aca="false">Theory_Rev!H36</f>
        <v>0.216851708920099</v>
      </c>
      <c r="I115" s="183" t="n">
        <f aca="false">Theory_Rev!I36</f>
        <v>0.0874805497989355</v>
      </c>
      <c r="J115" s="183" t="n">
        <f aca="false">Theory_Rev!J36</f>
        <v>0.112981712293025</v>
      </c>
      <c r="K115" s="183" t="n">
        <f aca="false">Theory_Rev!K36</f>
        <v>0.192346077655599</v>
      </c>
      <c r="L115" s="183" t="n">
        <f aca="false">Theory_Rev!L36</f>
        <v>0.0595405683227212</v>
      </c>
      <c r="M115" s="183" t="n">
        <f aca="false">Theory_Rev!M36</f>
        <v>0.0765205960120296</v>
      </c>
      <c r="N115" s="183" t="n">
        <f aca="false">Theory_Rev!N36</f>
        <v>0.12361193362823</v>
      </c>
      <c r="O115" s="183" t="n">
        <f aca="false">Theory_Rev!O36</f>
        <v>0.0449201585182448</v>
      </c>
      <c r="P115" s="183" t="n">
        <f aca="false">Theory_Rev!P36</f>
        <v>0.0682644929856207</v>
      </c>
      <c r="Q115" s="183" t="n">
        <f aca="false">Theory_Rev!Q36</f>
        <v>0.124606977228379</v>
      </c>
      <c r="R115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2340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2399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2420</v>
      </c>
      <c r="B116" s="28" t="s">
        <v>791</v>
      </c>
      <c r="C116" s="192" t="n">
        <f aca="false">Amortize!C45</f>
        <v>0.21550769923691</v>
      </c>
      <c r="D116" s="192" t="n">
        <f aca="false">Amortize!D45</f>
        <v>0.307910618909345</v>
      </c>
      <c r="E116" s="192" t="n">
        <f aca="false">Amortize!E45</f>
        <v>0.528784448168889</v>
      </c>
      <c r="F116" s="192" t="n">
        <f aca="false">Amortize!F45</f>
        <v>0.0443186265993938</v>
      </c>
      <c r="G116" s="192" t="n">
        <f aca="false">Amortize!G45</f>
        <v>0.0591694791244913</v>
      </c>
      <c r="H116" s="192" t="n">
        <f aca="false">Amortize!H45</f>
        <v>0.0959584722377972</v>
      </c>
      <c r="I116" s="192" t="n">
        <f aca="false">Amortize!I45</f>
        <v>0.0410210996300435</v>
      </c>
      <c r="J116" s="192" t="n">
        <f aca="false">Amortize!J45</f>
        <v>0.0529766481757565</v>
      </c>
      <c r="K116" s="192" t="n">
        <f aca="false">Amortize!K45</f>
        <v>0.0901845410752217</v>
      </c>
      <c r="L116" s="192" t="n">
        <f aca="false">Amortize!L45</f>
        <v>0.0272764620812136</v>
      </c>
      <c r="M116" s="192" t="n">
        <f aca="false">Amortize!M45</f>
        <v>0.0350528353613606</v>
      </c>
      <c r="N116" s="192" t="n">
        <f aca="false">Amortize!N45</f>
        <v>0.056619338447547</v>
      </c>
      <c r="O116" s="192" t="n">
        <f aca="false">Amortize!O45</f>
        <v>0.0204709918210229</v>
      </c>
      <c r="P116" s="192" t="n">
        <f aca="false">Amortize!P45</f>
        <v>0.0311050921388451</v>
      </c>
      <c r="Q116" s="192" t="n">
        <f aca="false">Amortize!Q45</f>
        <v>0.0567709182702403</v>
      </c>
      <c r="R11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604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2399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2421</v>
      </c>
      <c r="B117" s="28" t="s">
        <v>791</v>
      </c>
      <c r="C117" s="191" t="n">
        <f aca="false">Amortize!C46</f>
        <v>0.76075138172424</v>
      </c>
      <c r="D117" s="191" t="n">
        <f aca="false">Amortize!D46</f>
        <v>1.08693763430393</v>
      </c>
      <c r="E117" s="191" t="n">
        <f aca="false">Amortize!E46</f>
        <v>1.86663168417268</v>
      </c>
      <c r="F117" s="191" t="n">
        <f aca="false">Amortize!F46</f>
        <v>0.158902140573672</v>
      </c>
      <c r="G117" s="191" t="n">
        <f aca="false">Amortize!G46</f>
        <v>0.21214910323145</v>
      </c>
      <c r="H117" s="191" t="n">
        <f aca="false">Amortize!H46</f>
        <v>0.344054132872743</v>
      </c>
      <c r="I117" s="191" t="n">
        <f aca="false">Amortize!I46</f>
        <v>0.149431056183798</v>
      </c>
      <c r="J117" s="191" t="n">
        <f aca="false">Amortize!J46</f>
        <v>0.192982551939757</v>
      </c>
      <c r="K117" s="191" t="n">
        <f aca="false">Amortize!K46</f>
        <v>0.328522914935502</v>
      </c>
      <c r="L117" s="191" t="n">
        <f aca="false">Amortize!L46</f>
        <v>0.0971179608385562</v>
      </c>
      <c r="M117" s="191" t="n">
        <f aca="false">Amortize!M46</f>
        <v>0.124805771429192</v>
      </c>
      <c r="N117" s="191" t="n">
        <f aca="false">Amortize!N46</f>
        <v>0.201593398648318</v>
      </c>
      <c r="O117" s="191" t="n">
        <f aca="false">Amortize!O46</f>
        <v>0.0737187706076097</v>
      </c>
      <c r="P117" s="191" t="n">
        <f aca="false">Amortize!P46</f>
        <v>0.1120135835215</v>
      </c>
      <c r="Q117" s="191" t="n">
        <f aca="false">Amortize!Q46</f>
        <v>0.204439645022441</v>
      </c>
      <c r="R117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604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2" t="s">
        <v>2402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2422</v>
      </c>
      <c r="B118" s="28" t="s">
        <v>791</v>
      </c>
      <c r="C118" s="193" t="n">
        <f aca="false">Theory_Rev!C38</f>
        <v>0.632838850611373</v>
      </c>
      <c r="D118" s="193" t="n">
        <f aca="false">Theory_Rev!D38</f>
        <v>0.904186767691878</v>
      </c>
      <c r="E118" s="193" t="n">
        <f aca="false">Theory_Rev!E38</f>
        <v>1.55279888643915</v>
      </c>
      <c r="F118" s="193" t="n">
        <f aca="false">Theory_Rev!F38</f>
        <v>0.135108233638479</v>
      </c>
      <c r="G118" s="193" t="n">
        <f aca="false">Theory_Rev!G38</f>
        <v>0.180387551537768</v>
      </c>
      <c r="H118" s="193" t="n">
        <f aca="false">Theory_Rev!H38</f>
        <v>0.292554884124029</v>
      </c>
      <c r="I118" s="193" t="n">
        <f aca="false">Theory_Rev!I38</f>
        <v>0.120527949503246</v>
      </c>
      <c r="J118" s="193" t="n">
        <f aca="false">Theory_Rev!J38</f>
        <v>0.155659865569935</v>
      </c>
      <c r="K118" s="193" t="n">
        <f aca="false">Theory_Rev!K38</f>
        <v>0.264996929056752</v>
      </c>
      <c r="L118" s="193" t="n">
        <f aca="false">Theory_Rev!L38</f>
        <v>0.0834825900885852</v>
      </c>
      <c r="M118" s="193" t="n">
        <f aca="false">Theory_Rev!M38</f>
        <v>0.107287815966711</v>
      </c>
      <c r="N118" s="193" t="n">
        <f aca="false">Theory_Rev!N38</f>
        <v>0.173307727675253</v>
      </c>
      <c r="O118" s="193" t="n">
        <f aca="false">Theory_Rev!O38</f>
        <v>0.0636841842150605</v>
      </c>
      <c r="P118" s="193" t="n">
        <f aca="false">Theory_Rev!P38</f>
        <v>0.0967752306680225</v>
      </c>
      <c r="Q118" s="193" t="n">
        <f aca="false">Theory_Rev!Q38</f>
        <v>0.176641793835971</v>
      </c>
      <c r="R11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2340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2399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2423</v>
      </c>
      <c r="B119" s="28" t="s">
        <v>1739</v>
      </c>
      <c r="C119" s="194" t="n">
        <f aca="false">Theory_Rev!C29</f>
        <v>20.7225049979976</v>
      </c>
      <c r="D119" s="194" t="n">
        <f aca="false">Theory_Rev!D29</f>
        <v>20.7225049979976</v>
      </c>
      <c r="E119" s="194" t="n">
        <f aca="false">Theory_Rev!E29</f>
        <v>20.7225049979976</v>
      </c>
      <c r="F119" s="194" t="n">
        <f aca="false">Theory_Rev!F29</f>
        <v>100.404653415384</v>
      </c>
      <c r="G119" s="194" t="n">
        <f aca="false">Theory_Rev!G29</f>
        <v>100.404653415384</v>
      </c>
      <c r="H119" s="194" t="n">
        <f aca="false">Theory_Rev!H29</f>
        <v>100.404653415384</v>
      </c>
      <c r="I119" s="194" t="n">
        <f aca="false">Theory_Rev!I29</f>
        <v>146.176727443319</v>
      </c>
      <c r="J119" s="194" t="n">
        <f aca="false">Theory_Rev!J29</f>
        <v>146.176727443319</v>
      </c>
      <c r="K119" s="194" t="n">
        <f aca="false">Theory_Rev!K29</f>
        <v>146.176727443319</v>
      </c>
      <c r="L119" s="194" t="n">
        <f aca="false">Theory_Rev!L29</f>
        <v>228.808271164193</v>
      </c>
      <c r="M119" s="194" t="n">
        <f aca="false">Theory_Rev!M29</f>
        <v>228.808271164193</v>
      </c>
      <c r="N119" s="194" t="n">
        <f aca="false">Theory_Rev!N29</f>
        <v>228.808271164193</v>
      </c>
      <c r="O119" s="194" t="n">
        <f aca="false">Theory_Rev!O29</f>
        <v>314.529969229019</v>
      </c>
      <c r="P119" s="194" t="n">
        <f aca="false">Theory_Rev!P29</f>
        <v>314.529969229019</v>
      </c>
      <c r="Q119" s="194" t="n">
        <f aca="false">Theory_Rev!Q29</f>
        <v>314.529969229019</v>
      </c>
      <c r="R11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2340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2405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2424</v>
      </c>
      <c r="B120" s="28" t="s">
        <v>1739</v>
      </c>
      <c r="C120" s="185" t="n">
        <f aca="false">Theory_Rev!C30</f>
        <v>20.7225049979976</v>
      </c>
      <c r="D120" s="185" t="n">
        <f aca="false">Theory_Rev!D30</f>
        <v>20.7225049979976</v>
      </c>
      <c r="E120" s="185" t="n">
        <f aca="false">Theory_Rev!E30</f>
        <v>20.7225049979976</v>
      </c>
      <c r="F120" s="185" t="n">
        <f aca="false">Theory_Rev!F30</f>
        <v>100.404653415384</v>
      </c>
      <c r="G120" s="185" t="n">
        <f aca="false">Theory_Rev!G30</f>
        <v>100.404653415384</v>
      </c>
      <c r="H120" s="185" t="n">
        <f aca="false">Theory_Rev!H30</f>
        <v>100.404653415384</v>
      </c>
      <c r="I120" s="185" t="n">
        <f aca="false">Theory_Rev!I30</f>
        <v>146.176727443319</v>
      </c>
      <c r="J120" s="185" t="n">
        <f aca="false">Theory_Rev!J30</f>
        <v>146.176727443319</v>
      </c>
      <c r="K120" s="185" t="n">
        <f aca="false">Theory_Rev!K30</f>
        <v>146.176727443319</v>
      </c>
      <c r="L120" s="185" t="n">
        <f aca="false">Theory_Rev!L30</f>
        <v>228.808271164193</v>
      </c>
      <c r="M120" s="185" t="n">
        <f aca="false">Theory_Rev!M30</f>
        <v>228.808271164193</v>
      </c>
      <c r="N120" s="185" t="n">
        <f aca="false">Theory_Rev!N30</f>
        <v>228.808271164193</v>
      </c>
      <c r="O120" s="185" t="n">
        <f aca="false">Theory_Rev!O30</f>
        <v>314.529969229019</v>
      </c>
      <c r="P120" s="185" t="n">
        <f aca="false">Theory_Rev!P30</f>
        <v>314.529969229019</v>
      </c>
      <c r="Q120" s="185" t="n">
        <f aca="false">Theory_Rev!Q30</f>
        <v>314.529969229019</v>
      </c>
      <c r="R12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2340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2407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247</v>
      </c>
      <c r="B121" s="195"/>
      <c r="C121" s="43"/>
    </row>
    <row r="122" customFormat="false" ht="15" hidden="false" customHeight="true" outlineLevel="0" collapsed="false">
      <c r="A122" s="41" t="s">
        <v>2425</v>
      </c>
      <c r="B122" s="28" t="s">
        <v>791</v>
      </c>
      <c r="C122" s="43" t="n">
        <f aca="false">Price_Frontier!E41</f>
        <v>8</v>
      </c>
      <c r="R122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604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2381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2426</v>
      </c>
      <c r="B123" s="28" t="s">
        <v>791</v>
      </c>
      <c r="C123" s="43" t="n">
        <f aca="false">Price_Frontier!E42</f>
        <v>0.8</v>
      </c>
      <c r="R123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604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2381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2427</v>
      </c>
      <c r="B124" s="28" t="s">
        <v>791</v>
      </c>
      <c r="C124" s="43" t="n">
        <f aca="false">Price_Frontier!E43</f>
        <v>40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604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2381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2428</v>
      </c>
      <c r="B125" s="28" t="s">
        <v>791</v>
      </c>
      <c r="C125" s="43" t="n">
        <f aca="false">Price_Frontier!E44</f>
        <v>40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604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2381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2429</v>
      </c>
      <c r="B126" s="28" t="s">
        <v>791</v>
      </c>
      <c r="C126" s="53" t="n">
        <f aca="false">Price_Frontier!E45</f>
        <v>8.03555555555555</v>
      </c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604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2386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2430</v>
      </c>
      <c r="B127" s="28" t="s">
        <v>791</v>
      </c>
      <c r="C127" s="43" t="n">
        <f aca="false">Price_Frontier!E46</f>
        <v>7.74222222222222</v>
      </c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604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2388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2431</v>
      </c>
      <c r="B128" s="195"/>
      <c r="C128" s="185" t="str">
        <f aca="false">Price_Frontier!E26</f>
        <v>Claude Fable 5.1</v>
      </c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604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2390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2432</v>
      </c>
      <c r="B129" s="41" t="s">
        <v>1152</v>
      </c>
      <c r="C129" s="30" t="n">
        <f aca="false">INDEX(B4_Life,1,3)</f>
        <v>9</v>
      </c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74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604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2377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2433</v>
      </c>
      <c r="B130" s="28" t="s">
        <v>791</v>
      </c>
      <c r="C130" s="191" t="n">
        <f aca="false">Cache_Store!C29</f>
        <v>0.000273972602739726</v>
      </c>
      <c r="D130" s="191" t="n">
        <f aca="false">Cache_Store!D29</f>
        <v>0.000273972602739726</v>
      </c>
      <c r="E130" s="191" t="n">
        <f aca="false">Cache_Store!E29</f>
        <v>0.000273972602739726</v>
      </c>
      <c r="F130" s="191" t="n">
        <f aca="false">Cache_Store!F29</f>
        <v>0.000273972602739726</v>
      </c>
      <c r="G130" s="191" t="n">
        <f aca="false">Cache_Store!G29</f>
        <v>0.000273972602739726</v>
      </c>
      <c r="H130" s="191" t="n">
        <f aca="false">Cache_Store!H29</f>
        <v>0.000273972602739726</v>
      </c>
      <c r="I130" s="191" t="n">
        <f aca="false">Cache_Store!I29</f>
        <v>0.000273972602739726</v>
      </c>
      <c r="J130" s="191" t="n">
        <f aca="false">Cache_Store!J29</f>
        <v>0.000273972602739726</v>
      </c>
      <c r="K130" s="191" t="n">
        <f aca="false">Cache_Store!K29</f>
        <v>0.000273972602739726</v>
      </c>
      <c r="L130" s="191" t="n">
        <f aca="false">Cache_Store!L29</f>
        <v>0.000273972602739726</v>
      </c>
      <c r="M130" s="191" t="n">
        <f aca="false">Cache_Store!M29</f>
        <v>0.000273972602739726</v>
      </c>
      <c r="N130" s="191" t="n">
        <f aca="false">Cache_Store!N29</f>
        <v>0.000273972602739726</v>
      </c>
      <c r="O130" s="191" t="n">
        <f aca="false">Cache_Store!O29</f>
        <v>0.000273972602739726</v>
      </c>
      <c r="P130" s="191" t="n">
        <f aca="false">Cache_Store!P29</f>
        <v>0.000273972602739726</v>
      </c>
      <c r="Q130" s="191" t="n">
        <f aca="false">Cache_Store!Q29</f>
        <v>0.000273972602739726</v>
      </c>
      <c r="R130" s="174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604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2434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2435</v>
      </c>
      <c r="B131" s="28" t="s">
        <v>791</v>
      </c>
      <c r="C131" s="191" t="n">
        <f aca="false">Amortize!C32</f>
        <v>4.21660204115075</v>
      </c>
      <c r="D131" s="191" t="n">
        <f aca="false">Amortize!D32</f>
        <v>6.02468088558382</v>
      </c>
      <c r="E131" s="191" t="n">
        <f aca="false">Amortize!E32</f>
        <v>10.3465930003613</v>
      </c>
      <c r="F131" s="191" t="n">
        <f aca="false">Amortize!F32</f>
        <v>0.402092994157101</v>
      </c>
      <c r="G131" s="191" t="n">
        <f aca="false">Amortize!G32</f>
        <v>0.536878729995042</v>
      </c>
      <c r="H131" s="191" t="n">
        <f aca="false">Amortize!H32</f>
        <v>0.870774140991408</v>
      </c>
      <c r="I131" s="191" t="n">
        <f aca="false">Amortize!I32</f>
        <v>0.366823042465288</v>
      </c>
      <c r="J131" s="191" t="n">
        <f aca="false">Amortize!J32</f>
        <v>0.473773187703846</v>
      </c>
      <c r="K131" s="191" t="n">
        <f aca="false">Amortize!K32</f>
        <v>0.806621951138076</v>
      </c>
      <c r="L131" s="191" t="n">
        <f aca="false">Amortize!L32</f>
        <v>0.136157625325142</v>
      </c>
      <c r="M131" s="191" t="n">
        <f aca="false">Amortize!M32</f>
        <v>0.174997649273883</v>
      </c>
      <c r="N131" s="191" t="n">
        <f aca="false">Amortize!N32</f>
        <v>0.282714121488067</v>
      </c>
      <c r="O131" s="191" t="n">
        <f aca="false">Amortize!O32</f>
        <v>0.0696087421755187</v>
      </c>
      <c r="P131" s="191" t="n">
        <f aca="false">Amortize!P32</f>
        <v>0.105795743635128</v>
      </c>
      <c r="Q131" s="191" t="n">
        <f aca="false">Amortize!Q32</f>
        <v>0.193134517948015</v>
      </c>
      <c r="R131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604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2395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2436</v>
      </c>
      <c r="B132" s="28" t="s">
        <v>791</v>
      </c>
      <c r="C132" s="183" t="n">
        <f aca="false">Amortize!C34</f>
        <v>3.68000036091984</v>
      </c>
      <c r="D132" s="183" t="n">
        <f aca="false">Amortize!D34</f>
        <v>5.25784666981243</v>
      </c>
      <c r="E132" s="183" t="n">
        <f aca="false">Amortize!E34</f>
        <v>9.02942615521809</v>
      </c>
      <c r="F132" s="183" t="n">
        <f aca="false">Amortize!F34</f>
        <v>0.719884900727599</v>
      </c>
      <c r="G132" s="183" t="n">
        <f aca="false">Amortize!G34</f>
        <v>0.961090090684005</v>
      </c>
      <c r="H132" s="183" t="n">
        <f aca="false">Amortize!H34</f>
        <v>1.55861107860059</v>
      </c>
      <c r="I132" s="183" t="n">
        <f aca="false">Amortize!I34</f>
        <v>0.771872419196334</v>
      </c>
      <c r="J132" s="183" t="n">
        <f aca="false">Amortize!J34</f>
        <v>0.996824237261942</v>
      </c>
      <c r="K132" s="183" t="n">
        <f aca="false">Amortize!K34</f>
        <v>1.69691617550482</v>
      </c>
      <c r="L132" s="183" t="n">
        <f aca="false">Amortize!L34</f>
        <v>0.396015125991253</v>
      </c>
      <c r="M132" s="183" t="n">
        <f aca="false">Amortize!M34</f>
        <v>0.508889890366036</v>
      </c>
      <c r="N132" s="183" t="n">
        <f aca="false">Amortize!N34</f>
        <v>0.821929641229864</v>
      </c>
      <c r="O132" s="183" t="n">
        <f aca="false">Amortize!O34</f>
        <v>0.286637340360856</v>
      </c>
      <c r="P132" s="183" t="n">
        <f aca="false">Amortize!P34</f>
        <v>0.435482452267704</v>
      </c>
      <c r="Q132" s="183" t="n">
        <f aca="false">Amortize!Q34</f>
        <v>0.794726078764881</v>
      </c>
      <c r="R132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604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2397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2437</v>
      </c>
      <c r="B133" s="28" t="s">
        <v>791</v>
      </c>
      <c r="C133" s="183" t="n">
        <f aca="false">Theory_Rev!C54</f>
        <v>6.77389042755267</v>
      </c>
      <c r="D133" s="183" t="n">
        <f aca="false">Theory_Rev!D54</f>
        <v>9.67843874087721</v>
      </c>
      <c r="E133" s="183" t="n">
        <f aca="false">Theory_Rev!E54</f>
        <v>16.6212789726315</v>
      </c>
      <c r="F133" s="183" t="n">
        <f aca="false">Theory_Rev!F54</f>
        <v>0.902351992967805</v>
      </c>
      <c r="G133" s="183" t="n">
        <f aca="false">Theory_Rev!G54</f>
        <v>1.20475489470766</v>
      </c>
      <c r="H133" s="183" t="n">
        <f aca="false">Theory_Rev!H54</f>
        <v>1.95387675493419</v>
      </c>
      <c r="I133" s="183" t="n">
        <f aca="false">Theory_Rev!I54</f>
        <v>0.903208960889859</v>
      </c>
      <c r="J133" s="183" t="n">
        <f aca="false">Theory_Rev!J54</f>
        <v>1.16648155597062</v>
      </c>
      <c r="K133" s="183" t="n">
        <f aca="false">Theory_Rev!K54</f>
        <v>1.98583488665837</v>
      </c>
      <c r="L133" s="183" t="n">
        <f aca="false">Theory_Rev!L54</f>
        <v>0.411354577285165</v>
      </c>
      <c r="M133" s="183" t="n">
        <f aca="false">Theory_Rev!M54</f>
        <v>0.528632996816382</v>
      </c>
      <c r="N133" s="183" t="n">
        <f aca="false">Theory_Rev!N54</f>
        <v>0.85388556708848</v>
      </c>
      <c r="O133" s="183" t="n">
        <f aca="false">Theory_Rev!O54</f>
        <v>0.268797402426283</v>
      </c>
      <c r="P133" s="183" t="n">
        <f aca="false">Theory_Rev!P54</f>
        <v>0.408419142668617</v>
      </c>
      <c r="Q133" s="183" t="n">
        <f aca="false">Theory_Rev!Q54</f>
        <v>0.745401793021915</v>
      </c>
      <c r="R133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2340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2399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2438</v>
      </c>
      <c r="B134" s="28" t="s">
        <v>791</v>
      </c>
      <c r="C134" s="192" t="n">
        <f aca="false">Amortize!C47</f>
        <v>9.20669825483718</v>
      </c>
      <c r="D134" s="192" t="n">
        <f aca="false">Amortize!D47</f>
        <v>13.1542407431214</v>
      </c>
      <c r="E134" s="192" t="n">
        <f aca="false">Amortize!E47</f>
        <v>22.5901852851657</v>
      </c>
      <c r="F134" s="192" t="n">
        <f aca="false">Amortize!F47</f>
        <v>1.9052553977599</v>
      </c>
      <c r="G134" s="192" t="n">
        <f aca="false">Amortize!G47</f>
        <v>2.54369275707928</v>
      </c>
      <c r="H134" s="192" t="n">
        <f aca="false">Amortize!H47</f>
        <v>4.12524961218807</v>
      </c>
      <c r="I134" s="192" t="n">
        <f aca="false">Amortize!I47</f>
        <v>1.88713956026905</v>
      </c>
      <c r="J134" s="192" t="n">
        <f aca="false">Amortize!J47</f>
        <v>2.43714404159232</v>
      </c>
      <c r="K134" s="192" t="n">
        <f aca="false">Amortize!K47</f>
        <v>4.14886038459861</v>
      </c>
      <c r="L134" s="192" t="n">
        <f aca="false">Amortize!L47</f>
        <v>1.11379960443524</v>
      </c>
      <c r="M134" s="192" t="n">
        <f aca="false">Amortize!M47</f>
        <v>1.43133790751795</v>
      </c>
      <c r="N134" s="192" t="n">
        <f aca="false">Amortize!N47</f>
        <v>2.31197860552805</v>
      </c>
      <c r="O134" s="192" t="n">
        <f aca="false">Amortize!O47</f>
        <v>0.834791019891287</v>
      </c>
      <c r="P134" s="192" t="n">
        <f aca="false">Amortize!P47</f>
        <v>1.26844130550297</v>
      </c>
      <c r="Q134" s="192" t="n">
        <f aca="false">Amortize!Q47</f>
        <v>2.31507360157847</v>
      </c>
      <c r="R134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604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2399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2439</v>
      </c>
      <c r="B135" s="28" t="s">
        <v>791</v>
      </c>
      <c r="C135" s="191" t="n">
        <f aca="false">Amortize!C48</f>
        <v>6.59043473451061</v>
      </c>
      <c r="D135" s="191" t="n">
        <f aca="false">Amortize!D48</f>
        <v>9.41620575585105</v>
      </c>
      <c r="E135" s="191" t="n">
        <f aca="false">Amortize!E48</f>
        <v>16.1707419578094</v>
      </c>
      <c r="F135" s="191" t="n">
        <f aca="false">Amortize!F48</f>
        <v>1.35822518708084</v>
      </c>
      <c r="G135" s="191" t="n">
        <f aca="false">Amortize!G48</f>
        <v>1.81335666332307</v>
      </c>
      <c r="H135" s="191" t="n">
        <f aca="false">Amortize!H48</f>
        <v>2.94082249175466</v>
      </c>
      <c r="I135" s="191" t="n">
        <f aca="false">Amortize!I48</f>
        <v>1.33996958943401</v>
      </c>
      <c r="J135" s="191" t="n">
        <f aca="false">Amortize!J48</f>
        <v>1.73050206225257</v>
      </c>
      <c r="K135" s="191" t="n">
        <f aca="false">Amortize!K48</f>
        <v>2.94591182507828</v>
      </c>
      <c r="L135" s="191" t="n">
        <f aca="false">Amortize!L48</f>
        <v>0.795400319476929</v>
      </c>
      <c r="M135" s="191" t="n">
        <f aca="false">Amortize!M48</f>
        <v>1.02216469137327</v>
      </c>
      <c r="N135" s="191" t="n">
        <f aca="false">Amortize!N48</f>
        <v>1.65105869506327</v>
      </c>
      <c r="O135" s="191" t="n">
        <f aca="false">Amortize!O48</f>
        <v>0.594263829823415</v>
      </c>
      <c r="P135" s="191" t="n">
        <f aca="false">Amortize!P48</f>
        <v>0.902967054212651</v>
      </c>
      <c r="Q135" s="191" t="n">
        <f aca="false">Amortize!Q48</f>
        <v>1.64803462425395</v>
      </c>
      <c r="R135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604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2" t="s">
        <v>2402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2440</v>
      </c>
      <c r="B136" s="28" t="s">
        <v>791</v>
      </c>
      <c r="C136" s="193" t="n">
        <f aca="false">Theory_Rev!C56</f>
        <v>11.7639866412391</v>
      </c>
      <c r="D136" s="193" t="n">
        <f aca="false">Theory_Rev!D56</f>
        <v>16.8079985984148</v>
      </c>
      <c r="E136" s="193" t="n">
        <f aca="false">Theory_Rev!E56</f>
        <v>28.8648712574359</v>
      </c>
      <c r="F136" s="193" t="n">
        <f aca="false">Theory_Rev!F56</f>
        <v>2.40551439657061</v>
      </c>
      <c r="G136" s="193" t="n">
        <f aca="false">Theory_Rev!G56</f>
        <v>3.21156892179189</v>
      </c>
      <c r="H136" s="193" t="n">
        <f aca="false">Theory_Rev!H56</f>
        <v>5.20835222613085</v>
      </c>
      <c r="I136" s="193" t="n">
        <f aca="false">Theory_Rev!I56</f>
        <v>2.42352547869363</v>
      </c>
      <c r="J136" s="193" t="n">
        <f aca="false">Theory_Rev!J56</f>
        <v>3.1298524098591</v>
      </c>
      <c r="K136" s="193" t="n">
        <f aca="false">Theory_Rev!K56</f>
        <v>5.32807332011891</v>
      </c>
      <c r="L136" s="193" t="n">
        <f aca="false">Theory_Rev!L56</f>
        <v>1.38899655639526</v>
      </c>
      <c r="M136" s="193" t="n">
        <f aca="false">Theory_Rev!M56</f>
        <v>1.78497325506045</v>
      </c>
      <c r="N136" s="193" t="n">
        <f aca="false">Theory_Rev!N56</f>
        <v>2.88315005112846</v>
      </c>
      <c r="O136" s="193" t="n">
        <f aca="false">Theory_Rev!O56</f>
        <v>1.03397968014205</v>
      </c>
      <c r="P136" s="193" t="n">
        <f aca="false">Theory_Rev!P56</f>
        <v>1.57106470453646</v>
      </c>
      <c r="Q136" s="193" t="n">
        <f aca="false">Theory_Rev!Q56</f>
        <v>2.86734087665237</v>
      </c>
      <c r="R13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2340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2399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2441</v>
      </c>
      <c r="B137" s="28" t="s">
        <v>1739</v>
      </c>
      <c r="C137" s="194" t="n">
        <f aca="false">Theory_Rev!C47</f>
        <v>18.6899868774826</v>
      </c>
      <c r="D137" s="194" t="n">
        <f aca="false">Theory_Rev!D47</f>
        <v>18.6899868774826</v>
      </c>
      <c r="E137" s="194" t="n">
        <f aca="false">Theory_Rev!E47</f>
        <v>18.6899868774826</v>
      </c>
      <c r="F137" s="194" t="n">
        <f aca="false">Theory_Rev!F47</f>
        <v>96.6283848132214</v>
      </c>
      <c r="G137" s="194" t="n">
        <f aca="false">Theory_Rev!G47</f>
        <v>96.6283848132214</v>
      </c>
      <c r="H137" s="194" t="n">
        <f aca="false">Theory_Rev!H47</f>
        <v>96.6283848132214</v>
      </c>
      <c r="I137" s="194" t="n">
        <f aca="false">Theory_Rev!I47</f>
        <v>116.841337205439</v>
      </c>
      <c r="J137" s="194" t="n">
        <f aca="false">Theory_Rev!J47</f>
        <v>116.841337205439</v>
      </c>
      <c r="K137" s="194" t="n">
        <f aca="false">Theory_Rev!K47</f>
        <v>116.841337205439</v>
      </c>
      <c r="L137" s="194" t="n">
        <f aca="false">Theory_Rev!L47</f>
        <v>246.697456312585</v>
      </c>
      <c r="M137" s="194" t="n">
        <f aca="false">Theory_Rev!M47</f>
        <v>246.697456312585</v>
      </c>
      <c r="N137" s="194" t="n">
        <f aca="false">Theory_Rev!N47</f>
        <v>246.697456312585</v>
      </c>
      <c r="O137" s="194" t="n">
        <f aca="false">Theory_Rev!O47</f>
        <v>358.71180915499</v>
      </c>
      <c r="P137" s="194" t="n">
        <f aca="false">Theory_Rev!P47</f>
        <v>358.71180915499</v>
      </c>
      <c r="Q137" s="194" t="n">
        <f aca="false">Theory_Rev!Q47</f>
        <v>358.71180915499</v>
      </c>
      <c r="R13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2340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2405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2442</v>
      </c>
      <c r="B138" s="28" t="s">
        <v>1739</v>
      </c>
      <c r="C138" s="185" t="n">
        <f aca="false">Theory_Rev!C48</f>
        <v>18.0077196573975</v>
      </c>
      <c r="D138" s="185" t="n">
        <f aca="false">Theory_Rev!D48</f>
        <v>18.0077196573975</v>
      </c>
      <c r="E138" s="185" t="n">
        <f aca="false">Theory_Rev!E48</f>
        <v>18.0077196573975</v>
      </c>
      <c r="F138" s="185" t="n">
        <f aca="false">Theory_Rev!F48</f>
        <v>93.101021208314</v>
      </c>
      <c r="G138" s="185" t="n">
        <f aca="false">Theory_Rev!G48</f>
        <v>93.101021208314</v>
      </c>
      <c r="H138" s="185" t="n">
        <f aca="false">Theory_Rev!H48</f>
        <v>93.101021208314</v>
      </c>
      <c r="I138" s="185" t="n">
        <f aca="false">Theory_Rev!I48</f>
        <v>112.576111400374</v>
      </c>
      <c r="J138" s="185" t="n">
        <f aca="false">Theory_Rev!J48</f>
        <v>112.576111400374</v>
      </c>
      <c r="K138" s="185" t="n">
        <f aca="false">Theory_Rev!K48</f>
        <v>112.576111400374</v>
      </c>
      <c r="L138" s="185" t="n">
        <f aca="false">Theory_Rev!L48</f>
        <v>237.691907575511</v>
      </c>
      <c r="M138" s="185" t="n">
        <f aca="false">Theory_Rev!M48</f>
        <v>237.691907575511</v>
      </c>
      <c r="N138" s="185" t="n">
        <f aca="false">Theory_Rev!N48</f>
        <v>237.691907575511</v>
      </c>
      <c r="O138" s="185" t="n">
        <f aca="false">Theory_Rev!O48</f>
        <v>345.617240900439</v>
      </c>
      <c r="P138" s="185" t="n">
        <f aca="false">Theory_Rev!P48</f>
        <v>345.617240900439</v>
      </c>
      <c r="Q138" s="185" t="n">
        <f aca="false">Theory_Rev!Q48</f>
        <v>345.617240900439</v>
      </c>
      <c r="R1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2340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2407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2443</v>
      </c>
    </row>
    <row r="140" customFormat="false" ht="15" hidden="false" customHeight="true" outlineLevel="0" collapsed="false">
      <c r="A140" s="41" t="s">
        <v>2444</v>
      </c>
      <c r="B140" s="28" t="s">
        <v>1739</v>
      </c>
      <c r="C140" s="196" t="n">
        <f aca="false">Theory_Rev!C64</f>
        <v>0.0656538975388793</v>
      </c>
      <c r="D140" s="196" t="n">
        <f aca="false">Theory_Rev!D64</f>
        <v>0.0656538975388793</v>
      </c>
      <c r="E140" s="196" t="n">
        <f aca="false">Theory_Rev!E64</f>
        <v>0.0656538975388793</v>
      </c>
      <c r="F140" s="196" t="n">
        <f aca="false">Theory_Rev!F64</f>
        <v>0.330731407559226</v>
      </c>
      <c r="G140" s="196" t="n">
        <f aca="false">Theory_Rev!G64</f>
        <v>0.330731407559226</v>
      </c>
      <c r="H140" s="196" t="n">
        <f aca="false">Theory_Rev!H64</f>
        <v>0.330731407559226</v>
      </c>
      <c r="I140" s="196" t="n">
        <f aca="false">Theory_Rev!I64</f>
        <v>0.430577634420929</v>
      </c>
      <c r="J140" s="196" t="n">
        <f aca="false">Theory_Rev!J64</f>
        <v>0.430577634420929</v>
      </c>
      <c r="K140" s="196" t="n">
        <f aca="false">Theory_Rev!K64</f>
        <v>0.430577634420929</v>
      </c>
      <c r="L140" s="196" t="n">
        <f aca="false">Theory_Rev!L64</f>
        <v>0.798749212524483</v>
      </c>
      <c r="M140" s="196" t="n">
        <f aca="false">Theory_Rev!M64</f>
        <v>0.798749212524483</v>
      </c>
      <c r="N140" s="196" t="n">
        <f aca="false">Theory_Rev!N64</f>
        <v>0.798749212524483</v>
      </c>
      <c r="O140" s="196" t="n">
        <f aca="false">Theory_Rev!O64</f>
        <v>1.12996107729852</v>
      </c>
      <c r="P140" s="196" t="n">
        <f aca="false">Theory_Rev!P64</f>
        <v>1.12996107729852</v>
      </c>
      <c r="Q140" s="196" t="n">
        <f aca="false">Theory_Rev!Q64</f>
        <v>1.12996107729852</v>
      </c>
      <c r="R14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2340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2445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2446</v>
      </c>
      <c r="B141" s="28" t="s">
        <v>1739</v>
      </c>
      <c r="C141" s="196" t="n">
        <f aca="false">Theory_Rev!C65</f>
        <v>1.47721269462479</v>
      </c>
      <c r="D141" s="196" t="n">
        <f aca="false">Theory_Rev!D65</f>
        <v>1.47721269462479</v>
      </c>
      <c r="E141" s="196" t="n">
        <f aca="false">Theory_Rev!E65</f>
        <v>1.47721269462479</v>
      </c>
      <c r="F141" s="196" t="n">
        <f aca="false">Theory_Rev!F65</f>
        <v>7.44145667008259</v>
      </c>
      <c r="G141" s="196" t="n">
        <f aca="false">Theory_Rev!G65</f>
        <v>7.44145667008259</v>
      </c>
      <c r="H141" s="196" t="n">
        <f aca="false">Theory_Rev!H65</f>
        <v>7.44145667008259</v>
      </c>
      <c r="I141" s="196" t="n">
        <f aca="false">Theory_Rev!I65</f>
        <v>9.6879967744709</v>
      </c>
      <c r="J141" s="196" t="n">
        <f aca="false">Theory_Rev!J65</f>
        <v>9.6879967744709</v>
      </c>
      <c r="K141" s="196" t="n">
        <f aca="false">Theory_Rev!K65</f>
        <v>9.6879967744709</v>
      </c>
      <c r="L141" s="196" t="n">
        <f aca="false">Theory_Rev!L65</f>
        <v>17.9718572818009</v>
      </c>
      <c r="M141" s="196" t="n">
        <f aca="false">Theory_Rev!M65</f>
        <v>17.9718572818009</v>
      </c>
      <c r="N141" s="196" t="n">
        <f aca="false">Theory_Rev!N65</f>
        <v>17.9718572818009</v>
      </c>
      <c r="O141" s="196" t="n">
        <f aca="false">Theory_Rev!O65</f>
        <v>25.4241242392166</v>
      </c>
      <c r="P141" s="196" t="n">
        <f aca="false">Theory_Rev!P65</f>
        <v>25.4241242392166</v>
      </c>
      <c r="Q141" s="196" t="n">
        <f aca="false">Theory_Rev!Q65</f>
        <v>25.4241242392166</v>
      </c>
      <c r="R14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2340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2445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2447</v>
      </c>
      <c r="B142" s="28" t="s">
        <v>1739</v>
      </c>
      <c r="C142" s="196" t="n">
        <f aca="false">Theory_Rev!C66</f>
        <v>2.46202115770797</v>
      </c>
      <c r="D142" s="196" t="n">
        <f aca="false">Theory_Rev!D66</f>
        <v>2.46202115770797</v>
      </c>
      <c r="E142" s="196" t="n">
        <f aca="false">Theory_Rev!E66</f>
        <v>2.46202115770797</v>
      </c>
      <c r="F142" s="196" t="n">
        <f aca="false">Theory_Rev!F66</f>
        <v>12.402427783471</v>
      </c>
      <c r="G142" s="196" t="n">
        <f aca="false">Theory_Rev!G66</f>
        <v>12.402427783471</v>
      </c>
      <c r="H142" s="196" t="n">
        <f aca="false">Theory_Rev!H66</f>
        <v>12.402427783471</v>
      </c>
      <c r="I142" s="196" t="n">
        <f aca="false">Theory_Rev!I66</f>
        <v>16.1466612907848</v>
      </c>
      <c r="J142" s="196" t="n">
        <f aca="false">Theory_Rev!J66</f>
        <v>16.1466612907848</v>
      </c>
      <c r="K142" s="196" t="n">
        <f aca="false">Theory_Rev!K66</f>
        <v>16.1466612907848</v>
      </c>
      <c r="L142" s="196" t="n">
        <f aca="false">Theory_Rev!L66</f>
        <v>29.9530954696681</v>
      </c>
      <c r="M142" s="196" t="n">
        <f aca="false">Theory_Rev!M66</f>
        <v>29.9530954696681</v>
      </c>
      <c r="N142" s="196" t="n">
        <f aca="false">Theory_Rev!N66</f>
        <v>29.9530954696681</v>
      </c>
      <c r="O142" s="196" t="n">
        <f aca="false">Theory_Rev!O66</f>
        <v>42.3735403986943</v>
      </c>
      <c r="P142" s="196" t="n">
        <f aca="false">Theory_Rev!P66</f>
        <v>42.3735403986943</v>
      </c>
      <c r="Q142" s="196" t="n">
        <f aca="false">Theory_Rev!Q66</f>
        <v>42.3735403986943</v>
      </c>
      <c r="R14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2340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2445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2448</v>
      </c>
      <c r="B143" s="28" t="s">
        <v>1739</v>
      </c>
      <c r="C143" s="194" t="n">
        <f aca="false">Theory_Rev!C67</f>
        <v>4.00488774987164</v>
      </c>
      <c r="D143" s="194" t="n">
        <f aca="false">Theory_Rev!D67</f>
        <v>4.00488774987164</v>
      </c>
      <c r="E143" s="194" t="n">
        <f aca="false">Theory_Rev!E67</f>
        <v>4.00488774987164</v>
      </c>
      <c r="F143" s="194" t="n">
        <f aca="false">Theory_Rev!F67</f>
        <v>20.1746158611128</v>
      </c>
      <c r="G143" s="194" t="n">
        <f aca="false">Theory_Rev!G67</f>
        <v>20.1746158611128</v>
      </c>
      <c r="H143" s="194" t="n">
        <f aca="false">Theory_Rev!H67</f>
        <v>20.1746158611128</v>
      </c>
      <c r="I143" s="194" t="n">
        <f aca="false">Theory_Rev!I67</f>
        <v>26.2652356996766</v>
      </c>
      <c r="J143" s="194" t="n">
        <f aca="false">Theory_Rev!J67</f>
        <v>26.2652356996766</v>
      </c>
      <c r="K143" s="194" t="n">
        <f aca="false">Theory_Rev!K67</f>
        <v>26.2652356996766</v>
      </c>
      <c r="L143" s="194" t="n">
        <f aca="false">Theory_Rev!L67</f>
        <v>48.7237019639935</v>
      </c>
      <c r="M143" s="194" t="n">
        <f aca="false">Theory_Rev!M67</f>
        <v>48.7237019639935</v>
      </c>
      <c r="N143" s="194" t="n">
        <f aca="false">Theory_Rev!N67</f>
        <v>48.7237019639935</v>
      </c>
      <c r="O143" s="194" t="n">
        <f aca="false">Theory_Rev!O67</f>
        <v>68.9276257152094</v>
      </c>
      <c r="P143" s="194" t="n">
        <f aca="false">Theory_Rev!P67</f>
        <v>68.9276257152094</v>
      </c>
      <c r="Q143" s="194" t="n">
        <f aca="false">Theory_Rev!Q67</f>
        <v>68.9276257152094</v>
      </c>
      <c r="R1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2340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2445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2449</v>
      </c>
      <c r="B144" s="28" t="s">
        <v>1739</v>
      </c>
      <c r="C144" s="196" t="n">
        <f aca="false">Theory_Rev!C68</f>
        <v>0.0656538975388793</v>
      </c>
      <c r="D144" s="196" t="n">
        <f aca="false">Theory_Rev!D68</f>
        <v>0.0656538975388793</v>
      </c>
      <c r="E144" s="196" t="n">
        <f aca="false">Theory_Rev!E68</f>
        <v>0.0656538975388793</v>
      </c>
      <c r="F144" s="196" t="n">
        <f aca="false">Theory_Rev!F68</f>
        <v>0.330731407559226</v>
      </c>
      <c r="G144" s="196" t="n">
        <f aca="false">Theory_Rev!G68</f>
        <v>0.330731407559226</v>
      </c>
      <c r="H144" s="196" t="n">
        <f aca="false">Theory_Rev!H68</f>
        <v>0.330731407559226</v>
      </c>
      <c r="I144" s="196" t="n">
        <f aca="false">Theory_Rev!I68</f>
        <v>0.430577634420929</v>
      </c>
      <c r="J144" s="196" t="n">
        <f aca="false">Theory_Rev!J68</f>
        <v>0.430577634420929</v>
      </c>
      <c r="K144" s="196" t="n">
        <f aca="false">Theory_Rev!K68</f>
        <v>0.430577634420929</v>
      </c>
      <c r="L144" s="196" t="n">
        <f aca="false">Theory_Rev!L68</f>
        <v>0.798749212524483</v>
      </c>
      <c r="M144" s="196" t="n">
        <f aca="false">Theory_Rev!M68</f>
        <v>0.798749212524483</v>
      </c>
      <c r="N144" s="196" t="n">
        <f aca="false">Theory_Rev!N68</f>
        <v>0.798749212524483</v>
      </c>
      <c r="O144" s="196" t="n">
        <f aca="false">Theory_Rev!O68</f>
        <v>1.12996107729852</v>
      </c>
      <c r="P144" s="196" t="n">
        <f aca="false">Theory_Rev!P68</f>
        <v>1.12996107729852</v>
      </c>
      <c r="Q144" s="196" t="n">
        <f aca="false">Theory_Rev!Q68</f>
        <v>1.12996107729852</v>
      </c>
      <c r="R1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2340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2450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2451</v>
      </c>
      <c r="B145" s="28" t="s">
        <v>1739</v>
      </c>
      <c r="C145" s="196" t="n">
        <f aca="false">Theory_Rev!C69</f>
        <v>1.47721269462478</v>
      </c>
      <c r="D145" s="196" t="n">
        <f aca="false">Theory_Rev!D69</f>
        <v>1.47721269462478</v>
      </c>
      <c r="E145" s="196" t="n">
        <f aca="false">Theory_Rev!E69</f>
        <v>1.47721269462478</v>
      </c>
      <c r="F145" s="196" t="n">
        <f aca="false">Theory_Rev!F69</f>
        <v>7.44145667008259</v>
      </c>
      <c r="G145" s="196" t="n">
        <f aca="false">Theory_Rev!G69</f>
        <v>7.44145667008259</v>
      </c>
      <c r="H145" s="196" t="n">
        <f aca="false">Theory_Rev!H69</f>
        <v>7.44145667008259</v>
      </c>
      <c r="I145" s="196" t="n">
        <f aca="false">Theory_Rev!I69</f>
        <v>9.68799677447089</v>
      </c>
      <c r="J145" s="196" t="n">
        <f aca="false">Theory_Rev!J69</f>
        <v>9.68799677447089</v>
      </c>
      <c r="K145" s="196" t="n">
        <f aca="false">Theory_Rev!K69</f>
        <v>9.68799677447089</v>
      </c>
      <c r="L145" s="196" t="n">
        <f aca="false">Theory_Rev!L69</f>
        <v>17.9718572818009</v>
      </c>
      <c r="M145" s="196" t="n">
        <f aca="false">Theory_Rev!M69</f>
        <v>17.9718572818009</v>
      </c>
      <c r="N145" s="196" t="n">
        <f aca="false">Theory_Rev!N69</f>
        <v>17.9718572818009</v>
      </c>
      <c r="O145" s="196" t="n">
        <f aca="false">Theory_Rev!O69</f>
        <v>25.4241242392166</v>
      </c>
      <c r="P145" s="196" t="n">
        <f aca="false">Theory_Rev!P69</f>
        <v>25.4241242392166</v>
      </c>
      <c r="Q145" s="196" t="n">
        <f aca="false">Theory_Rev!Q69</f>
        <v>25.4241242392166</v>
      </c>
      <c r="R14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2340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2450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2452</v>
      </c>
      <c r="B146" s="28" t="s">
        <v>1739</v>
      </c>
      <c r="C146" s="196" t="n">
        <f aca="false">Theory_Rev!C70</f>
        <v>2.37214649155271</v>
      </c>
      <c r="D146" s="196" t="n">
        <f aca="false">Theory_Rev!D70</f>
        <v>2.37214649155271</v>
      </c>
      <c r="E146" s="196" t="n">
        <f aca="false">Theory_Rev!E70</f>
        <v>2.37214649155271</v>
      </c>
      <c r="F146" s="196" t="n">
        <f aca="false">Theory_Rev!F70</f>
        <v>11.9496842913752</v>
      </c>
      <c r="G146" s="196" t="n">
        <f aca="false">Theory_Rev!G70</f>
        <v>11.9496842913752</v>
      </c>
      <c r="H146" s="196" t="n">
        <f aca="false">Theory_Rev!H70</f>
        <v>11.9496842913752</v>
      </c>
      <c r="I146" s="196" t="n">
        <f aca="false">Theory_Rev!I70</f>
        <v>15.5572367082672</v>
      </c>
      <c r="J146" s="196" t="n">
        <f aca="false">Theory_Rev!J70</f>
        <v>15.5572367082672</v>
      </c>
      <c r="K146" s="196" t="n">
        <f aca="false">Theory_Rev!K70</f>
        <v>15.5572367082672</v>
      </c>
      <c r="L146" s="196" t="n">
        <f aca="false">Theory_Rev!L70</f>
        <v>28.8596749492046</v>
      </c>
      <c r="M146" s="196" t="n">
        <f aca="false">Theory_Rev!M70</f>
        <v>28.8596749492046</v>
      </c>
      <c r="N146" s="196" t="n">
        <f aca="false">Theory_Rev!N70</f>
        <v>28.8596749492046</v>
      </c>
      <c r="O146" s="196" t="n">
        <f aca="false">Theory_Rev!O70</f>
        <v>40.8267186806004</v>
      </c>
      <c r="P146" s="196" t="n">
        <f aca="false">Theory_Rev!P70</f>
        <v>40.8267186806004</v>
      </c>
      <c r="Q146" s="196" t="n">
        <f aca="false">Theory_Rev!Q70</f>
        <v>40.8267186806004</v>
      </c>
      <c r="R14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2340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2450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2453</v>
      </c>
      <c r="B147" s="28" t="s">
        <v>1739</v>
      </c>
      <c r="C147" s="194" t="n">
        <f aca="false">Theory_Rev!C71</f>
        <v>3.91501308371637</v>
      </c>
      <c r="D147" s="194" t="n">
        <f aca="false">Theory_Rev!D71</f>
        <v>3.91501308371637</v>
      </c>
      <c r="E147" s="194" t="n">
        <f aca="false">Theory_Rev!E71</f>
        <v>3.91501308371637</v>
      </c>
      <c r="F147" s="194" t="n">
        <f aca="false">Theory_Rev!F71</f>
        <v>19.7218723690171</v>
      </c>
      <c r="G147" s="194" t="n">
        <f aca="false">Theory_Rev!G71</f>
        <v>19.7218723690171</v>
      </c>
      <c r="H147" s="194" t="n">
        <f aca="false">Theory_Rev!H71</f>
        <v>19.7218723690171</v>
      </c>
      <c r="I147" s="194" t="n">
        <f aca="false">Theory_Rev!I71</f>
        <v>25.6758111171591</v>
      </c>
      <c r="J147" s="194" t="n">
        <f aca="false">Theory_Rev!J71</f>
        <v>25.6758111171591</v>
      </c>
      <c r="K147" s="194" t="n">
        <f aca="false">Theory_Rev!K71</f>
        <v>25.6758111171591</v>
      </c>
      <c r="L147" s="194" t="n">
        <f aca="false">Theory_Rev!L71</f>
        <v>47.6302814435299</v>
      </c>
      <c r="M147" s="194" t="n">
        <f aca="false">Theory_Rev!M71</f>
        <v>47.6302814435299</v>
      </c>
      <c r="N147" s="194" t="n">
        <f aca="false">Theory_Rev!N71</f>
        <v>47.6302814435299</v>
      </c>
      <c r="O147" s="194" t="n">
        <f aca="false">Theory_Rev!O71</f>
        <v>67.3808039971155</v>
      </c>
      <c r="P147" s="194" t="n">
        <f aca="false">Theory_Rev!P71</f>
        <v>67.3808039971155</v>
      </c>
      <c r="Q147" s="194" t="n">
        <f aca="false">Theory_Rev!Q71</f>
        <v>67.3808039971155</v>
      </c>
      <c r="R14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2340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2450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2454</v>
      </c>
      <c r="B148" s="28" t="s">
        <v>89</v>
      </c>
      <c r="C148" s="197" t="n">
        <f aca="false">B4_Serve</f>
        <v>0.41</v>
      </c>
      <c r="R148" s="174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604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2455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2456</v>
      </c>
      <c r="B149" s="28" t="s">
        <v>89</v>
      </c>
      <c r="C149" s="197" t="n">
        <f aca="false">B4_Free</f>
        <v>0.46</v>
      </c>
      <c r="R149" s="174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604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2457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2458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2459</v>
      </c>
      <c r="C152" s="162" t="str">
        <f aca="false">Workload!C4</f>
        <v>一般聊天</v>
      </c>
      <c r="D152" s="162" t="str">
        <f aca="false">Workload!D4</f>
        <v>推理聊天</v>
      </c>
      <c r="E152" s="162" t="str">
        <f aca="false">Workload!E4</f>
        <v>單代理（工具迴圈）</v>
      </c>
      <c r="F152" s="162" t="str">
        <f aca="false">Workload!F4</f>
        <v>多代理研究</v>
      </c>
      <c r="G152" s="162" t="str">
        <f aca="false">Workload!G4</f>
        <v>Coding agent（長程）</v>
      </c>
      <c r="R152" s="52" t="s">
        <v>2460</v>
      </c>
      <c r="S152" s="28" t="s">
        <v>604</v>
      </c>
      <c r="T152" s="28" t="s">
        <v>604</v>
      </c>
      <c r="U152" s="28" t="s">
        <v>604</v>
      </c>
    </row>
    <row r="153" customFormat="false" ht="15" hidden="false" customHeight="true" outlineLevel="0" collapsed="false">
      <c r="A153" s="28" t="s">
        <v>2461</v>
      </c>
      <c r="B153" s="28" t="s">
        <v>93</v>
      </c>
      <c r="C153" s="198" t="n">
        <f aca="false">B5_W</f>
        <v>0</v>
      </c>
      <c r="R153" s="174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604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2462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2463</v>
      </c>
      <c r="B154" s="41"/>
      <c r="C154" s="41" t="str">
        <f aca="false">B5_ProfileName</f>
        <v>供應商原生增強（保留推理狀態＋上下文壓縮）</v>
      </c>
      <c r="R154" s="174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604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2377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2464</v>
      </c>
      <c r="B155" s="28" t="s">
        <v>1146</v>
      </c>
      <c r="C155" s="198" t="n">
        <f aca="false">INDEX(B5_TaskLen,1,1)</f>
        <v>0.02</v>
      </c>
      <c r="D155" s="198" t="n">
        <f aca="false">INDEX(B5_TaskLen,1,2)</f>
        <v>0.1</v>
      </c>
      <c r="E155" s="198" t="n">
        <f aca="false">INDEX(B5_TaskLen,1,3)</f>
        <v>0.5</v>
      </c>
      <c r="F155" s="198" t="n">
        <f aca="false">INDEX(B5_TaskLen,1,4)</f>
        <v>2</v>
      </c>
      <c r="G155" s="198" t="n">
        <f aca="false">INDEX(B5_TaskLen,1,5)</f>
        <v>8</v>
      </c>
      <c r="R155" s="174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604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2377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2465</v>
      </c>
      <c r="B156" s="28" t="s">
        <v>275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604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2466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2467</v>
      </c>
      <c r="B157" s="28" t="s">
        <v>275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604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2466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2468</v>
      </c>
      <c r="B158" s="28" t="s">
        <v>275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4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604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2469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2470</v>
      </c>
      <c r="B159" s="28" t="s">
        <v>275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4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604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2471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2472</v>
      </c>
      <c r="B160" s="28" t="s">
        <v>93</v>
      </c>
      <c r="C160" s="182" t="n">
        <f aca="false">Harness!C45</f>
        <v>1</v>
      </c>
      <c r="D160" s="182" t="n">
        <f aca="false">Harness!D45</f>
        <v>1</v>
      </c>
      <c r="E160" s="182" t="n">
        <f aca="false">Harness!E45</f>
        <v>0.588771014492754</v>
      </c>
      <c r="F160" s="182" t="n">
        <f aca="false">Harness!F45</f>
        <v>0.588771014492754</v>
      </c>
      <c r="G160" s="182" t="n">
        <f aca="false">Harness!G45</f>
        <v>0.492530120481928</v>
      </c>
      <c r="R160" s="174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604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2473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245</v>
      </c>
    </row>
    <row r="162" customFormat="false" ht="15" hidden="false" customHeight="true" outlineLevel="0" collapsed="false">
      <c r="A162" s="41" t="s">
        <v>2474</v>
      </c>
      <c r="B162" s="28" t="s">
        <v>89</v>
      </c>
      <c r="C162" s="186" t="n">
        <f aca="false">Harness!C57</f>
        <v>0.962243725044712</v>
      </c>
      <c r="D162" s="186" t="n">
        <f aca="false">Harness!D57</f>
        <v>0.884017511243649</v>
      </c>
      <c r="E162" s="186" t="n">
        <f aca="false">Harness!E57</f>
        <v>0.695076124968439</v>
      </c>
      <c r="F162" s="186" t="n">
        <f aca="false">Harness!F57</f>
        <v>0.446267899285204</v>
      </c>
      <c r="G162" s="186" t="n">
        <f aca="false">Harness!G57</f>
        <v>0.221752565013566</v>
      </c>
      <c r="R162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604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2475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2476</v>
      </c>
      <c r="B163" s="28" t="s">
        <v>89</v>
      </c>
      <c r="C163" s="186" t="n">
        <f aca="false">Harness!C58</f>
        <v>0.962243725044712</v>
      </c>
      <c r="D163" s="186" t="n">
        <f aca="false">Harness!D58</f>
        <v>0.884017511243649</v>
      </c>
      <c r="E163" s="186" t="n">
        <f aca="false">Harness!E58</f>
        <v>0.723262011773013</v>
      </c>
      <c r="F163" s="186" t="n">
        <f aca="false">Harness!F58</f>
        <v>0.575444203093429</v>
      </c>
      <c r="G163" s="186" t="n">
        <f aca="false">Harness!G58</f>
        <v>0.323962245896112</v>
      </c>
      <c r="R163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604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2477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2478</v>
      </c>
      <c r="B164" s="28" t="s">
        <v>419</v>
      </c>
      <c r="C164" s="199" t="n">
        <f aca="false">Harness!C88</f>
        <v>0.000102418941208421</v>
      </c>
      <c r="D164" s="199" t="n">
        <f aca="false">Harness!D88</f>
        <v>0.000736788526866689</v>
      </c>
      <c r="E164" s="199" t="n">
        <f aca="false">Harness!E88</f>
        <v>0.000677859629711026</v>
      </c>
      <c r="F164" s="199" t="n">
        <f aca="false">Harness!F88</f>
        <v>0.00422314977569979</v>
      </c>
      <c r="G164" s="199" t="n">
        <f aca="false">Harness!G88</f>
        <v>0.0310910558058847</v>
      </c>
      <c r="R16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2340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2479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2480</v>
      </c>
      <c r="B165" s="28" t="s">
        <v>419</v>
      </c>
      <c r="C165" s="200" t="n">
        <f aca="false">Harness!C97</f>
        <v>0.000134816391831662</v>
      </c>
      <c r="D165" s="200" t="n">
        <f aca="false">Harness!D97</f>
        <v>0.000976510141922234</v>
      </c>
      <c r="E165" s="200" t="n">
        <f aca="false">Harness!E97</f>
        <v>0.000891554068947909</v>
      </c>
      <c r="F165" s="200" t="n">
        <f aca="false">Harness!F97</f>
        <v>0.00555449270213466</v>
      </c>
      <c r="G165" s="200" t="n">
        <f aca="false">Harness!G97</f>
        <v>0.0403522349522336</v>
      </c>
      <c r="R16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604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2481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2482</v>
      </c>
      <c r="B166" s="28" t="s">
        <v>419</v>
      </c>
      <c r="C166" s="200" t="n">
        <f aca="false">Harness!C126</f>
        <v>0.000340869980715914</v>
      </c>
      <c r="D166" s="200" t="n">
        <f aca="false">Harness!D126</f>
        <v>0.00181896849275965</v>
      </c>
      <c r="E166" s="200" t="n">
        <f aca="false">Harness!E126</f>
        <v>0.00237971056778149</v>
      </c>
      <c r="F166" s="200" t="n">
        <f aca="false">Harness!F126</f>
        <v>0.0148258927218325</v>
      </c>
      <c r="G166" s="200" t="n">
        <f aca="false">Harness!G126</f>
        <v>0.171997108568582</v>
      </c>
      <c r="R166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604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2483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2484</v>
      </c>
      <c r="B167" s="28" t="s">
        <v>93</v>
      </c>
      <c r="C167" s="182" t="n">
        <f aca="false">Harness!C136</f>
        <v>1</v>
      </c>
      <c r="D167" s="182" t="n">
        <f aca="false">Harness!D136</f>
        <v>1</v>
      </c>
      <c r="E167" s="182" t="n">
        <f aca="false">Harness!E136</f>
        <v>0.590682621670942</v>
      </c>
      <c r="F167" s="182" t="n">
        <f aca="false">Harness!F136</f>
        <v>0.476661314845622</v>
      </c>
      <c r="G167" s="182" t="n">
        <f aca="false">Harness!G136</f>
        <v>0.41488270725697</v>
      </c>
      <c r="R16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604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2479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246</v>
      </c>
    </row>
    <row r="169" customFormat="false" ht="15" hidden="false" customHeight="true" outlineLevel="0" collapsed="false">
      <c r="A169" s="41" t="s">
        <v>2485</v>
      </c>
      <c r="B169" s="28" t="s">
        <v>89</v>
      </c>
      <c r="C169" s="186" t="n">
        <f aca="false">Harness!C60</f>
        <v>0.988943278022254</v>
      </c>
      <c r="D169" s="186" t="n">
        <f aca="false">Harness!D60</f>
        <v>0.963963460360214</v>
      </c>
      <c r="E169" s="186" t="n">
        <f aca="false">Harness!E60</f>
        <v>0.888888888888889</v>
      </c>
      <c r="F169" s="186" t="n">
        <f aca="false">Harness!F60</f>
        <v>0.738796125036259</v>
      </c>
      <c r="G169" s="186" t="n">
        <f aca="false">Harness!G60</f>
        <v>0.5</v>
      </c>
      <c r="R169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604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2475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2486</v>
      </c>
      <c r="B170" s="28" t="s">
        <v>89</v>
      </c>
      <c r="C170" s="186" t="n">
        <f aca="false">Harness!C61</f>
        <v>0.988943278022254</v>
      </c>
      <c r="D170" s="186" t="n">
        <f aca="false">Harness!D61</f>
        <v>0.963963460360214</v>
      </c>
      <c r="E170" s="186" t="n">
        <f aca="false">Harness!E61</f>
        <v>0.901693340131513</v>
      </c>
      <c r="F170" s="186" t="n">
        <f aca="false">Harness!F61</f>
        <v>0.826293243415818</v>
      </c>
      <c r="G170" s="186" t="n">
        <f aca="false">Harness!G61</f>
        <v>0.627115119175411</v>
      </c>
      <c r="R170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604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2477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2487</v>
      </c>
      <c r="B171" s="28" t="s">
        <v>419</v>
      </c>
      <c r="C171" s="199" t="n">
        <f aca="false">Harness!C91</f>
        <v>0.000320037803771877</v>
      </c>
      <c r="D171" s="199" t="n">
        <f aca="false">Harness!D91</f>
        <v>0.00215001015603622</v>
      </c>
      <c r="E171" s="199" t="n">
        <f aca="false">Harness!E91</f>
        <v>0.00169937973226251</v>
      </c>
      <c r="F171" s="199" t="n">
        <f aca="false">Harness!F91</f>
        <v>0.00817849315025566</v>
      </c>
      <c r="G171" s="199" t="n">
        <f aca="false">Harness!G91</f>
        <v>0.0444209347764536</v>
      </c>
      <c r="R17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2340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2479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2488</v>
      </c>
      <c r="B172" s="28" t="s">
        <v>419</v>
      </c>
      <c r="C172" s="200" t="n">
        <f aca="false">Harness!C100</f>
        <v>0.000456557468166472</v>
      </c>
      <c r="D172" s="200" t="n">
        <f aca="false">Harness!D100</f>
        <v>0.00311845448138764</v>
      </c>
      <c r="E172" s="200" t="n">
        <f aca="false">Harness!E100</f>
        <v>0.00242503421880443</v>
      </c>
      <c r="F172" s="200" t="n">
        <f aca="false">Harness!F100</f>
        <v>0.0116708028059287</v>
      </c>
      <c r="G172" s="200" t="n">
        <f aca="false">Harness!G100</f>
        <v>0.0620367720769959</v>
      </c>
      <c r="R17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604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2481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2489</v>
      </c>
      <c r="B173" s="28" t="s">
        <v>419</v>
      </c>
      <c r="C173" s="200" t="n">
        <f aca="false">Harness!C129</f>
        <v>0.00663334302966199</v>
      </c>
      <c r="D173" s="200" t="n">
        <f aca="false">Harness!D129</f>
        <v>0.0333622604201019</v>
      </c>
      <c r="E173" s="200" t="n">
        <f aca="false">Harness!E129</f>
        <v>0.0372168</v>
      </c>
      <c r="F173" s="200" t="n">
        <f aca="false">Harness!F129</f>
        <v>0.179110847385002</v>
      </c>
      <c r="G173" s="200" t="n">
        <f aca="false">Harness!G129</f>
        <v>1.525632</v>
      </c>
      <c r="R173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604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2483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2490</v>
      </c>
      <c r="B174" s="28" t="s">
        <v>93</v>
      </c>
      <c r="C174" s="182" t="n">
        <f aca="false">Harness!C137</f>
        <v>1</v>
      </c>
      <c r="D174" s="182" t="n">
        <f aca="false">Harness!D137</f>
        <v>1</v>
      </c>
      <c r="E174" s="182" t="n">
        <f aca="false">Harness!E137</f>
        <v>0.605351415659953</v>
      </c>
      <c r="F174" s="182" t="n">
        <f aca="false">Harness!F137</f>
        <v>0.549046786720249</v>
      </c>
      <c r="G174" s="182" t="n">
        <f aca="false">Harness!G137</f>
        <v>0.4793958062764</v>
      </c>
      <c r="R17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604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2479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247</v>
      </c>
    </row>
    <row r="176" customFormat="false" ht="15" hidden="false" customHeight="true" outlineLevel="0" collapsed="false">
      <c r="A176" s="41" t="s">
        <v>2491</v>
      </c>
      <c r="B176" s="28" t="s">
        <v>89</v>
      </c>
      <c r="C176" s="186" t="n">
        <f aca="false">Harness!C63</f>
        <v>0.993396032445753</v>
      </c>
      <c r="D176" s="186" t="n">
        <f aca="false">Harness!D63</f>
        <v>0.978254868861662</v>
      </c>
      <c r="E176" s="186" t="n">
        <f aca="false">Harness!E63</f>
        <v>0.930816639357101</v>
      </c>
      <c r="F176" s="186" t="n">
        <f aca="false">Harness!F63</f>
        <v>0.826293243415818</v>
      </c>
      <c r="G176" s="186" t="n">
        <f aca="false">Harness!G63</f>
        <v>0.627115119175411</v>
      </c>
      <c r="R176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604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2475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2492</v>
      </c>
      <c r="B177" s="28" t="s">
        <v>89</v>
      </c>
      <c r="C177" s="186" t="n">
        <f aca="false">Harness!C64</f>
        <v>0.993396032445753</v>
      </c>
      <c r="D177" s="186" t="n">
        <f aca="false">Harness!D64</f>
        <v>0.978254868861662</v>
      </c>
      <c r="E177" s="186" t="n">
        <f aca="false">Harness!E64</f>
        <v>0.939120259663704</v>
      </c>
      <c r="F177" s="186" t="n">
        <f aca="false">Harness!F64</f>
        <v>0.888888888888889</v>
      </c>
      <c r="G177" s="186" t="n">
        <f aca="false">Harness!G64</f>
        <v>0.738796125036259</v>
      </c>
      <c r="R177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604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2477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2493</v>
      </c>
      <c r="B178" s="28" t="s">
        <v>419</v>
      </c>
      <c r="C178" s="199" t="n">
        <f aca="false">Harness!C94</f>
        <v>0.00157160157133891</v>
      </c>
      <c r="D178" s="199" t="n">
        <f aca="false">Harness!D94</f>
        <v>0.0108878916138528</v>
      </c>
      <c r="E178" s="199" t="n">
        <f aca="false">Harness!E94</f>
        <v>0.00803749287272112</v>
      </c>
      <c r="F178" s="199" t="n">
        <f aca="false">Harness!F94</f>
        <v>0.03621683785633</v>
      </c>
      <c r="G178" s="199" t="n">
        <f aca="false">Harness!G94</f>
        <v>0.168703406327351</v>
      </c>
      <c r="R178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2340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2479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2494</v>
      </c>
      <c r="B179" s="28" t="s">
        <v>419</v>
      </c>
      <c r="C179" s="200" t="n">
        <f aca="false">Harness!C103</f>
        <v>0.00310142651340531</v>
      </c>
      <c r="D179" s="200" t="n">
        <f aca="false">Harness!D103</f>
        <v>0.0221645926254829</v>
      </c>
      <c r="E179" s="200" t="n">
        <f aca="false">Harness!E103</f>
        <v>0.0158568743601987</v>
      </c>
      <c r="F179" s="200" t="n">
        <f aca="false">Harness!F103</f>
        <v>0.0714508686608747</v>
      </c>
      <c r="G179" s="200" t="n">
        <f aca="false">Harness!G103</f>
        <v>0.316964897900962</v>
      </c>
      <c r="R179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604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2481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2495</v>
      </c>
      <c r="B180" s="28" t="s">
        <v>419</v>
      </c>
      <c r="C180" s="200" t="n">
        <f aca="false">Harness!C132</f>
        <v>0.0330180501317747</v>
      </c>
      <c r="D180" s="200" t="n">
        <f aca="false">Harness!D132</f>
        <v>0.164374341614178</v>
      </c>
      <c r="E180" s="200" t="n">
        <f aca="false">Harness!E132</f>
        <v>0.177702023154898</v>
      </c>
      <c r="F180" s="200" t="n">
        <f aca="false">Harness!F132</f>
        <v>0.800722994254286</v>
      </c>
      <c r="G180" s="200" t="n">
        <f aca="false">Harness!G132</f>
        <v>6.08194553659479</v>
      </c>
      <c r="R180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604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2483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2496</v>
      </c>
      <c r="B181" s="28" t="s">
        <v>93</v>
      </c>
      <c r="C181" s="182" t="n">
        <f aca="false">Harness!C138</f>
        <v>1</v>
      </c>
      <c r="D181" s="182" t="n">
        <f aca="false">Harness!D138</f>
        <v>1</v>
      </c>
      <c r="E181" s="182" t="n">
        <f aca="false">Harness!E138</f>
        <v>0.60811339243541</v>
      </c>
      <c r="F181" s="182" t="n">
        <f aca="false">Harness!F138</f>
        <v>0.570332819404675</v>
      </c>
      <c r="G181" s="182" t="n">
        <f aca="false">Harness!G138</f>
        <v>0.519797101771478</v>
      </c>
      <c r="R18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604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2479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2497</v>
      </c>
    </row>
    <row r="183" customFormat="false" ht="15" hidden="false" customHeight="true" outlineLevel="0" collapsed="false">
      <c r="A183" s="28" t="s">
        <v>2498</v>
      </c>
      <c r="B183" s="28" t="s">
        <v>419</v>
      </c>
      <c r="C183" s="200" t="n">
        <f aca="false">Harness!C68</f>
        <v>9.85519835035262E-005</v>
      </c>
      <c r="D183" s="200" t="n">
        <f aca="false">Harness!D68</f>
        <v>0.000651333959833564</v>
      </c>
      <c r="E183" s="200" t="n">
        <f aca="false">Harness!E68</f>
        <v>0.000471164044692081</v>
      </c>
      <c r="F183" s="200" t="n">
        <f aca="false">Harness!F68</f>
        <v>0.00188465617876833</v>
      </c>
      <c r="G183" s="200" t="n">
        <f aca="false">Harness!G68</f>
        <v>0.00689452137393487</v>
      </c>
      <c r="R183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2340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2499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2500</v>
      </c>
      <c r="B184" s="28" t="s">
        <v>1146</v>
      </c>
      <c r="C184" s="182" t="n">
        <f aca="false">Harness!C160</f>
        <v>1.5</v>
      </c>
      <c r="D184" s="182" t="n">
        <f aca="false">Harness!D160</f>
        <v>1.5</v>
      </c>
      <c r="E184" s="182" t="n">
        <f aca="false">Harness!E160</f>
        <v>1.5</v>
      </c>
      <c r="F184" s="182" t="n">
        <f aca="false">Harness!F160</f>
        <v>1.5</v>
      </c>
      <c r="G184" s="182" t="n">
        <f aca="false">Harness!G160</f>
        <v>1.5</v>
      </c>
      <c r="R184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604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2477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2501</v>
      </c>
      <c r="B185" s="28" t="s">
        <v>419</v>
      </c>
      <c r="C185" s="200" t="n">
        <f aca="false">Harness!C71</f>
        <v>0.000316499234753203</v>
      </c>
      <c r="D185" s="200" t="n">
        <f aca="false">Harness!D71</f>
        <v>0.00207253122982228</v>
      </c>
      <c r="E185" s="200" t="n">
        <f aca="false">Harness!E71</f>
        <v>0.00151055976201112</v>
      </c>
      <c r="F185" s="200" t="n">
        <f aca="false">Harness!F71</f>
        <v>0.00604223904804447</v>
      </c>
      <c r="G185" s="200" t="n">
        <f aca="false">Harness!G71</f>
        <v>0.0222104673882268</v>
      </c>
      <c r="R18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2340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2499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2502</v>
      </c>
      <c r="B186" s="28" t="s">
        <v>1146</v>
      </c>
      <c r="C186" s="182" t="n">
        <f aca="false">Harness!C161</f>
        <v>8</v>
      </c>
      <c r="D186" s="182" t="n">
        <f aca="false">Harness!D161</f>
        <v>8</v>
      </c>
      <c r="E186" s="182" t="n">
        <f aca="false">Harness!E161</f>
        <v>8</v>
      </c>
      <c r="F186" s="182" t="n">
        <f aca="false">Harness!F161</f>
        <v>8</v>
      </c>
      <c r="G186" s="182" t="n">
        <f aca="false">Harness!G161</f>
        <v>8</v>
      </c>
      <c r="R186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604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2477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2503</v>
      </c>
      <c r="B187" s="28" t="s">
        <v>419</v>
      </c>
      <c r="C187" s="200" t="n">
        <f aca="false">Harness!C74</f>
        <v>0.00156122276555359</v>
      </c>
      <c r="D187" s="200" t="n">
        <f aca="false">Harness!D74</f>
        <v>0.0106511329828895</v>
      </c>
      <c r="E187" s="200" t="n">
        <f aca="false">Harness!E74</f>
        <v>0.00748143210464292</v>
      </c>
      <c r="F187" s="200" t="n">
        <f aca="false">Harness!F74</f>
        <v>0.0299257284185717</v>
      </c>
      <c r="G187" s="200" t="n">
        <f aca="false">Harness!G74</f>
        <v>0.105796456764274</v>
      </c>
      <c r="R18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2340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2499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2504</v>
      </c>
      <c r="B188" s="28" t="s">
        <v>1146</v>
      </c>
      <c r="C188" s="182" t="n">
        <f aca="false">Harness!C162</f>
        <v>16</v>
      </c>
      <c r="D188" s="182" t="n">
        <f aca="false">Harness!D162</f>
        <v>16</v>
      </c>
      <c r="E188" s="182" t="n">
        <f aca="false">Harness!E162</f>
        <v>16</v>
      </c>
      <c r="F188" s="182" t="n">
        <f aca="false">Harness!F162</f>
        <v>16</v>
      </c>
      <c r="G188" s="182" t="n">
        <f aca="false">Harness!G162</f>
        <v>16</v>
      </c>
      <c r="R188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604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2477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2505</v>
      </c>
      <c r="B189" s="28" t="s">
        <v>89</v>
      </c>
      <c r="C189" s="197" t="n">
        <f aca="false">B5_PFloor</f>
        <v>0.5</v>
      </c>
      <c r="R189" s="174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604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2377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2506</v>
      </c>
      <c r="B190" s="28" t="s">
        <v>419</v>
      </c>
      <c r="C190" s="199" t="n">
        <f aca="false">Harness!C151</f>
        <v>0.000102418941208421</v>
      </c>
      <c r="D190" s="199" t="n">
        <f aca="false">Harness!D151</f>
        <v>0.000736788526866689</v>
      </c>
      <c r="E190" s="199" t="n">
        <f aca="false">Harness!E151</f>
        <v>0.000400399903202603</v>
      </c>
      <c r="F190" s="199" t="n">
        <f aca="false">Harness!F151</f>
        <v>0.00201301212487506</v>
      </c>
      <c r="G190" s="199" t="n">
        <f aca="false">Harness!G151</f>
        <v>0.0212952098427094</v>
      </c>
      <c r="R190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604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2507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2508</v>
      </c>
      <c r="B191" s="41"/>
      <c r="C191" s="174" t="str">
        <f aca="false">Harness!C152</f>
        <v>Luna｜標準</v>
      </c>
      <c r="D191" s="174" t="str">
        <f aca="false">Harness!D152</f>
        <v>Luna｜標準</v>
      </c>
      <c r="E191" s="174" t="str">
        <f aca="false">Harness!E152</f>
        <v>Luna｜選定</v>
      </c>
      <c r="F191" s="174" t="str">
        <f aca="false">Harness!F152</f>
        <v>Luna｜選定</v>
      </c>
      <c r="G191" s="174" t="str">
        <f aca="false">Harness!G152</f>
        <v>Sol｜選定</v>
      </c>
      <c r="R19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604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2507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2509</v>
      </c>
      <c r="B192" s="28" t="s">
        <v>89</v>
      </c>
      <c r="C192" s="186" t="n">
        <f aca="false">Harness!C153</f>
        <v>0.962243725044712</v>
      </c>
      <c r="D192" s="186" t="n">
        <f aca="false">Harness!D153</f>
        <v>0.884017511243649</v>
      </c>
      <c r="E192" s="186" t="n">
        <f aca="false">Harness!E153</f>
        <v>0.723262011773013</v>
      </c>
      <c r="F192" s="186" t="n">
        <f aca="false">Harness!F153</f>
        <v>0.575444203093429</v>
      </c>
      <c r="G192" s="186" t="n">
        <f aca="false">Harness!G153</f>
        <v>0.627115119175411</v>
      </c>
      <c r="R19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604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2507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2510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2511</v>
      </c>
      <c r="B195" s="28" t="s">
        <v>89</v>
      </c>
      <c r="C195" s="201" t="n">
        <f aca="false">AL_Q1</f>
        <v>0.331840968713343</v>
      </c>
      <c r="R195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2340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2512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2513</v>
      </c>
      <c r="B196" s="28" t="s">
        <v>89</v>
      </c>
      <c r="C196" s="202" t="n">
        <f aca="false">AL_Q1R2</f>
        <v>0.419808283440258</v>
      </c>
      <c r="R196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2340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2512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2514</v>
      </c>
      <c r="B197" s="28" t="s">
        <v>89</v>
      </c>
      <c r="C197" s="201" t="n">
        <f aca="false">AL_Q2</f>
        <v>0.393634855421224</v>
      </c>
      <c r="R197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2340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2515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2516</v>
      </c>
      <c r="B198" s="28" t="s">
        <v>81</v>
      </c>
      <c r="C198" s="203" t="n">
        <f aca="false">AL_ServeGW</f>
        <v>0.182592896594975</v>
      </c>
      <c r="R19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2340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2517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2518</v>
      </c>
      <c r="B199" s="28" t="s">
        <v>2150</v>
      </c>
      <c r="C199" s="203" t="n">
        <f aca="false">AL_RDGW</f>
        <v>0.0906847035646163</v>
      </c>
      <c r="R19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604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2519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2520</v>
      </c>
      <c r="B200" s="28" t="s">
        <v>783</v>
      </c>
      <c r="C200" s="54" t="n">
        <f aca="false">AL_D</f>
        <v>6015200000</v>
      </c>
      <c r="R200" s="174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604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2521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2522</v>
      </c>
      <c r="B201" s="41" t="s">
        <v>312</v>
      </c>
      <c r="C201" s="198" t="n">
        <f aca="false">AL_ImpliedNk</f>
        <v>5.36244401482318</v>
      </c>
      <c r="R201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2340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2523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2524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2525</v>
      </c>
      <c r="B204" s="28" t="s">
        <v>791</v>
      </c>
      <c r="C204" s="183" t="n">
        <f aca="false">Theory_Rev_Prod!C18</f>
        <v>0.199223727263524</v>
      </c>
      <c r="D204" s="183" t="n">
        <f aca="false">Theory_Rev_Prod!D18</f>
        <v>0.284646211338278</v>
      </c>
      <c r="E204" s="183" t="n">
        <f aca="false">Theory_Rev_Prod!E18</f>
        <v>0.48883446890999</v>
      </c>
      <c r="F204" s="183" t="n">
        <f aca="false">Theory_Rev_Prod!F18</f>
        <v>0.0348610874282257</v>
      </c>
      <c r="G204" s="183" t="n">
        <f aca="false">Theory_Rev_Prod!G18</f>
        <v>0.046543253827663</v>
      </c>
      <c r="H204" s="183" t="n">
        <f aca="false">Theory_Rev_Prod!H18</f>
        <v>0.0754826792573534</v>
      </c>
      <c r="I204" s="183" t="n">
        <f aca="false">Theory_Rev_Prod!I18</f>
        <v>0.0304205991468791</v>
      </c>
      <c r="J204" s="183" t="n">
        <f aca="false">Theory_Rev_Prod!J18</f>
        <v>0.0392868059874972</v>
      </c>
      <c r="K204" s="183" t="n">
        <f aca="false">Theory_Rev_Prod!K18</f>
        <v>0.066880092342268</v>
      </c>
      <c r="L204" s="183" t="n">
        <f aca="false">Theory_Rev_Prod!L18</f>
        <v>0.0228819097896184</v>
      </c>
      <c r="M204" s="183" t="n">
        <f aca="false">Theory_Rev_Prod!M18</f>
        <v>0.0294060628861059</v>
      </c>
      <c r="N204" s="183" t="n">
        <f aca="false">Theory_Rev_Prod!N18</f>
        <v>0.0474997375106722</v>
      </c>
      <c r="O204" s="183" t="n">
        <f aca="false">Theory_Rev_Prod!O18</f>
        <v>0.0178199605787568</v>
      </c>
      <c r="P204" s="183" t="n">
        <f aca="false">Theory_Rev_Prod!P18</f>
        <v>0.0270782653064731</v>
      </c>
      <c r="Q204" s="183" t="n">
        <f aca="false">Theory_Rev_Prod!Q18</f>
        <v>0.0494235537945645</v>
      </c>
      <c r="R204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2526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2527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2528</v>
      </c>
      <c r="B205" s="28" t="s">
        <v>791</v>
      </c>
      <c r="C205" s="183" t="n">
        <f aca="false">Theory_Rev_Prod!C36</f>
        <v>0.768864222354789</v>
      </c>
      <c r="D205" s="183" t="n">
        <f aca="false">Theory_Rev_Prod!D36</f>
        <v>1.09854659136093</v>
      </c>
      <c r="E205" s="183" t="n">
        <f aca="false">Theory_Rev_Prod!E36</f>
        <v>1.88659752676299</v>
      </c>
      <c r="F205" s="183" t="n">
        <f aca="false">Theory_Rev_Prod!F36</f>
        <v>0.12793792194079</v>
      </c>
      <c r="G205" s="183" t="n">
        <f aca="false">Theory_Rev_Prod!G36</f>
        <v>0.1708188871892</v>
      </c>
      <c r="H205" s="183" t="n">
        <f aca="false">Theory_Rev_Prod!H36</f>
        <v>0.277044946100612</v>
      </c>
      <c r="I205" s="183" t="n">
        <f aca="false">Theory_Rev_Prod!I36</f>
        <v>0.111753984998198</v>
      </c>
      <c r="J205" s="183" t="n">
        <f aca="false">Theory_Rev_Prod!J36</f>
        <v>0.144332258577112</v>
      </c>
      <c r="K205" s="183" t="n">
        <f aca="false">Theory_Rev_Prod!K36</f>
        <v>0.245721911217379</v>
      </c>
      <c r="L205" s="183" t="n">
        <f aca="false">Theory_Rev_Prod!L36</f>
        <v>0.0748217065123653</v>
      </c>
      <c r="M205" s="183" t="n">
        <f aca="false">Theory_Rev_Prod!M36</f>
        <v>0.0961607979840544</v>
      </c>
      <c r="N205" s="183" t="n">
        <f aca="false">Theory_Rev_Prod!N36</f>
        <v>0.155341288104752</v>
      </c>
      <c r="O205" s="183" t="n">
        <f aca="false">Theory_Rev_Prod!O36</f>
        <v>0.0561365917923775</v>
      </c>
      <c r="P205" s="183" t="n">
        <f aca="false">Theory_Rev_Prod!P36</f>
        <v>0.0853119336099394</v>
      </c>
      <c r="Q205" s="183" t="n">
        <f aca="false">Theory_Rev_Prod!Q36</f>
        <v>0.155727787140924</v>
      </c>
      <c r="R205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2526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2527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2529</v>
      </c>
      <c r="B206" s="28" t="s">
        <v>791</v>
      </c>
      <c r="C206" s="183" t="n">
        <f aca="false">Theory_Rev_Prod!C54</f>
        <v>13.8187128955432</v>
      </c>
      <c r="D206" s="183" t="n">
        <f aca="false">Theory_Rev_Prod!D54</f>
        <v>19.744080898004</v>
      </c>
      <c r="E206" s="183" t="n">
        <f aca="false">Theory_Rev_Prod!E54</f>
        <v>33.9076887700821</v>
      </c>
      <c r="F206" s="183" t="n">
        <f aca="false">Theory_Rev_Prod!F54</f>
        <v>1.25766742001632</v>
      </c>
      <c r="G206" s="183" t="n">
        <f aca="false">Theory_Rev_Prod!G54</f>
        <v>1.6791757326567</v>
      </c>
      <c r="H206" s="183" t="n">
        <f aca="false">Theory_Rev_Prod!H54</f>
        <v>2.72334921594475</v>
      </c>
      <c r="I206" s="183" t="n">
        <f aca="false">Theory_Rev_Prod!I54</f>
        <v>1.30458253122324</v>
      </c>
      <c r="J206" s="183" t="n">
        <f aca="false">Theory_Rev_Prod!J54</f>
        <v>1.6848787498844</v>
      </c>
      <c r="K206" s="183" t="n">
        <f aca="false">Theory_Rev_Prod!K54</f>
        <v>2.86843138403682</v>
      </c>
      <c r="L206" s="183" t="n">
        <f aca="false">Theory_Rev_Prod!L54</f>
        <v>0.550105101834505</v>
      </c>
      <c r="M206" s="183" t="n">
        <f aca="false">Theory_Rev_Prod!M54</f>
        <v>0.706963190029358</v>
      </c>
      <c r="N206" s="183" t="n">
        <f aca="false">Theory_Rev_Prod!N54</f>
        <v>1.14198351650778</v>
      </c>
      <c r="O206" s="183" t="n">
        <f aca="false">Theory_Rev_Prod!O54</f>
        <v>0.352607903361854</v>
      </c>
      <c r="P206" s="183" t="n">
        <f aca="false">Theory_Rev_Prod!P54</f>
        <v>0.535799612330799</v>
      </c>
      <c r="Q206" s="183" t="n">
        <f aca="false">Theory_Rev_Prod!Q54</f>
        <v>0.97794012357181</v>
      </c>
      <c r="R206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2526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2527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2530</v>
      </c>
      <c r="B207" s="28" t="s">
        <v>1739</v>
      </c>
      <c r="C207" s="194" t="n">
        <f aca="false">Theory_Rev_Prod!C11</f>
        <v>2.44762339054934</v>
      </c>
      <c r="D207" s="194" t="n">
        <f aca="false">Theory_Rev_Prod!D11</f>
        <v>2.44762339054934</v>
      </c>
      <c r="E207" s="194" t="n">
        <f aca="false">Theory_Rev_Prod!E11</f>
        <v>2.44762339054934</v>
      </c>
      <c r="F207" s="194" t="n">
        <f aca="false">Theory_Rev_Prod!F11</f>
        <v>13.6555857459493</v>
      </c>
      <c r="G207" s="194" t="n">
        <f aca="false">Theory_Rev_Prod!G11</f>
        <v>13.6555857459493</v>
      </c>
      <c r="H207" s="194" t="n">
        <f aca="false">Theory_Rev_Prod!H11</f>
        <v>13.6555857459493</v>
      </c>
      <c r="I207" s="194" t="n">
        <f aca="false">Theory_Rev_Prod!I11</f>
        <v>19.8808398591479</v>
      </c>
      <c r="J207" s="194" t="n">
        <f aca="false">Theory_Rev_Prod!J11</f>
        <v>19.8808398591479</v>
      </c>
      <c r="K207" s="194" t="n">
        <f aca="false">Theory_Rev_Prod!K11</f>
        <v>19.8808398591479</v>
      </c>
      <c r="L207" s="194" t="n">
        <f aca="false">Theory_Rev_Prod!L11</f>
        <v>29.3255549100997</v>
      </c>
      <c r="M207" s="194" t="n">
        <f aca="false">Theory_Rev_Prod!M11</f>
        <v>29.3255549100997</v>
      </c>
      <c r="N207" s="194" t="n">
        <f aca="false">Theory_Rev_Prod!N11</f>
        <v>29.3255549100997</v>
      </c>
      <c r="O207" s="194" t="n">
        <f aca="false">Theory_Rev_Prod!O11</f>
        <v>39.6992397829504</v>
      </c>
      <c r="P207" s="194" t="n">
        <f aca="false">Theory_Rev_Prod!P11</f>
        <v>39.6992397829504</v>
      </c>
      <c r="Q207" s="194" t="n">
        <f aca="false">Theory_Rev_Prod!Q11</f>
        <v>39.6992397829504</v>
      </c>
      <c r="R207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2526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2531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2532</v>
      </c>
      <c r="B208" s="28" t="s">
        <v>1739</v>
      </c>
      <c r="C208" s="194" t="n">
        <f aca="false">Theory_Rev_Prod!C29</f>
        <v>15.1336974133362</v>
      </c>
      <c r="D208" s="194" t="n">
        <f aca="false">Theory_Rev_Prod!D29</f>
        <v>15.1336974133362</v>
      </c>
      <c r="E208" s="194" t="n">
        <f aca="false">Theory_Rev_Prod!E29</f>
        <v>15.1336974133362</v>
      </c>
      <c r="F208" s="194" t="n">
        <f aca="false">Theory_Rev_Prod!F29</f>
        <v>80.1519532436076</v>
      </c>
      <c r="G208" s="194" t="n">
        <f aca="false">Theory_Rev_Prod!G29</f>
        <v>80.1519532436076</v>
      </c>
      <c r="H208" s="194" t="n">
        <f aca="false">Theory_Rev_Prod!H29</f>
        <v>80.1519532436076</v>
      </c>
      <c r="I208" s="194" t="n">
        <f aca="false">Theory_Rev_Prod!I29</f>
        <v>116.69130687468</v>
      </c>
      <c r="J208" s="194" t="n">
        <f aca="false">Theory_Rev_Prod!J29</f>
        <v>116.69130687468</v>
      </c>
      <c r="K208" s="194" t="n">
        <f aca="false">Theory_Rev_Prod!K29</f>
        <v>116.69130687468</v>
      </c>
      <c r="L208" s="194" t="n">
        <f aca="false">Theory_Rev_Prod!L29</f>
        <v>184.79597204631</v>
      </c>
      <c r="M208" s="194" t="n">
        <f aca="false">Theory_Rev_Prod!M29</f>
        <v>184.79597204631</v>
      </c>
      <c r="N208" s="194" t="n">
        <f aca="false">Theory_Rev_Prod!N29</f>
        <v>184.79597204631</v>
      </c>
      <c r="O208" s="194" t="n">
        <f aca="false">Theory_Rev_Prod!O29</f>
        <v>254.725350558298</v>
      </c>
      <c r="P208" s="194" t="n">
        <f aca="false">Theory_Rev_Prod!P29</f>
        <v>254.725350558298</v>
      </c>
      <c r="Q208" s="194" t="n">
        <f aca="false">Theory_Rev_Prod!Q29</f>
        <v>254.725350558298</v>
      </c>
      <c r="R208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2526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2531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2533</v>
      </c>
      <c r="B209" s="28" t="s">
        <v>1739</v>
      </c>
      <c r="C209" s="194" t="n">
        <f aca="false">Theory_Rev_Prod!C47</f>
        <v>9.08886774488705</v>
      </c>
      <c r="D209" s="194" t="n">
        <f aca="false">Theory_Rev_Prod!D47</f>
        <v>9.08886774488705</v>
      </c>
      <c r="E209" s="194" t="n">
        <f aca="false">Theory_Rev_Prod!E47</f>
        <v>9.08886774488705</v>
      </c>
      <c r="F209" s="194" t="n">
        <f aca="false">Theory_Rev_Prod!F47</f>
        <v>70.8060260045462</v>
      </c>
      <c r="G209" s="194" t="n">
        <f aca="false">Theory_Rev_Prod!G47</f>
        <v>70.8060260045462</v>
      </c>
      <c r="H209" s="194" t="n">
        <f aca="false">Theory_Rev_Prod!H47</f>
        <v>70.8060260045462</v>
      </c>
      <c r="I209" s="194" t="n">
        <f aca="false">Theory_Rev_Prod!I47</f>
        <v>81.6810591163036</v>
      </c>
      <c r="J209" s="194" t="n">
        <f aca="false">Theory_Rev_Prod!J47</f>
        <v>81.6810591163036</v>
      </c>
      <c r="K209" s="194" t="n">
        <f aca="false">Theory_Rev_Prod!K47</f>
        <v>81.6810591163036</v>
      </c>
      <c r="L209" s="194" t="n">
        <f aca="false">Theory_Rev_Prod!L47</f>
        <v>188.934678809326</v>
      </c>
      <c r="M209" s="194" t="n">
        <f aca="false">Theory_Rev_Prod!M47</f>
        <v>188.934678809326</v>
      </c>
      <c r="N209" s="194" t="n">
        <f aca="false">Theory_Rev_Prod!N47</f>
        <v>188.934678809326</v>
      </c>
      <c r="O209" s="194" t="n">
        <f aca="false">Theory_Rev_Prod!O47</f>
        <v>278.482692813541</v>
      </c>
      <c r="P209" s="194" t="n">
        <f aca="false">Theory_Rev_Prod!P47</f>
        <v>278.482692813541</v>
      </c>
      <c r="Q209" s="194" t="n">
        <f aca="false">Theory_Rev_Prod!Q47</f>
        <v>278.482692813541</v>
      </c>
      <c r="R209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2526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2531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2534</v>
      </c>
      <c r="B210" s="28" t="s">
        <v>1739</v>
      </c>
      <c r="C210" s="194" t="n">
        <f aca="false">Theory_Rev_Prod!C67</f>
        <v>2.24296199760285</v>
      </c>
      <c r="D210" s="194" t="n">
        <f aca="false">Theory_Rev_Prod!D67</f>
        <v>2.24296199760285</v>
      </c>
      <c r="E210" s="194" t="n">
        <f aca="false">Theory_Rev_Prod!E67</f>
        <v>2.24296199760285</v>
      </c>
      <c r="F210" s="194" t="n">
        <f aca="false">Theory_Rev_Prod!F67</f>
        <v>15.2851605558118</v>
      </c>
      <c r="G210" s="194" t="n">
        <f aca="false">Theory_Rev_Prod!G67</f>
        <v>15.2851605558118</v>
      </c>
      <c r="H210" s="194" t="n">
        <f aca="false">Theory_Rev_Prod!H67</f>
        <v>15.2851605558118</v>
      </c>
      <c r="I210" s="194" t="n">
        <f aca="false">Theory_Rev_Prod!I67</f>
        <v>19.2324652424837</v>
      </c>
      <c r="J210" s="194" t="n">
        <f aca="false">Theory_Rev_Prod!J67</f>
        <v>19.2324652424837</v>
      </c>
      <c r="K210" s="194" t="n">
        <f aca="false">Theory_Rev_Prod!K67</f>
        <v>19.2324652424837</v>
      </c>
      <c r="L210" s="194" t="n">
        <f aca="false">Theory_Rev_Prod!L67</f>
        <v>38.1145472754025</v>
      </c>
      <c r="M210" s="194" t="n">
        <f aca="false">Theory_Rev_Prod!M67</f>
        <v>38.1145472754025</v>
      </c>
      <c r="N210" s="194" t="n">
        <f aca="false">Theory_Rev_Prod!N67</f>
        <v>38.1145472754025</v>
      </c>
      <c r="O210" s="194" t="n">
        <f aca="false">Theory_Rev_Prod!O67</f>
        <v>54.4181760054532</v>
      </c>
      <c r="P210" s="194" t="n">
        <f aca="false">Theory_Rev_Prod!P67</f>
        <v>54.4181760054532</v>
      </c>
      <c r="Q210" s="194" t="n">
        <f aca="false">Theory_Rev_Prod!Q67</f>
        <v>54.4181760054532</v>
      </c>
      <c r="R21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2526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2535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2536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2537</v>
      </c>
      <c r="B213" s="28" t="s">
        <v>1739</v>
      </c>
      <c r="C213" s="194" t="n">
        <f aca="false">Theory_Rev!C90</f>
        <v>3.57102907624799</v>
      </c>
      <c r="D213" s="194" t="n">
        <f aca="false">Theory_Rev!D90</f>
        <v>3.57102907624799</v>
      </c>
      <c r="E213" s="194" t="n">
        <f aca="false">Theory_Rev!E90</f>
        <v>3.57102907624799</v>
      </c>
      <c r="F213" s="194" t="n">
        <f aca="false">Theory_Rev!F90</f>
        <v>17.4680230535144</v>
      </c>
      <c r="G213" s="194" t="n">
        <f aca="false">Theory_Rev!G90</f>
        <v>17.4680230535144</v>
      </c>
      <c r="H213" s="194" t="n">
        <f aca="false">Theory_Rev!H90</f>
        <v>17.4680230535144</v>
      </c>
      <c r="I213" s="194" t="n">
        <f aca="false">Theory_Rev!I90</f>
        <v>25.4312759220773</v>
      </c>
      <c r="J213" s="194" t="n">
        <f aca="false">Theory_Rev!J90</f>
        <v>25.4312759220773</v>
      </c>
      <c r="K213" s="194" t="n">
        <f aca="false">Theory_Rev!K90</f>
        <v>25.4312759220773</v>
      </c>
      <c r="L213" s="194" t="n">
        <f aca="false">Theory_Rev!L90</f>
        <v>37.2582226398973</v>
      </c>
      <c r="M213" s="194" t="n">
        <f aca="false">Theory_Rev!M90</f>
        <v>37.2582226398973</v>
      </c>
      <c r="N213" s="194" t="n">
        <f aca="false">Theory_Rev!N90</f>
        <v>37.2582226398973</v>
      </c>
      <c r="O213" s="194" t="n">
        <f aca="false">Theory_Rev!O90</f>
        <v>50.3527379522069</v>
      </c>
      <c r="P213" s="194" t="n">
        <f aca="false">Theory_Rev!P90</f>
        <v>50.3527379522069</v>
      </c>
      <c r="Q213" s="194" t="n">
        <f aca="false">Theory_Rev!Q90</f>
        <v>50.3527379522069</v>
      </c>
      <c r="R21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2538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2" t="s">
        <v>2539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2540</v>
      </c>
      <c r="B214" s="28" t="s">
        <v>1739</v>
      </c>
      <c r="C214" s="194" t="n">
        <f aca="false">Theory_Rev!C91</f>
        <v>20.7225049979976</v>
      </c>
      <c r="D214" s="194" t="n">
        <f aca="false">Theory_Rev!D91</f>
        <v>20.7225049979976</v>
      </c>
      <c r="E214" s="194" t="n">
        <f aca="false">Theory_Rev!E91</f>
        <v>20.7225049979976</v>
      </c>
      <c r="F214" s="194" t="n">
        <f aca="false">Theory_Rev!F91</f>
        <v>100.404653415384</v>
      </c>
      <c r="G214" s="194" t="n">
        <f aca="false">Theory_Rev!G91</f>
        <v>100.404653415384</v>
      </c>
      <c r="H214" s="194" t="n">
        <f aca="false">Theory_Rev!H91</f>
        <v>100.404653415384</v>
      </c>
      <c r="I214" s="194" t="n">
        <f aca="false">Theory_Rev!I91</f>
        <v>146.176727443319</v>
      </c>
      <c r="J214" s="194" t="n">
        <f aca="false">Theory_Rev!J91</f>
        <v>146.176727443319</v>
      </c>
      <c r="K214" s="194" t="n">
        <f aca="false">Theory_Rev!K91</f>
        <v>146.176727443319</v>
      </c>
      <c r="L214" s="194" t="n">
        <f aca="false">Theory_Rev!L91</f>
        <v>228.808271164193</v>
      </c>
      <c r="M214" s="194" t="n">
        <f aca="false">Theory_Rev!M91</f>
        <v>228.808271164193</v>
      </c>
      <c r="N214" s="194" t="n">
        <f aca="false">Theory_Rev!N91</f>
        <v>228.808271164193</v>
      </c>
      <c r="O214" s="194" t="n">
        <f aca="false">Theory_Rev!O91</f>
        <v>314.529969229019</v>
      </c>
      <c r="P214" s="194" t="n">
        <f aca="false">Theory_Rev!P91</f>
        <v>314.529969229019</v>
      </c>
      <c r="Q214" s="194" t="n">
        <f aca="false">Theory_Rev!Q91</f>
        <v>314.529969229019</v>
      </c>
      <c r="R21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2538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2" t="s">
        <v>2539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2541</v>
      </c>
      <c r="B215" s="28" t="s">
        <v>1739</v>
      </c>
      <c r="C215" s="194" t="n">
        <f aca="false">Theory_Rev!C92</f>
        <v>18.6899868774826</v>
      </c>
      <c r="D215" s="194" t="n">
        <f aca="false">Theory_Rev!D92</f>
        <v>18.6899868774826</v>
      </c>
      <c r="E215" s="194" t="n">
        <f aca="false">Theory_Rev!E92</f>
        <v>18.6899868774826</v>
      </c>
      <c r="F215" s="194" t="n">
        <f aca="false">Theory_Rev!F92</f>
        <v>96.6283848132214</v>
      </c>
      <c r="G215" s="194" t="n">
        <f aca="false">Theory_Rev!G92</f>
        <v>96.6283848132214</v>
      </c>
      <c r="H215" s="194" t="n">
        <f aca="false">Theory_Rev!H92</f>
        <v>96.6283848132214</v>
      </c>
      <c r="I215" s="194" t="n">
        <f aca="false">Theory_Rev!I92</f>
        <v>116.841337205439</v>
      </c>
      <c r="J215" s="194" t="n">
        <f aca="false">Theory_Rev!J92</f>
        <v>116.841337205439</v>
      </c>
      <c r="K215" s="194" t="n">
        <f aca="false">Theory_Rev!K92</f>
        <v>116.841337205439</v>
      </c>
      <c r="L215" s="194" t="n">
        <f aca="false">Theory_Rev!L92</f>
        <v>246.697456312585</v>
      </c>
      <c r="M215" s="194" t="n">
        <f aca="false">Theory_Rev!M92</f>
        <v>246.697456312585</v>
      </c>
      <c r="N215" s="194" t="n">
        <f aca="false">Theory_Rev!N92</f>
        <v>246.697456312585</v>
      </c>
      <c r="O215" s="194" t="n">
        <f aca="false">Theory_Rev!O92</f>
        <v>358.71180915499</v>
      </c>
      <c r="P215" s="194" t="n">
        <f aca="false">Theory_Rev!P92</f>
        <v>358.71180915499</v>
      </c>
      <c r="Q215" s="194" t="n">
        <f aca="false">Theory_Rev!Q92</f>
        <v>358.71180915499</v>
      </c>
      <c r="R21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2538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2" t="s">
        <v>2539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2542</v>
      </c>
      <c r="B216" s="28" t="s">
        <v>1739</v>
      </c>
      <c r="C216" s="194" t="n">
        <f aca="false">Theory_Rev!C93</f>
        <v>4.00488774987164</v>
      </c>
      <c r="D216" s="194" t="n">
        <f aca="false">Theory_Rev!D93</f>
        <v>4.00488774987164</v>
      </c>
      <c r="E216" s="194" t="n">
        <f aca="false">Theory_Rev!E93</f>
        <v>4.00488774987164</v>
      </c>
      <c r="F216" s="194" t="n">
        <f aca="false">Theory_Rev!F93</f>
        <v>20.1746158611128</v>
      </c>
      <c r="G216" s="194" t="n">
        <f aca="false">Theory_Rev!G93</f>
        <v>20.1746158611128</v>
      </c>
      <c r="H216" s="194" t="n">
        <f aca="false">Theory_Rev!H93</f>
        <v>20.1746158611128</v>
      </c>
      <c r="I216" s="194" t="n">
        <f aca="false">Theory_Rev!I93</f>
        <v>26.2652356996766</v>
      </c>
      <c r="J216" s="194" t="n">
        <f aca="false">Theory_Rev!J93</f>
        <v>26.2652356996766</v>
      </c>
      <c r="K216" s="194" t="n">
        <f aca="false">Theory_Rev!K93</f>
        <v>26.2652356996766</v>
      </c>
      <c r="L216" s="194" t="n">
        <f aca="false">Theory_Rev!L93</f>
        <v>48.7237019639935</v>
      </c>
      <c r="M216" s="194" t="n">
        <f aca="false">Theory_Rev!M93</f>
        <v>48.7237019639935</v>
      </c>
      <c r="N216" s="194" t="n">
        <f aca="false">Theory_Rev!N93</f>
        <v>48.7237019639935</v>
      </c>
      <c r="O216" s="194" t="n">
        <f aca="false">Theory_Rev!O93</f>
        <v>68.9276257152094</v>
      </c>
      <c r="P216" s="194" t="n">
        <f aca="false">Theory_Rev!P93</f>
        <v>68.9276257152094</v>
      </c>
      <c r="Q216" s="194" t="n">
        <f aca="false">Theory_Rev!Q93</f>
        <v>68.9276257152094</v>
      </c>
      <c r="R21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2538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2" t="s">
        <v>2543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2544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2545</v>
      </c>
      <c r="B219" s="41" t="s">
        <v>124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4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604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2546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2547</v>
      </c>
      <c r="B220" s="28" t="s">
        <v>1739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4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604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2548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2549</v>
      </c>
      <c r="B221" s="28" t="s">
        <v>1739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4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604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2550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2551</v>
      </c>
      <c r="B222" s="28" t="s">
        <v>89</v>
      </c>
      <c r="C222" s="186" t="n">
        <f aca="false">DC_Cost!C41</f>
        <v>0.7</v>
      </c>
      <c r="D222" s="186" t="n">
        <f aca="false">DC_Cost!D41</f>
        <v>0.8</v>
      </c>
      <c r="E222" s="186" t="n">
        <f aca="false">DC_Cost!E41</f>
        <v>0.9</v>
      </c>
      <c r="F222" s="186" t="n">
        <f aca="false">DC_Cost!F41</f>
        <v>0.7</v>
      </c>
      <c r="G222" s="186" t="n">
        <f aca="false">DC_Cost!G41</f>
        <v>0.8</v>
      </c>
      <c r="H222" s="186" t="n">
        <f aca="false">DC_Cost!H41</f>
        <v>0.9</v>
      </c>
      <c r="I222" s="186" t="n">
        <f aca="false">DC_Cost!I41</f>
        <v>0.7</v>
      </c>
      <c r="J222" s="186" t="n">
        <f aca="false">DC_Cost!J41</f>
        <v>0.8</v>
      </c>
      <c r="K222" s="186" t="n">
        <f aca="false">DC_Cost!K41</f>
        <v>0.9</v>
      </c>
      <c r="L222" s="186" t="n">
        <f aca="false">DC_Cost!L41</f>
        <v>0.7</v>
      </c>
      <c r="M222" s="186" t="n">
        <f aca="false">DC_Cost!M41</f>
        <v>0.8</v>
      </c>
      <c r="N222" s="186" t="n">
        <f aca="false">DC_Cost!N41</f>
        <v>0.9</v>
      </c>
      <c r="O222" s="186" t="n">
        <f aca="false">DC_Cost!O41</f>
        <v>0.7</v>
      </c>
      <c r="P222" s="186" t="n">
        <f aca="false">DC_Cost!P41</f>
        <v>0.8</v>
      </c>
      <c r="Q222" s="186" t="n">
        <f aca="false">DC_Cost!Q41</f>
        <v>0.9</v>
      </c>
      <c r="R222" s="174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604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2552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2553</v>
      </c>
      <c r="B223" s="28" t="s">
        <v>99</v>
      </c>
      <c r="C223" s="204" t="n">
        <f aca="false">DC_Cost!C42</f>
        <v>0.06</v>
      </c>
      <c r="D223" s="204" t="n">
        <f aca="false">DC_Cost!D42</f>
        <v>0.08</v>
      </c>
      <c r="E223" s="204" t="n">
        <f aca="false">DC_Cost!E42</f>
        <v>0.1</v>
      </c>
      <c r="F223" s="204" t="n">
        <f aca="false">DC_Cost!F42</f>
        <v>0.06</v>
      </c>
      <c r="G223" s="204" t="n">
        <f aca="false">DC_Cost!G42</f>
        <v>0.08</v>
      </c>
      <c r="H223" s="204" t="n">
        <f aca="false">DC_Cost!H42</f>
        <v>0.1</v>
      </c>
      <c r="I223" s="204" t="n">
        <f aca="false">DC_Cost!I42</f>
        <v>0.06</v>
      </c>
      <c r="J223" s="204" t="n">
        <f aca="false">DC_Cost!J42</f>
        <v>0.08</v>
      </c>
      <c r="K223" s="204" t="n">
        <f aca="false">DC_Cost!K42</f>
        <v>0.1</v>
      </c>
      <c r="L223" s="204" t="n">
        <f aca="false">DC_Cost!L42</f>
        <v>0.06</v>
      </c>
      <c r="M223" s="204" t="n">
        <f aca="false">DC_Cost!M42</f>
        <v>0.08</v>
      </c>
      <c r="N223" s="204" t="n">
        <f aca="false">DC_Cost!N42</f>
        <v>0.1</v>
      </c>
      <c r="O223" s="204" t="n">
        <f aca="false">DC_Cost!O42</f>
        <v>0.06</v>
      </c>
      <c r="P223" s="204" t="n">
        <f aca="false">DC_Cost!P42</f>
        <v>0.08</v>
      </c>
      <c r="Q223" s="204" t="n">
        <f aca="false">DC_Cost!Q42</f>
        <v>0.1</v>
      </c>
      <c r="R223" s="174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604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2552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2554</v>
      </c>
      <c r="B224" s="28" t="s">
        <v>1739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4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604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2555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2556</v>
      </c>
      <c r="B225" s="28" t="s">
        <v>1739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4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604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2557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2558</v>
      </c>
      <c r="B226" s="28" t="s">
        <v>1739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4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604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2312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2559</v>
      </c>
      <c r="B227" s="28" t="s">
        <v>1739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4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604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2560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2561</v>
      </c>
      <c r="B228" s="28" t="s">
        <v>1739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4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604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2562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2563</v>
      </c>
      <c r="B229" s="28" t="s">
        <v>1739</v>
      </c>
      <c r="C229" s="205" t="n">
        <f aca="false">C220+C221+C228-C12</f>
        <v>0</v>
      </c>
      <c r="D229" s="205" t="n">
        <f aca="false">D220+D221+D228-D12</f>
        <v>0</v>
      </c>
      <c r="E229" s="205" t="n">
        <f aca="false">E220+E221+E228-E12</f>
        <v>0</v>
      </c>
      <c r="F229" s="205" t="n">
        <f aca="false">F220+F221+F228-F12</f>
        <v>0</v>
      </c>
      <c r="G229" s="205" t="n">
        <f aca="false">G220+G221+G228-G12</f>
        <v>0</v>
      </c>
      <c r="H229" s="205" t="n">
        <f aca="false">H220+H221+H228-H12</f>
        <v>0</v>
      </c>
      <c r="I229" s="205" t="n">
        <f aca="false">I220+I221+I228-I12</f>
        <v>0</v>
      </c>
      <c r="J229" s="205" t="n">
        <f aca="false">J220+J221+J228-J12</f>
        <v>0</v>
      </c>
      <c r="K229" s="205" t="n">
        <f aca="false">K220+K221+K228-K12</f>
        <v>0</v>
      </c>
      <c r="L229" s="205" t="n">
        <f aca="false">L220+L221+L228-L12</f>
        <v>0</v>
      </c>
      <c r="M229" s="205" t="n">
        <f aca="false">M220+M221+M228-M12</f>
        <v>0</v>
      </c>
      <c r="N229" s="205" t="n">
        <f aca="false">N220+N221+N228-N12</f>
        <v>0</v>
      </c>
      <c r="O229" s="205" t="n">
        <f aca="false">O220+O221+O228-O12</f>
        <v>0</v>
      </c>
      <c r="P229" s="205" t="n">
        <f aca="false">P220+P221+P228-P12</f>
        <v>0</v>
      </c>
      <c r="Q229" s="205" t="n">
        <f aca="false">Q220+Q221+Q228-Q12</f>
        <v>0</v>
      </c>
      <c r="R229" s="174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604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2309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2564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2565</v>
      </c>
    </row>
    <row r="233" customFormat="false" ht="15" hidden="false" customHeight="true" outlineLevel="0" collapsed="false">
      <c r="A233" s="41" t="s">
        <v>2566</v>
      </c>
      <c r="B233" s="28" t="s">
        <v>1739</v>
      </c>
      <c r="C233" s="206" t="n">
        <f aca="false">IF(ISNUMBER(C101),C101/IF_Util,C101)</f>
        <v>5.95171512707998</v>
      </c>
      <c r="D233" s="206" t="n">
        <f aca="false">IF(ISNUMBER(D101),D101/IF_Util,D101)</f>
        <v>5.95171512707998</v>
      </c>
      <c r="E233" s="206" t="n">
        <f aca="false">IF(ISNUMBER(E101),E101/IF_Util,E101)</f>
        <v>5.95171512707998</v>
      </c>
      <c r="F233" s="206" t="n">
        <f aca="false">IF(ISNUMBER(F101),F101/IF_Util,F101)</f>
        <v>29.1133717558573</v>
      </c>
      <c r="G233" s="206" t="n">
        <f aca="false">IF(ISNUMBER(G101),G101/IF_Util,G101)</f>
        <v>29.1133717558573</v>
      </c>
      <c r="H233" s="206" t="n">
        <f aca="false">IF(ISNUMBER(H101),H101/IF_Util,H101)</f>
        <v>29.1133717558573</v>
      </c>
      <c r="I233" s="206" t="n">
        <f aca="false">IF(ISNUMBER(I101),I101/IF_Util,I101)</f>
        <v>42.3854598701289</v>
      </c>
      <c r="J233" s="206" t="n">
        <f aca="false">IF(ISNUMBER(J101),J101/IF_Util,J101)</f>
        <v>42.3854598701289</v>
      </c>
      <c r="K233" s="206" t="n">
        <f aca="false">IF(ISNUMBER(K101),K101/IF_Util,K101)</f>
        <v>42.3854598701289</v>
      </c>
      <c r="L233" s="206" t="n">
        <f aca="false">IF(ISNUMBER(L101),L101/IF_Util,L101)</f>
        <v>62.0970377331622</v>
      </c>
      <c r="M233" s="206" t="n">
        <f aca="false">IF(ISNUMBER(M101),M101/IF_Util,M101)</f>
        <v>62.0970377331622</v>
      </c>
      <c r="N233" s="206" t="n">
        <f aca="false">IF(ISNUMBER(N101),N101/IF_Util,N101)</f>
        <v>62.0970377331622</v>
      </c>
      <c r="O233" s="206" t="n">
        <f aca="false">IF(ISNUMBER(O101),O101/IF_Util,O101)</f>
        <v>83.9212299203449</v>
      </c>
      <c r="P233" s="206" t="n">
        <f aca="false">IF(ISNUMBER(P101),P101/IF_Util,P101)</f>
        <v>83.9212299203449</v>
      </c>
      <c r="Q233" s="206" t="n">
        <f aca="false">IF(ISNUMBER(Q101),Q101/IF_Util,Q101)</f>
        <v>83.9212299203449</v>
      </c>
      <c r="R23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2315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2405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2567</v>
      </c>
      <c r="B234" s="28" t="s">
        <v>1739</v>
      </c>
      <c r="C234" s="206" t="n">
        <f aca="false">C101</f>
        <v>3.57102907624799</v>
      </c>
      <c r="D234" s="206" t="n">
        <f aca="false">D101</f>
        <v>3.57102907624799</v>
      </c>
      <c r="E234" s="206" t="n">
        <f aca="false">E101</f>
        <v>3.57102907624799</v>
      </c>
      <c r="F234" s="206" t="n">
        <f aca="false">F101</f>
        <v>17.4680230535144</v>
      </c>
      <c r="G234" s="206" t="n">
        <f aca="false">G101</f>
        <v>17.4680230535144</v>
      </c>
      <c r="H234" s="206" t="n">
        <f aca="false">H101</f>
        <v>17.4680230535144</v>
      </c>
      <c r="I234" s="206" t="n">
        <f aca="false">I101</f>
        <v>25.4312759220773</v>
      </c>
      <c r="J234" s="206" t="n">
        <f aca="false">J101</f>
        <v>25.4312759220773</v>
      </c>
      <c r="K234" s="206" t="n">
        <f aca="false">K101</f>
        <v>25.4312759220773</v>
      </c>
      <c r="L234" s="206" t="n">
        <f aca="false">L101</f>
        <v>37.2582226398973</v>
      </c>
      <c r="M234" s="206" t="n">
        <f aca="false">M101</f>
        <v>37.2582226398973</v>
      </c>
      <c r="N234" s="206" t="n">
        <f aca="false">N101</f>
        <v>37.2582226398973</v>
      </c>
      <c r="O234" s="206" t="n">
        <f aca="false">O101</f>
        <v>50.3527379522069</v>
      </c>
      <c r="P234" s="206" t="n">
        <f aca="false">P101</f>
        <v>50.3527379522069</v>
      </c>
      <c r="Q234" s="206" t="n">
        <f aca="false">Q101</f>
        <v>50.3527379522069</v>
      </c>
      <c r="R23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2340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2405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2568</v>
      </c>
      <c r="B235" s="28" t="s">
        <v>1739</v>
      </c>
      <c r="C235" s="206" t="n">
        <f aca="false">C207</f>
        <v>2.44762339054934</v>
      </c>
      <c r="D235" s="206" t="n">
        <f aca="false">D207</f>
        <v>2.44762339054934</v>
      </c>
      <c r="E235" s="206" t="n">
        <f aca="false">E207</f>
        <v>2.44762339054934</v>
      </c>
      <c r="F235" s="206" t="n">
        <f aca="false">F207</f>
        <v>13.6555857459493</v>
      </c>
      <c r="G235" s="206" t="n">
        <f aca="false">G207</f>
        <v>13.6555857459493</v>
      </c>
      <c r="H235" s="206" t="n">
        <f aca="false">H207</f>
        <v>13.6555857459493</v>
      </c>
      <c r="I235" s="206" t="n">
        <f aca="false">I207</f>
        <v>19.8808398591479</v>
      </c>
      <c r="J235" s="206" t="n">
        <f aca="false">J207</f>
        <v>19.8808398591479</v>
      </c>
      <c r="K235" s="206" t="n">
        <f aca="false">K207</f>
        <v>19.8808398591479</v>
      </c>
      <c r="L235" s="206" t="n">
        <f aca="false">L207</f>
        <v>29.3255549100997</v>
      </c>
      <c r="M235" s="206" t="n">
        <f aca="false">M207</f>
        <v>29.3255549100997</v>
      </c>
      <c r="N235" s="206" t="n">
        <f aca="false">N207</f>
        <v>29.3255549100997</v>
      </c>
      <c r="O235" s="206" t="n">
        <f aca="false">O207</f>
        <v>39.6992397829504</v>
      </c>
      <c r="P235" s="206" t="n">
        <f aca="false">P207</f>
        <v>39.6992397829504</v>
      </c>
      <c r="Q235" s="206" t="n">
        <f aca="false">Q207</f>
        <v>39.6992397829504</v>
      </c>
      <c r="R23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2526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2531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2569</v>
      </c>
      <c r="B236" s="28" t="s">
        <v>1739</v>
      </c>
      <c r="C236" s="206" t="n">
        <f aca="false">IF(ISNUMBER(C235),C235*CTL_PriceLife*CTL_Monetize,C235)</f>
        <v>2.44762339054934</v>
      </c>
      <c r="D236" s="206" t="n">
        <f aca="false">IF(ISNUMBER(D235),D235*CTL_PriceLife*CTL_Monetize,D235)</f>
        <v>2.44762339054934</v>
      </c>
      <c r="E236" s="206" t="n">
        <f aca="false">IF(ISNUMBER(E235),E235*CTL_PriceLife*CTL_Monetize,E235)</f>
        <v>2.44762339054934</v>
      </c>
      <c r="F236" s="206" t="n">
        <f aca="false">IF(ISNUMBER(F235),F235*CTL_PriceLife*CTL_Monetize,F235)</f>
        <v>13.6555857459493</v>
      </c>
      <c r="G236" s="206" t="n">
        <f aca="false">IF(ISNUMBER(G235),G235*CTL_PriceLife*CTL_Monetize,G235)</f>
        <v>13.6555857459493</v>
      </c>
      <c r="H236" s="206" t="n">
        <f aca="false">IF(ISNUMBER(H235),H235*CTL_PriceLife*CTL_Monetize,H235)</f>
        <v>13.6555857459493</v>
      </c>
      <c r="I236" s="206" t="n">
        <f aca="false">IF(ISNUMBER(I235),I235*CTL_PriceLife*CTL_Monetize,I235)</f>
        <v>19.8808398591479</v>
      </c>
      <c r="J236" s="206" t="n">
        <f aca="false">IF(ISNUMBER(J235),J235*CTL_PriceLife*CTL_Monetize,J235)</f>
        <v>19.8808398591479</v>
      </c>
      <c r="K236" s="206" t="n">
        <f aca="false">IF(ISNUMBER(K235),K235*CTL_PriceLife*CTL_Monetize,K235)</f>
        <v>19.8808398591479</v>
      </c>
      <c r="L236" s="206" t="n">
        <f aca="false">IF(ISNUMBER(L235),L235*CTL_PriceLife*CTL_Monetize,L235)</f>
        <v>29.3255549100997</v>
      </c>
      <c r="M236" s="206" t="n">
        <f aca="false">IF(ISNUMBER(M235),M235*CTL_PriceLife*CTL_Monetize,M235)</f>
        <v>29.3255549100997</v>
      </c>
      <c r="N236" s="206" t="n">
        <f aca="false">IF(ISNUMBER(N235),N235*CTL_PriceLife*CTL_Monetize,N235)</f>
        <v>29.3255549100997</v>
      </c>
      <c r="O236" s="206" t="n">
        <f aca="false">IF(ISNUMBER(O235),O235*CTL_PriceLife*CTL_Monetize,O235)</f>
        <v>39.6992397829504</v>
      </c>
      <c r="P236" s="206" t="n">
        <f aca="false">IF(ISNUMBER(P235),P235*CTL_PriceLife*CTL_Monetize,P235)</f>
        <v>39.6992397829504</v>
      </c>
      <c r="Q236" s="206" t="n">
        <f aca="false">IF(ISNUMBER(Q235),Q235*CTL_PriceLife*CTL_Monetize,Q235)</f>
        <v>39.6992397829504</v>
      </c>
      <c r="R23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2538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2570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2565</v>
      </c>
    </row>
    <row r="238" customFormat="false" ht="15" hidden="false" customHeight="true" outlineLevel="0" collapsed="false">
      <c r="A238" s="41" t="s">
        <v>2571</v>
      </c>
      <c r="B238" s="28" t="s">
        <v>1739</v>
      </c>
      <c r="C238" s="206" t="n">
        <f aca="false">IF(ISNUMBER(C119),C119/IF_Util,C119)</f>
        <v>34.5375083299961</v>
      </c>
      <c r="D238" s="206" t="n">
        <f aca="false">IF(ISNUMBER(D119),D119/IF_Util,D119)</f>
        <v>34.5375083299961</v>
      </c>
      <c r="E238" s="206" t="n">
        <f aca="false">IF(ISNUMBER(E119),E119/IF_Util,E119)</f>
        <v>34.5375083299961</v>
      </c>
      <c r="F238" s="206" t="n">
        <f aca="false">IF(ISNUMBER(F119),F119/IF_Util,F119)</f>
        <v>167.34108902564</v>
      </c>
      <c r="G238" s="206" t="n">
        <f aca="false">IF(ISNUMBER(G119),G119/IF_Util,G119)</f>
        <v>167.34108902564</v>
      </c>
      <c r="H238" s="206" t="n">
        <f aca="false">IF(ISNUMBER(H119),H119/IF_Util,H119)</f>
        <v>167.34108902564</v>
      </c>
      <c r="I238" s="206" t="n">
        <f aca="false">IF(ISNUMBER(I119),I119/IF_Util,I119)</f>
        <v>243.627879072198</v>
      </c>
      <c r="J238" s="206" t="n">
        <f aca="false">IF(ISNUMBER(J119),J119/IF_Util,J119)</f>
        <v>243.627879072198</v>
      </c>
      <c r="K238" s="206" t="n">
        <f aca="false">IF(ISNUMBER(K119),K119/IF_Util,K119)</f>
        <v>243.627879072198</v>
      </c>
      <c r="L238" s="206" t="n">
        <f aca="false">IF(ISNUMBER(L119),L119/IF_Util,L119)</f>
        <v>381.347118606988</v>
      </c>
      <c r="M238" s="206" t="n">
        <f aca="false">IF(ISNUMBER(M119),M119/IF_Util,M119)</f>
        <v>381.347118606988</v>
      </c>
      <c r="N238" s="206" t="n">
        <f aca="false">IF(ISNUMBER(N119),N119/IF_Util,N119)</f>
        <v>381.347118606988</v>
      </c>
      <c r="O238" s="206" t="n">
        <f aca="false">IF(ISNUMBER(O119),O119/IF_Util,O119)</f>
        <v>524.216615381698</v>
      </c>
      <c r="P238" s="206" t="n">
        <f aca="false">IF(ISNUMBER(P119),P119/IF_Util,P119)</f>
        <v>524.216615381698</v>
      </c>
      <c r="Q238" s="206" t="n">
        <f aca="false">IF(ISNUMBER(Q119),Q119/IF_Util,Q119)</f>
        <v>524.216615381698</v>
      </c>
      <c r="R2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2315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2405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2572</v>
      </c>
      <c r="B239" s="28" t="s">
        <v>1739</v>
      </c>
      <c r="C239" s="206" t="n">
        <f aca="false">C119</f>
        <v>20.7225049979976</v>
      </c>
      <c r="D239" s="206" t="n">
        <f aca="false">D119</f>
        <v>20.7225049979976</v>
      </c>
      <c r="E239" s="206" t="n">
        <f aca="false">E119</f>
        <v>20.7225049979976</v>
      </c>
      <c r="F239" s="206" t="n">
        <f aca="false">F119</f>
        <v>100.404653415384</v>
      </c>
      <c r="G239" s="206" t="n">
        <f aca="false">G119</f>
        <v>100.404653415384</v>
      </c>
      <c r="H239" s="206" t="n">
        <f aca="false">H119</f>
        <v>100.404653415384</v>
      </c>
      <c r="I239" s="206" t="n">
        <f aca="false">I119</f>
        <v>146.176727443319</v>
      </c>
      <c r="J239" s="206" t="n">
        <f aca="false">J119</f>
        <v>146.176727443319</v>
      </c>
      <c r="K239" s="206" t="n">
        <f aca="false">K119</f>
        <v>146.176727443319</v>
      </c>
      <c r="L239" s="206" t="n">
        <f aca="false">L119</f>
        <v>228.808271164193</v>
      </c>
      <c r="M239" s="206" t="n">
        <f aca="false">M119</f>
        <v>228.808271164193</v>
      </c>
      <c r="N239" s="206" t="n">
        <f aca="false">N119</f>
        <v>228.808271164193</v>
      </c>
      <c r="O239" s="206" t="n">
        <f aca="false">O119</f>
        <v>314.529969229019</v>
      </c>
      <c r="P239" s="206" t="n">
        <f aca="false">P119</f>
        <v>314.529969229019</v>
      </c>
      <c r="Q239" s="206" t="n">
        <f aca="false">Q119</f>
        <v>314.529969229019</v>
      </c>
      <c r="R23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2340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2405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2573</v>
      </c>
      <c r="B240" s="28" t="s">
        <v>1739</v>
      </c>
      <c r="C240" s="206" t="n">
        <f aca="false">C208</f>
        <v>15.1336974133362</v>
      </c>
      <c r="D240" s="206" t="n">
        <f aca="false">D208</f>
        <v>15.1336974133362</v>
      </c>
      <c r="E240" s="206" t="n">
        <f aca="false">E208</f>
        <v>15.1336974133362</v>
      </c>
      <c r="F240" s="206" t="n">
        <f aca="false">F208</f>
        <v>80.1519532436076</v>
      </c>
      <c r="G240" s="206" t="n">
        <f aca="false">G208</f>
        <v>80.1519532436076</v>
      </c>
      <c r="H240" s="206" t="n">
        <f aca="false">H208</f>
        <v>80.1519532436076</v>
      </c>
      <c r="I240" s="206" t="n">
        <f aca="false">I208</f>
        <v>116.69130687468</v>
      </c>
      <c r="J240" s="206" t="n">
        <f aca="false">J208</f>
        <v>116.69130687468</v>
      </c>
      <c r="K240" s="206" t="n">
        <f aca="false">K208</f>
        <v>116.69130687468</v>
      </c>
      <c r="L240" s="206" t="n">
        <f aca="false">L208</f>
        <v>184.79597204631</v>
      </c>
      <c r="M240" s="206" t="n">
        <f aca="false">M208</f>
        <v>184.79597204631</v>
      </c>
      <c r="N240" s="206" t="n">
        <f aca="false">N208</f>
        <v>184.79597204631</v>
      </c>
      <c r="O240" s="206" t="n">
        <f aca="false">O208</f>
        <v>254.725350558298</v>
      </c>
      <c r="P240" s="206" t="n">
        <f aca="false">P208</f>
        <v>254.725350558298</v>
      </c>
      <c r="Q240" s="206" t="n">
        <f aca="false">Q208</f>
        <v>254.725350558298</v>
      </c>
      <c r="R24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2526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2531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2574</v>
      </c>
      <c r="B241" s="28" t="s">
        <v>1739</v>
      </c>
      <c r="C241" s="206" t="n">
        <f aca="false">IF(ISNUMBER(C240),C240*CTL_PriceLife*CTL_Monetize,C240)</f>
        <v>15.1336974133362</v>
      </c>
      <c r="D241" s="206" t="n">
        <f aca="false">IF(ISNUMBER(D240),D240*CTL_PriceLife*CTL_Monetize,D240)</f>
        <v>15.1336974133362</v>
      </c>
      <c r="E241" s="206" t="n">
        <f aca="false">IF(ISNUMBER(E240),E240*CTL_PriceLife*CTL_Monetize,E240)</f>
        <v>15.1336974133362</v>
      </c>
      <c r="F241" s="206" t="n">
        <f aca="false">IF(ISNUMBER(F240),F240*CTL_PriceLife*CTL_Monetize,F240)</f>
        <v>80.1519532436076</v>
      </c>
      <c r="G241" s="206" t="n">
        <f aca="false">IF(ISNUMBER(G240),G240*CTL_PriceLife*CTL_Monetize,G240)</f>
        <v>80.1519532436076</v>
      </c>
      <c r="H241" s="206" t="n">
        <f aca="false">IF(ISNUMBER(H240),H240*CTL_PriceLife*CTL_Monetize,H240)</f>
        <v>80.1519532436076</v>
      </c>
      <c r="I241" s="206" t="n">
        <f aca="false">IF(ISNUMBER(I240),I240*CTL_PriceLife*CTL_Monetize,I240)</f>
        <v>116.69130687468</v>
      </c>
      <c r="J241" s="206" t="n">
        <f aca="false">IF(ISNUMBER(J240),J240*CTL_PriceLife*CTL_Monetize,J240)</f>
        <v>116.69130687468</v>
      </c>
      <c r="K241" s="206" t="n">
        <f aca="false">IF(ISNUMBER(K240),K240*CTL_PriceLife*CTL_Monetize,K240)</f>
        <v>116.69130687468</v>
      </c>
      <c r="L241" s="206" t="n">
        <f aca="false">IF(ISNUMBER(L240),L240*CTL_PriceLife*CTL_Monetize,L240)</f>
        <v>184.79597204631</v>
      </c>
      <c r="M241" s="206" t="n">
        <f aca="false">IF(ISNUMBER(M240),M240*CTL_PriceLife*CTL_Monetize,M240)</f>
        <v>184.79597204631</v>
      </c>
      <c r="N241" s="206" t="n">
        <f aca="false">IF(ISNUMBER(N240),N240*CTL_PriceLife*CTL_Monetize,N240)</f>
        <v>184.79597204631</v>
      </c>
      <c r="O241" s="206" t="n">
        <f aca="false">IF(ISNUMBER(O240),O240*CTL_PriceLife*CTL_Monetize,O240)</f>
        <v>254.725350558298</v>
      </c>
      <c r="P241" s="206" t="n">
        <f aca="false">IF(ISNUMBER(P240),P240*CTL_PriceLife*CTL_Monetize,P240)</f>
        <v>254.725350558298</v>
      </c>
      <c r="Q241" s="206" t="n">
        <f aca="false">IF(ISNUMBER(Q240),Q240*CTL_PriceLife*CTL_Monetize,Q240)</f>
        <v>254.725350558298</v>
      </c>
      <c r="R24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2538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2570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2565</v>
      </c>
    </row>
    <row r="243" customFormat="false" ht="15" hidden="false" customHeight="true" outlineLevel="0" collapsed="false">
      <c r="A243" s="41" t="s">
        <v>2575</v>
      </c>
      <c r="B243" s="28" t="s">
        <v>1739</v>
      </c>
      <c r="C243" s="206" t="n">
        <f aca="false">IF(ISNUMBER(C137),C137/IF_Util,C137)</f>
        <v>31.1499781291377</v>
      </c>
      <c r="D243" s="206" t="n">
        <f aca="false">IF(ISNUMBER(D137),D137/IF_Util,D137)</f>
        <v>31.1499781291377</v>
      </c>
      <c r="E243" s="206" t="n">
        <f aca="false">IF(ISNUMBER(E137),E137/IF_Util,E137)</f>
        <v>31.1499781291377</v>
      </c>
      <c r="F243" s="206" t="n">
        <f aca="false">IF(ISNUMBER(F137),F137/IF_Util,F137)</f>
        <v>161.047308022036</v>
      </c>
      <c r="G243" s="206" t="n">
        <f aca="false">IF(ISNUMBER(G137),G137/IF_Util,G137)</f>
        <v>161.047308022036</v>
      </c>
      <c r="H243" s="206" t="n">
        <f aca="false">IF(ISNUMBER(H137),H137/IF_Util,H137)</f>
        <v>161.047308022036</v>
      </c>
      <c r="I243" s="206" t="n">
        <f aca="false">IF(ISNUMBER(I137),I137/IF_Util,I137)</f>
        <v>194.735562009066</v>
      </c>
      <c r="J243" s="206" t="n">
        <f aca="false">IF(ISNUMBER(J137),J137/IF_Util,J137)</f>
        <v>194.735562009066</v>
      </c>
      <c r="K243" s="206" t="n">
        <f aca="false">IF(ISNUMBER(K137),K137/IF_Util,K137)</f>
        <v>194.735562009066</v>
      </c>
      <c r="L243" s="206" t="n">
        <f aca="false">IF(ISNUMBER(L137),L137/IF_Util,L137)</f>
        <v>411.162427187643</v>
      </c>
      <c r="M243" s="206" t="n">
        <f aca="false">IF(ISNUMBER(M137),M137/IF_Util,M137)</f>
        <v>411.162427187643</v>
      </c>
      <c r="N243" s="206" t="n">
        <f aca="false">IF(ISNUMBER(N137),N137/IF_Util,N137)</f>
        <v>411.162427187643</v>
      </c>
      <c r="O243" s="206" t="n">
        <f aca="false">IF(ISNUMBER(O137),O137/IF_Util,O137)</f>
        <v>597.853015258317</v>
      </c>
      <c r="P243" s="206" t="n">
        <f aca="false">IF(ISNUMBER(P137),P137/IF_Util,P137)</f>
        <v>597.853015258317</v>
      </c>
      <c r="Q243" s="206" t="n">
        <f aca="false">IF(ISNUMBER(Q137),Q137/IF_Util,Q137)</f>
        <v>597.853015258317</v>
      </c>
      <c r="R2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2315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2405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2576</v>
      </c>
      <c r="B244" s="28" t="s">
        <v>1739</v>
      </c>
      <c r="C244" s="206" t="n">
        <f aca="false">C137</f>
        <v>18.6899868774826</v>
      </c>
      <c r="D244" s="206" t="n">
        <f aca="false">D137</f>
        <v>18.6899868774826</v>
      </c>
      <c r="E244" s="206" t="n">
        <f aca="false">E137</f>
        <v>18.6899868774826</v>
      </c>
      <c r="F244" s="206" t="n">
        <f aca="false">F137</f>
        <v>96.6283848132214</v>
      </c>
      <c r="G244" s="206" t="n">
        <f aca="false">G137</f>
        <v>96.6283848132214</v>
      </c>
      <c r="H244" s="206" t="n">
        <f aca="false">H137</f>
        <v>96.6283848132214</v>
      </c>
      <c r="I244" s="206" t="n">
        <f aca="false">I137</f>
        <v>116.841337205439</v>
      </c>
      <c r="J244" s="206" t="n">
        <f aca="false">J137</f>
        <v>116.841337205439</v>
      </c>
      <c r="K244" s="206" t="n">
        <f aca="false">K137</f>
        <v>116.841337205439</v>
      </c>
      <c r="L244" s="206" t="n">
        <f aca="false">L137</f>
        <v>246.697456312585</v>
      </c>
      <c r="M244" s="206" t="n">
        <f aca="false">M137</f>
        <v>246.697456312585</v>
      </c>
      <c r="N244" s="206" t="n">
        <f aca="false">N137</f>
        <v>246.697456312585</v>
      </c>
      <c r="O244" s="206" t="n">
        <f aca="false">O137</f>
        <v>358.71180915499</v>
      </c>
      <c r="P244" s="206" t="n">
        <f aca="false">P137</f>
        <v>358.71180915499</v>
      </c>
      <c r="Q244" s="206" t="n">
        <f aca="false">Q137</f>
        <v>358.71180915499</v>
      </c>
      <c r="R2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2340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2405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2577</v>
      </c>
      <c r="B245" s="28" t="s">
        <v>1739</v>
      </c>
      <c r="C245" s="206" t="n">
        <f aca="false">C209</f>
        <v>9.08886774488705</v>
      </c>
      <c r="D245" s="206" t="n">
        <f aca="false">D209</f>
        <v>9.08886774488705</v>
      </c>
      <c r="E245" s="206" t="n">
        <f aca="false">E209</f>
        <v>9.08886774488705</v>
      </c>
      <c r="F245" s="206" t="n">
        <f aca="false">F209</f>
        <v>70.8060260045462</v>
      </c>
      <c r="G245" s="206" t="n">
        <f aca="false">G209</f>
        <v>70.8060260045462</v>
      </c>
      <c r="H245" s="206" t="n">
        <f aca="false">H209</f>
        <v>70.8060260045462</v>
      </c>
      <c r="I245" s="206" t="n">
        <f aca="false">I209</f>
        <v>81.6810591163036</v>
      </c>
      <c r="J245" s="206" t="n">
        <f aca="false">J209</f>
        <v>81.6810591163036</v>
      </c>
      <c r="K245" s="206" t="n">
        <f aca="false">K209</f>
        <v>81.6810591163036</v>
      </c>
      <c r="L245" s="206" t="n">
        <f aca="false">L209</f>
        <v>188.934678809326</v>
      </c>
      <c r="M245" s="206" t="n">
        <f aca="false">M209</f>
        <v>188.934678809326</v>
      </c>
      <c r="N245" s="206" t="n">
        <f aca="false">N209</f>
        <v>188.934678809326</v>
      </c>
      <c r="O245" s="206" t="n">
        <f aca="false">O209</f>
        <v>278.482692813541</v>
      </c>
      <c r="P245" s="206" t="n">
        <f aca="false">P209</f>
        <v>278.482692813541</v>
      </c>
      <c r="Q245" s="206" t="n">
        <f aca="false">Q209</f>
        <v>278.482692813541</v>
      </c>
      <c r="R24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2526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2531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2578</v>
      </c>
      <c r="B246" s="28" t="s">
        <v>1739</v>
      </c>
      <c r="C246" s="206" t="n">
        <f aca="false">IF(ISNUMBER(C245),C245*CTL_PriceLife*CTL_Monetize,C245)</f>
        <v>9.08886774488705</v>
      </c>
      <c r="D246" s="206" t="n">
        <f aca="false">IF(ISNUMBER(D245),D245*CTL_PriceLife*CTL_Monetize,D245)</f>
        <v>9.08886774488705</v>
      </c>
      <c r="E246" s="206" t="n">
        <f aca="false">IF(ISNUMBER(E245),E245*CTL_PriceLife*CTL_Monetize,E245)</f>
        <v>9.08886774488705</v>
      </c>
      <c r="F246" s="206" t="n">
        <f aca="false">IF(ISNUMBER(F245),F245*CTL_PriceLife*CTL_Monetize,F245)</f>
        <v>70.8060260045462</v>
      </c>
      <c r="G246" s="206" t="n">
        <f aca="false">IF(ISNUMBER(G245),G245*CTL_PriceLife*CTL_Monetize,G245)</f>
        <v>70.8060260045462</v>
      </c>
      <c r="H246" s="206" t="n">
        <f aca="false">IF(ISNUMBER(H245),H245*CTL_PriceLife*CTL_Monetize,H245)</f>
        <v>70.8060260045462</v>
      </c>
      <c r="I246" s="206" t="n">
        <f aca="false">IF(ISNUMBER(I245),I245*CTL_PriceLife*CTL_Monetize,I245)</f>
        <v>81.6810591163036</v>
      </c>
      <c r="J246" s="206" t="n">
        <f aca="false">IF(ISNUMBER(J245),J245*CTL_PriceLife*CTL_Monetize,J245)</f>
        <v>81.6810591163036</v>
      </c>
      <c r="K246" s="206" t="n">
        <f aca="false">IF(ISNUMBER(K245),K245*CTL_PriceLife*CTL_Monetize,K245)</f>
        <v>81.6810591163036</v>
      </c>
      <c r="L246" s="206" t="n">
        <f aca="false">IF(ISNUMBER(L245),L245*CTL_PriceLife*CTL_Monetize,L245)</f>
        <v>188.934678809326</v>
      </c>
      <c r="M246" s="206" t="n">
        <f aca="false">IF(ISNUMBER(M245),M245*CTL_PriceLife*CTL_Monetize,M245)</f>
        <v>188.934678809326</v>
      </c>
      <c r="N246" s="206" t="n">
        <f aca="false">IF(ISNUMBER(N245),N245*CTL_PriceLife*CTL_Monetize,N245)</f>
        <v>188.934678809326</v>
      </c>
      <c r="O246" s="206" t="n">
        <f aca="false">IF(ISNUMBER(O245),O245*CTL_PriceLife*CTL_Monetize,O245)</f>
        <v>278.482692813541</v>
      </c>
      <c r="P246" s="206" t="n">
        <f aca="false">IF(ISNUMBER(P245),P245*CTL_PriceLife*CTL_Monetize,P245)</f>
        <v>278.482692813541</v>
      </c>
      <c r="Q246" s="206" t="n">
        <f aca="false">IF(ISNUMBER(Q245),Q245*CTL_PriceLife*CTL_Monetize,Q245)</f>
        <v>278.482692813541</v>
      </c>
      <c r="R24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2538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2570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2579</v>
      </c>
    </row>
    <row r="248" customFormat="false" ht="15" hidden="false" customHeight="true" outlineLevel="0" collapsed="false">
      <c r="A248" s="41" t="s">
        <v>2580</v>
      </c>
      <c r="B248" s="28" t="s">
        <v>1739</v>
      </c>
      <c r="C248" s="206" t="n">
        <f aca="false">IF(ISNUMBER(C143),C143/IF_Util,C143)</f>
        <v>6.67481291645273</v>
      </c>
      <c r="D248" s="206" t="n">
        <f aca="false">IF(ISNUMBER(D143),D143/IF_Util,D143)</f>
        <v>6.67481291645273</v>
      </c>
      <c r="E248" s="206" t="n">
        <f aca="false">IF(ISNUMBER(E143),E143/IF_Util,E143)</f>
        <v>6.67481291645273</v>
      </c>
      <c r="F248" s="206" t="n">
        <f aca="false">IF(ISNUMBER(F143),F143/IF_Util,F143)</f>
        <v>33.6243597685213</v>
      </c>
      <c r="G248" s="206" t="n">
        <f aca="false">IF(ISNUMBER(G143),G143/IF_Util,G143)</f>
        <v>33.6243597685213</v>
      </c>
      <c r="H248" s="206" t="n">
        <f aca="false">IF(ISNUMBER(H143),H143/IF_Util,H143)</f>
        <v>33.6243597685213</v>
      </c>
      <c r="I248" s="206" t="n">
        <f aca="false">IF(ISNUMBER(I143),I143/IF_Util,I143)</f>
        <v>43.7753928327944</v>
      </c>
      <c r="J248" s="206" t="n">
        <f aca="false">IF(ISNUMBER(J143),J143/IF_Util,J143)</f>
        <v>43.7753928327944</v>
      </c>
      <c r="K248" s="206" t="n">
        <f aca="false">IF(ISNUMBER(K143),K143/IF_Util,K143)</f>
        <v>43.7753928327944</v>
      </c>
      <c r="L248" s="206" t="n">
        <f aca="false">IF(ISNUMBER(L143),L143/IF_Util,L143)</f>
        <v>81.2061699399891</v>
      </c>
      <c r="M248" s="206" t="n">
        <f aca="false">IF(ISNUMBER(M143),M143/IF_Util,M143)</f>
        <v>81.2061699399891</v>
      </c>
      <c r="N248" s="206" t="n">
        <f aca="false">IF(ISNUMBER(N143),N143/IF_Util,N143)</f>
        <v>81.2061699399891</v>
      </c>
      <c r="O248" s="206" t="n">
        <f aca="false">IF(ISNUMBER(O143),O143/IF_Util,O143)</f>
        <v>114.879376192016</v>
      </c>
      <c r="P248" s="206" t="n">
        <f aca="false">IF(ISNUMBER(P143),P143/IF_Util,P143)</f>
        <v>114.879376192016</v>
      </c>
      <c r="Q248" s="206" t="n">
        <f aca="false">IF(ISNUMBER(Q143),Q143/IF_Util,Q143)</f>
        <v>114.879376192016</v>
      </c>
      <c r="R24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2315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2445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2581</v>
      </c>
      <c r="B249" s="28" t="s">
        <v>1739</v>
      </c>
      <c r="C249" s="206" t="n">
        <f aca="false">C143</f>
        <v>4.00488774987164</v>
      </c>
      <c r="D249" s="206" t="n">
        <f aca="false">D143</f>
        <v>4.00488774987164</v>
      </c>
      <c r="E249" s="206" t="n">
        <f aca="false">E143</f>
        <v>4.00488774987164</v>
      </c>
      <c r="F249" s="206" t="n">
        <f aca="false">F143</f>
        <v>20.1746158611128</v>
      </c>
      <c r="G249" s="206" t="n">
        <f aca="false">G143</f>
        <v>20.1746158611128</v>
      </c>
      <c r="H249" s="206" t="n">
        <f aca="false">H143</f>
        <v>20.1746158611128</v>
      </c>
      <c r="I249" s="206" t="n">
        <f aca="false">I143</f>
        <v>26.2652356996766</v>
      </c>
      <c r="J249" s="206" t="n">
        <f aca="false">J143</f>
        <v>26.2652356996766</v>
      </c>
      <c r="K249" s="206" t="n">
        <f aca="false">K143</f>
        <v>26.2652356996766</v>
      </c>
      <c r="L249" s="206" t="n">
        <f aca="false">L143</f>
        <v>48.7237019639935</v>
      </c>
      <c r="M249" s="206" t="n">
        <f aca="false">M143</f>
        <v>48.7237019639935</v>
      </c>
      <c r="N249" s="206" t="n">
        <f aca="false">N143</f>
        <v>48.7237019639935</v>
      </c>
      <c r="O249" s="206" t="n">
        <f aca="false">O143</f>
        <v>68.9276257152094</v>
      </c>
      <c r="P249" s="206" t="n">
        <f aca="false">P143</f>
        <v>68.9276257152094</v>
      </c>
      <c r="Q249" s="206" t="n">
        <f aca="false">Q143</f>
        <v>68.9276257152094</v>
      </c>
      <c r="R24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2340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2445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2582</v>
      </c>
      <c r="B250" s="28" t="s">
        <v>1739</v>
      </c>
      <c r="C250" s="206" t="n">
        <f aca="false">C210</f>
        <v>2.24296199760285</v>
      </c>
      <c r="D250" s="206" t="n">
        <f aca="false">D210</f>
        <v>2.24296199760285</v>
      </c>
      <c r="E250" s="206" t="n">
        <f aca="false">E210</f>
        <v>2.24296199760285</v>
      </c>
      <c r="F250" s="206" t="n">
        <f aca="false">F210</f>
        <v>15.2851605558118</v>
      </c>
      <c r="G250" s="206" t="n">
        <f aca="false">G210</f>
        <v>15.2851605558118</v>
      </c>
      <c r="H250" s="206" t="n">
        <f aca="false">H210</f>
        <v>15.2851605558118</v>
      </c>
      <c r="I250" s="206" t="n">
        <f aca="false">I210</f>
        <v>19.2324652424837</v>
      </c>
      <c r="J250" s="206" t="n">
        <f aca="false">J210</f>
        <v>19.2324652424837</v>
      </c>
      <c r="K250" s="206" t="n">
        <f aca="false">K210</f>
        <v>19.2324652424837</v>
      </c>
      <c r="L250" s="206" t="n">
        <f aca="false">L210</f>
        <v>38.1145472754025</v>
      </c>
      <c r="M250" s="206" t="n">
        <f aca="false">M210</f>
        <v>38.1145472754025</v>
      </c>
      <c r="N250" s="206" t="n">
        <f aca="false">N210</f>
        <v>38.1145472754025</v>
      </c>
      <c r="O250" s="206" t="n">
        <f aca="false">O210</f>
        <v>54.4181760054532</v>
      </c>
      <c r="P250" s="206" t="n">
        <f aca="false">P210</f>
        <v>54.4181760054532</v>
      </c>
      <c r="Q250" s="206" t="n">
        <f aca="false">Q210</f>
        <v>54.4181760054532</v>
      </c>
      <c r="R25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2526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2535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2583</v>
      </c>
      <c r="B251" s="28" t="s">
        <v>1739</v>
      </c>
      <c r="C251" s="206" t="n">
        <f aca="false">IF(ISNUMBER(C250),C250*CTL_PriceLife*CTL_Monetize,C250)</f>
        <v>2.24296199760285</v>
      </c>
      <c r="D251" s="206" t="n">
        <f aca="false">IF(ISNUMBER(D250),D250*CTL_PriceLife*CTL_Monetize,D250)</f>
        <v>2.24296199760285</v>
      </c>
      <c r="E251" s="206" t="n">
        <f aca="false">IF(ISNUMBER(E250),E250*CTL_PriceLife*CTL_Monetize,E250)</f>
        <v>2.24296199760285</v>
      </c>
      <c r="F251" s="206" t="n">
        <f aca="false">IF(ISNUMBER(F250),F250*CTL_PriceLife*CTL_Monetize,F250)</f>
        <v>15.2851605558118</v>
      </c>
      <c r="G251" s="206" t="n">
        <f aca="false">IF(ISNUMBER(G250),G250*CTL_PriceLife*CTL_Monetize,G250)</f>
        <v>15.2851605558118</v>
      </c>
      <c r="H251" s="206" t="n">
        <f aca="false">IF(ISNUMBER(H250),H250*CTL_PriceLife*CTL_Monetize,H250)</f>
        <v>15.2851605558118</v>
      </c>
      <c r="I251" s="206" t="n">
        <f aca="false">IF(ISNUMBER(I250),I250*CTL_PriceLife*CTL_Monetize,I250)</f>
        <v>19.2324652424837</v>
      </c>
      <c r="J251" s="206" t="n">
        <f aca="false">IF(ISNUMBER(J250),J250*CTL_PriceLife*CTL_Monetize,J250)</f>
        <v>19.2324652424837</v>
      </c>
      <c r="K251" s="206" t="n">
        <f aca="false">IF(ISNUMBER(K250),K250*CTL_PriceLife*CTL_Monetize,K250)</f>
        <v>19.2324652424837</v>
      </c>
      <c r="L251" s="206" t="n">
        <f aca="false">IF(ISNUMBER(L250),L250*CTL_PriceLife*CTL_Monetize,L250)</f>
        <v>38.1145472754025</v>
      </c>
      <c r="M251" s="206" t="n">
        <f aca="false">IF(ISNUMBER(M250),M250*CTL_PriceLife*CTL_Monetize,M250)</f>
        <v>38.1145472754025</v>
      </c>
      <c r="N251" s="206" t="n">
        <f aca="false">IF(ISNUMBER(N250),N250*CTL_PriceLife*CTL_Monetize,N250)</f>
        <v>38.1145472754025</v>
      </c>
      <c r="O251" s="206" t="n">
        <f aca="false">IF(ISNUMBER(O250),O250*CTL_PriceLife*CTL_Monetize,O250)</f>
        <v>54.4181760054532</v>
      </c>
      <c r="P251" s="206" t="n">
        <f aca="false">IF(ISNUMBER(P250),P250*CTL_PriceLife*CTL_Monetize,P250)</f>
        <v>54.4181760054532</v>
      </c>
      <c r="Q251" s="206" t="n">
        <f aca="false">IF(ISNUMBER(Q250),Q250*CTL_PriceLife*CTL_Monetize,Q250)</f>
        <v>54.4181760054532</v>
      </c>
      <c r="R25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2538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2584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2585</v>
      </c>
    </row>
    <row r="253" customFormat="false" ht="15" hidden="false" customHeight="true" outlineLevel="0" collapsed="false">
      <c r="A253" s="41" t="s">
        <v>2586</v>
      </c>
      <c r="B253" s="28" t="s">
        <v>1739</v>
      </c>
      <c r="C253" s="206" t="n">
        <f aca="false">IF(ISNUMBER(C102),C102/IF_Util,C102)</f>
        <v>5.95171512707998</v>
      </c>
      <c r="D253" s="206" t="n">
        <f aca="false">IF(ISNUMBER(D102),D102/IF_Util,D102)</f>
        <v>5.95171512707998</v>
      </c>
      <c r="E253" s="206" t="n">
        <f aca="false">IF(ISNUMBER(E102),E102/IF_Util,E102)</f>
        <v>5.95171512707998</v>
      </c>
      <c r="F253" s="206" t="n">
        <f aca="false">IF(ISNUMBER(F102),F102/IF_Util,F102)</f>
        <v>29.1133717558573</v>
      </c>
      <c r="G253" s="206" t="n">
        <f aca="false">IF(ISNUMBER(G102),G102/IF_Util,G102)</f>
        <v>29.1133717558573</v>
      </c>
      <c r="H253" s="206" t="n">
        <f aca="false">IF(ISNUMBER(H102),H102/IF_Util,H102)</f>
        <v>29.1133717558573</v>
      </c>
      <c r="I253" s="206" t="n">
        <f aca="false">IF(ISNUMBER(I102),I102/IF_Util,I102)</f>
        <v>42.3854598701289</v>
      </c>
      <c r="J253" s="206" t="n">
        <f aca="false">IF(ISNUMBER(J102),J102/IF_Util,J102)</f>
        <v>42.3854598701289</v>
      </c>
      <c r="K253" s="206" t="n">
        <f aca="false">IF(ISNUMBER(K102),K102/IF_Util,K102)</f>
        <v>42.3854598701289</v>
      </c>
      <c r="L253" s="206" t="n">
        <f aca="false">IF(ISNUMBER(L102),L102/IF_Util,L102)</f>
        <v>62.0970377331622</v>
      </c>
      <c r="M253" s="206" t="n">
        <f aca="false">IF(ISNUMBER(M102),M102/IF_Util,M102)</f>
        <v>62.0970377331622</v>
      </c>
      <c r="N253" s="206" t="n">
        <f aca="false">IF(ISNUMBER(N102),N102/IF_Util,N102)</f>
        <v>62.0970377331622</v>
      </c>
      <c r="O253" s="206" t="n">
        <f aca="false">IF(ISNUMBER(O102),O102/IF_Util,O102)</f>
        <v>83.9212299203448</v>
      </c>
      <c r="P253" s="206" t="n">
        <f aca="false">IF(ISNUMBER(P102),P102/IF_Util,P102)</f>
        <v>83.9212299203448</v>
      </c>
      <c r="Q253" s="206" t="n">
        <f aca="false">IF(ISNUMBER(Q102),Q102/IF_Util,Q102)</f>
        <v>83.9212299203448</v>
      </c>
      <c r="R25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2315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2407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2587</v>
      </c>
      <c r="B254" s="28" t="s">
        <v>1739</v>
      </c>
      <c r="C254" s="206" t="n">
        <f aca="false">C102</f>
        <v>3.57102907624799</v>
      </c>
      <c r="D254" s="206" t="n">
        <f aca="false">D102</f>
        <v>3.57102907624799</v>
      </c>
      <c r="E254" s="206" t="n">
        <f aca="false">E102</f>
        <v>3.57102907624799</v>
      </c>
      <c r="F254" s="206" t="n">
        <f aca="false">F102</f>
        <v>17.4680230535144</v>
      </c>
      <c r="G254" s="206" t="n">
        <f aca="false">G102</f>
        <v>17.4680230535144</v>
      </c>
      <c r="H254" s="206" t="n">
        <f aca="false">H102</f>
        <v>17.4680230535144</v>
      </c>
      <c r="I254" s="206" t="n">
        <f aca="false">I102</f>
        <v>25.4312759220773</v>
      </c>
      <c r="J254" s="206" t="n">
        <f aca="false">J102</f>
        <v>25.4312759220773</v>
      </c>
      <c r="K254" s="206" t="n">
        <f aca="false">K102</f>
        <v>25.4312759220773</v>
      </c>
      <c r="L254" s="206" t="n">
        <f aca="false">L102</f>
        <v>37.2582226398973</v>
      </c>
      <c r="M254" s="206" t="n">
        <f aca="false">M102</f>
        <v>37.2582226398973</v>
      </c>
      <c r="N254" s="206" t="n">
        <f aca="false">N102</f>
        <v>37.2582226398973</v>
      </c>
      <c r="O254" s="206" t="n">
        <f aca="false">O102</f>
        <v>50.3527379522069</v>
      </c>
      <c r="P254" s="206" t="n">
        <f aca="false">P102</f>
        <v>50.3527379522069</v>
      </c>
      <c r="Q254" s="206" t="n">
        <f aca="false">Q102</f>
        <v>50.3527379522069</v>
      </c>
      <c r="R25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2340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2407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2588</v>
      </c>
      <c r="B255" s="28" t="s">
        <v>1739</v>
      </c>
      <c r="C255" s="206" t="n">
        <f aca="false">IF(ISNUMBER(C254),C254*CTL_ProdDerate,C254)</f>
        <v>3.03537471481079</v>
      </c>
      <c r="D255" s="206" t="n">
        <f aca="false">IF(ISNUMBER(D254),D254*CTL_ProdDerate,D254)</f>
        <v>3.03537471481079</v>
      </c>
      <c r="E255" s="206" t="n">
        <f aca="false">IF(ISNUMBER(E254),E254*CTL_ProdDerate,E254)</f>
        <v>3.03537471481079</v>
      </c>
      <c r="F255" s="206" t="n">
        <f aca="false">IF(ISNUMBER(F254),F254*CTL_ProdDerate,F254)</f>
        <v>14.8478195954872</v>
      </c>
      <c r="G255" s="206" t="n">
        <f aca="false">IF(ISNUMBER(G254),G254*CTL_ProdDerate,G254)</f>
        <v>14.8478195954872</v>
      </c>
      <c r="H255" s="206" t="n">
        <f aca="false">IF(ISNUMBER(H254),H254*CTL_ProdDerate,H254)</f>
        <v>14.8478195954872</v>
      </c>
      <c r="I255" s="206" t="n">
        <f aca="false">IF(ISNUMBER(I254),I254*CTL_ProdDerate,I254)</f>
        <v>21.6165845337657</v>
      </c>
      <c r="J255" s="206" t="n">
        <f aca="false">IF(ISNUMBER(J254),J254*CTL_ProdDerate,J254)</f>
        <v>21.6165845337657</v>
      </c>
      <c r="K255" s="206" t="n">
        <f aca="false">IF(ISNUMBER(K254),K254*CTL_ProdDerate,K254)</f>
        <v>21.6165845337657</v>
      </c>
      <c r="L255" s="206" t="n">
        <f aca="false">IF(ISNUMBER(L254),L254*CTL_ProdDerate,L254)</f>
        <v>31.6694892439127</v>
      </c>
      <c r="M255" s="206" t="n">
        <f aca="false">IF(ISNUMBER(M254),M254*CTL_ProdDerate,M254)</f>
        <v>31.6694892439127</v>
      </c>
      <c r="N255" s="206" t="n">
        <f aca="false">IF(ISNUMBER(N254),N254*CTL_ProdDerate,N254)</f>
        <v>31.6694892439127</v>
      </c>
      <c r="O255" s="206" t="n">
        <f aca="false">IF(ISNUMBER(O254),O254*CTL_ProdDerate,O254)</f>
        <v>42.7998272593759</v>
      </c>
      <c r="P255" s="206" t="n">
        <f aca="false">IF(ISNUMBER(P254),P254*CTL_ProdDerate,P254)</f>
        <v>42.7998272593759</v>
      </c>
      <c r="Q255" s="206" t="n">
        <f aca="false">IF(ISNUMBER(Q254),Q254*CTL_ProdDerate,Q254)</f>
        <v>42.7998272593759</v>
      </c>
      <c r="R25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2526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2589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2590</v>
      </c>
      <c r="B256" s="28" t="s">
        <v>1739</v>
      </c>
      <c r="C256" s="206" t="n">
        <f aca="false">IF(ISNUMBER(C255),C255*CTL_PriceLife*CTL_Monetize,C255)</f>
        <v>3.03537471481079</v>
      </c>
      <c r="D256" s="206" t="n">
        <f aca="false">IF(ISNUMBER(D255),D255*CTL_PriceLife*CTL_Monetize,D255)</f>
        <v>3.03537471481079</v>
      </c>
      <c r="E256" s="206" t="n">
        <f aca="false">IF(ISNUMBER(E255),E255*CTL_PriceLife*CTL_Monetize,E255)</f>
        <v>3.03537471481079</v>
      </c>
      <c r="F256" s="206" t="n">
        <f aca="false">IF(ISNUMBER(F255),F255*CTL_PriceLife*CTL_Monetize,F255)</f>
        <v>14.8478195954872</v>
      </c>
      <c r="G256" s="206" t="n">
        <f aca="false">IF(ISNUMBER(G255),G255*CTL_PriceLife*CTL_Monetize,G255)</f>
        <v>14.8478195954872</v>
      </c>
      <c r="H256" s="206" t="n">
        <f aca="false">IF(ISNUMBER(H255),H255*CTL_PriceLife*CTL_Monetize,H255)</f>
        <v>14.8478195954872</v>
      </c>
      <c r="I256" s="206" t="n">
        <f aca="false">IF(ISNUMBER(I255),I255*CTL_PriceLife*CTL_Monetize,I255)</f>
        <v>21.6165845337657</v>
      </c>
      <c r="J256" s="206" t="n">
        <f aca="false">IF(ISNUMBER(J255),J255*CTL_PriceLife*CTL_Monetize,J255)</f>
        <v>21.6165845337657</v>
      </c>
      <c r="K256" s="206" t="n">
        <f aca="false">IF(ISNUMBER(K255),K255*CTL_PriceLife*CTL_Monetize,K255)</f>
        <v>21.6165845337657</v>
      </c>
      <c r="L256" s="206" t="n">
        <f aca="false">IF(ISNUMBER(L255),L255*CTL_PriceLife*CTL_Monetize,L255)</f>
        <v>31.6694892439127</v>
      </c>
      <c r="M256" s="206" t="n">
        <f aca="false">IF(ISNUMBER(M255),M255*CTL_PriceLife*CTL_Monetize,M255)</f>
        <v>31.6694892439127</v>
      </c>
      <c r="N256" s="206" t="n">
        <f aca="false">IF(ISNUMBER(N255),N255*CTL_PriceLife*CTL_Monetize,N255)</f>
        <v>31.6694892439127</v>
      </c>
      <c r="O256" s="206" t="n">
        <f aca="false">IF(ISNUMBER(O255),O255*CTL_PriceLife*CTL_Monetize,O255)</f>
        <v>42.7998272593759</v>
      </c>
      <c r="P256" s="206" t="n">
        <f aca="false">IF(ISNUMBER(P255),P255*CTL_PriceLife*CTL_Monetize,P255)</f>
        <v>42.7998272593759</v>
      </c>
      <c r="Q256" s="206" t="n">
        <f aca="false">IF(ISNUMBER(Q255),Q255*CTL_PriceLife*CTL_Monetize,Q255)</f>
        <v>42.7998272593759</v>
      </c>
      <c r="R25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2538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2591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2585</v>
      </c>
    </row>
    <row r="258" customFormat="false" ht="15" hidden="false" customHeight="true" outlineLevel="0" collapsed="false">
      <c r="A258" s="41" t="s">
        <v>2592</v>
      </c>
      <c r="B258" s="28" t="s">
        <v>1739</v>
      </c>
      <c r="C258" s="206" t="n">
        <f aca="false">IF(ISNUMBER(C120),C120/IF_Util,C120)</f>
        <v>34.5375083299961</v>
      </c>
      <c r="D258" s="206" t="n">
        <f aca="false">IF(ISNUMBER(D120),D120/IF_Util,D120)</f>
        <v>34.5375083299961</v>
      </c>
      <c r="E258" s="206" t="n">
        <f aca="false">IF(ISNUMBER(E120),E120/IF_Util,E120)</f>
        <v>34.5375083299961</v>
      </c>
      <c r="F258" s="206" t="n">
        <f aca="false">IF(ISNUMBER(F120),F120/IF_Util,F120)</f>
        <v>167.34108902564</v>
      </c>
      <c r="G258" s="206" t="n">
        <f aca="false">IF(ISNUMBER(G120),G120/IF_Util,G120)</f>
        <v>167.34108902564</v>
      </c>
      <c r="H258" s="206" t="n">
        <f aca="false">IF(ISNUMBER(H120),H120/IF_Util,H120)</f>
        <v>167.34108902564</v>
      </c>
      <c r="I258" s="206" t="n">
        <f aca="false">IF(ISNUMBER(I120),I120/IF_Util,I120)</f>
        <v>243.627879072198</v>
      </c>
      <c r="J258" s="206" t="n">
        <f aca="false">IF(ISNUMBER(J120),J120/IF_Util,J120)</f>
        <v>243.627879072198</v>
      </c>
      <c r="K258" s="206" t="n">
        <f aca="false">IF(ISNUMBER(K120),K120/IF_Util,K120)</f>
        <v>243.627879072198</v>
      </c>
      <c r="L258" s="206" t="n">
        <f aca="false">IF(ISNUMBER(L120),L120/IF_Util,L120)</f>
        <v>381.347118606988</v>
      </c>
      <c r="M258" s="206" t="n">
        <f aca="false">IF(ISNUMBER(M120),M120/IF_Util,M120)</f>
        <v>381.347118606988</v>
      </c>
      <c r="N258" s="206" t="n">
        <f aca="false">IF(ISNUMBER(N120),N120/IF_Util,N120)</f>
        <v>381.347118606988</v>
      </c>
      <c r="O258" s="206" t="n">
        <f aca="false">IF(ISNUMBER(O120),O120/IF_Util,O120)</f>
        <v>524.216615381698</v>
      </c>
      <c r="P258" s="206" t="n">
        <f aca="false">IF(ISNUMBER(P120),P120/IF_Util,P120)</f>
        <v>524.216615381698</v>
      </c>
      <c r="Q258" s="206" t="n">
        <f aca="false">IF(ISNUMBER(Q120),Q120/IF_Util,Q120)</f>
        <v>524.216615381698</v>
      </c>
      <c r="R25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2315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2407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2593</v>
      </c>
      <c r="B259" s="28" t="s">
        <v>1739</v>
      </c>
      <c r="C259" s="206" t="n">
        <f aca="false">C120</f>
        <v>20.7225049979976</v>
      </c>
      <c r="D259" s="206" t="n">
        <f aca="false">D120</f>
        <v>20.7225049979976</v>
      </c>
      <c r="E259" s="206" t="n">
        <f aca="false">E120</f>
        <v>20.7225049979976</v>
      </c>
      <c r="F259" s="206" t="n">
        <f aca="false">F120</f>
        <v>100.404653415384</v>
      </c>
      <c r="G259" s="206" t="n">
        <f aca="false">G120</f>
        <v>100.404653415384</v>
      </c>
      <c r="H259" s="206" t="n">
        <f aca="false">H120</f>
        <v>100.404653415384</v>
      </c>
      <c r="I259" s="206" t="n">
        <f aca="false">I120</f>
        <v>146.176727443319</v>
      </c>
      <c r="J259" s="206" t="n">
        <f aca="false">J120</f>
        <v>146.176727443319</v>
      </c>
      <c r="K259" s="206" t="n">
        <f aca="false">K120</f>
        <v>146.176727443319</v>
      </c>
      <c r="L259" s="206" t="n">
        <f aca="false">L120</f>
        <v>228.808271164193</v>
      </c>
      <c r="M259" s="206" t="n">
        <f aca="false">M120</f>
        <v>228.808271164193</v>
      </c>
      <c r="N259" s="206" t="n">
        <f aca="false">N120</f>
        <v>228.808271164193</v>
      </c>
      <c r="O259" s="206" t="n">
        <f aca="false">O120</f>
        <v>314.529969229019</v>
      </c>
      <c r="P259" s="206" t="n">
        <f aca="false">P120</f>
        <v>314.529969229019</v>
      </c>
      <c r="Q259" s="206" t="n">
        <f aca="false">Q120</f>
        <v>314.529969229019</v>
      </c>
      <c r="R25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2340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2407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2594</v>
      </c>
      <c r="B260" s="28" t="s">
        <v>1739</v>
      </c>
      <c r="C260" s="206" t="n">
        <f aca="false">IF(ISNUMBER(C259),C259*CTL_ProdDerate,C259)</f>
        <v>17.614129248298</v>
      </c>
      <c r="D260" s="206" t="n">
        <f aca="false">IF(ISNUMBER(D259),D259*CTL_ProdDerate,D259)</f>
        <v>17.614129248298</v>
      </c>
      <c r="E260" s="206" t="n">
        <f aca="false">IF(ISNUMBER(E259),E259*CTL_ProdDerate,E259)</f>
        <v>17.614129248298</v>
      </c>
      <c r="F260" s="206" t="n">
        <f aca="false">IF(ISNUMBER(F259),F259*CTL_ProdDerate,F259)</f>
        <v>85.3439554030766</v>
      </c>
      <c r="G260" s="206" t="n">
        <f aca="false">IF(ISNUMBER(G259),G259*CTL_ProdDerate,G259)</f>
        <v>85.3439554030766</v>
      </c>
      <c r="H260" s="206" t="n">
        <f aca="false">IF(ISNUMBER(H259),H259*CTL_ProdDerate,H259)</f>
        <v>85.3439554030766</v>
      </c>
      <c r="I260" s="206" t="n">
        <f aca="false">IF(ISNUMBER(I259),I259*CTL_ProdDerate,I259)</f>
        <v>124.250218326821</v>
      </c>
      <c r="J260" s="206" t="n">
        <f aca="false">IF(ISNUMBER(J259),J259*CTL_ProdDerate,J259)</f>
        <v>124.250218326821</v>
      </c>
      <c r="K260" s="206" t="n">
        <f aca="false">IF(ISNUMBER(K259),K259*CTL_ProdDerate,K259)</f>
        <v>124.250218326821</v>
      </c>
      <c r="L260" s="206" t="n">
        <f aca="false">IF(ISNUMBER(L259),L259*CTL_ProdDerate,L259)</f>
        <v>194.487030489564</v>
      </c>
      <c r="M260" s="206" t="n">
        <f aca="false">IF(ISNUMBER(M259),M259*CTL_ProdDerate,M259)</f>
        <v>194.487030489564</v>
      </c>
      <c r="N260" s="206" t="n">
        <f aca="false">IF(ISNUMBER(N259),N259*CTL_ProdDerate,N259)</f>
        <v>194.487030489564</v>
      </c>
      <c r="O260" s="206" t="n">
        <f aca="false">IF(ISNUMBER(O259),O259*CTL_ProdDerate,O259)</f>
        <v>267.350473844666</v>
      </c>
      <c r="P260" s="206" t="n">
        <f aca="false">IF(ISNUMBER(P259),P259*CTL_ProdDerate,P259)</f>
        <v>267.350473844666</v>
      </c>
      <c r="Q260" s="206" t="n">
        <f aca="false">IF(ISNUMBER(Q259),Q259*CTL_ProdDerate,Q259)</f>
        <v>267.350473844666</v>
      </c>
      <c r="R26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2526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2589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2595</v>
      </c>
      <c r="B261" s="28" t="s">
        <v>1739</v>
      </c>
      <c r="C261" s="206" t="n">
        <f aca="false">IF(ISNUMBER(C260),C260*CTL_PriceLife*CTL_Monetize,C260)</f>
        <v>17.614129248298</v>
      </c>
      <c r="D261" s="206" t="n">
        <f aca="false">IF(ISNUMBER(D260),D260*CTL_PriceLife*CTL_Monetize,D260)</f>
        <v>17.614129248298</v>
      </c>
      <c r="E261" s="206" t="n">
        <f aca="false">IF(ISNUMBER(E260),E260*CTL_PriceLife*CTL_Monetize,E260)</f>
        <v>17.614129248298</v>
      </c>
      <c r="F261" s="206" t="n">
        <f aca="false">IF(ISNUMBER(F260),F260*CTL_PriceLife*CTL_Monetize,F260)</f>
        <v>85.3439554030766</v>
      </c>
      <c r="G261" s="206" t="n">
        <f aca="false">IF(ISNUMBER(G260),G260*CTL_PriceLife*CTL_Monetize,G260)</f>
        <v>85.3439554030766</v>
      </c>
      <c r="H261" s="206" t="n">
        <f aca="false">IF(ISNUMBER(H260),H260*CTL_PriceLife*CTL_Monetize,H260)</f>
        <v>85.3439554030766</v>
      </c>
      <c r="I261" s="206" t="n">
        <f aca="false">IF(ISNUMBER(I260),I260*CTL_PriceLife*CTL_Monetize,I260)</f>
        <v>124.250218326821</v>
      </c>
      <c r="J261" s="206" t="n">
        <f aca="false">IF(ISNUMBER(J260),J260*CTL_PriceLife*CTL_Monetize,J260)</f>
        <v>124.250218326821</v>
      </c>
      <c r="K261" s="206" t="n">
        <f aca="false">IF(ISNUMBER(K260),K260*CTL_PriceLife*CTL_Monetize,K260)</f>
        <v>124.250218326821</v>
      </c>
      <c r="L261" s="206" t="n">
        <f aca="false">IF(ISNUMBER(L260),L260*CTL_PriceLife*CTL_Monetize,L260)</f>
        <v>194.487030489564</v>
      </c>
      <c r="M261" s="206" t="n">
        <f aca="false">IF(ISNUMBER(M260),M260*CTL_PriceLife*CTL_Monetize,M260)</f>
        <v>194.487030489564</v>
      </c>
      <c r="N261" s="206" t="n">
        <f aca="false">IF(ISNUMBER(N260),N260*CTL_PriceLife*CTL_Monetize,N260)</f>
        <v>194.487030489564</v>
      </c>
      <c r="O261" s="206" t="n">
        <f aca="false">IF(ISNUMBER(O260),O260*CTL_PriceLife*CTL_Monetize,O260)</f>
        <v>267.350473844666</v>
      </c>
      <c r="P261" s="206" t="n">
        <f aca="false">IF(ISNUMBER(P260),P260*CTL_PriceLife*CTL_Monetize,P260)</f>
        <v>267.350473844666</v>
      </c>
      <c r="Q261" s="206" t="n">
        <f aca="false">IF(ISNUMBER(Q260),Q260*CTL_PriceLife*CTL_Monetize,Q260)</f>
        <v>267.350473844666</v>
      </c>
      <c r="R26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2538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2591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2585</v>
      </c>
    </row>
    <row r="263" customFormat="false" ht="15" hidden="false" customHeight="true" outlineLevel="0" collapsed="false">
      <c r="A263" s="41" t="s">
        <v>2596</v>
      </c>
      <c r="B263" s="28" t="s">
        <v>1739</v>
      </c>
      <c r="C263" s="206" t="n">
        <f aca="false">IF(ISNUMBER(C138),C138/IF_Util,C138)</f>
        <v>30.0128660956626</v>
      </c>
      <c r="D263" s="206" t="n">
        <f aca="false">IF(ISNUMBER(D138),D138/IF_Util,D138)</f>
        <v>30.0128660956626</v>
      </c>
      <c r="E263" s="206" t="n">
        <f aca="false">IF(ISNUMBER(E138),E138/IF_Util,E138)</f>
        <v>30.0128660956626</v>
      </c>
      <c r="F263" s="206" t="n">
        <f aca="false">IF(ISNUMBER(F138),F138/IF_Util,F138)</f>
        <v>155.168368680523</v>
      </c>
      <c r="G263" s="206" t="n">
        <f aca="false">IF(ISNUMBER(G138),G138/IF_Util,G138)</f>
        <v>155.168368680523</v>
      </c>
      <c r="H263" s="206" t="n">
        <f aca="false">IF(ISNUMBER(H138),H138/IF_Util,H138)</f>
        <v>155.168368680523</v>
      </c>
      <c r="I263" s="206" t="n">
        <f aca="false">IF(ISNUMBER(I138),I138/IF_Util,I138)</f>
        <v>187.626852333956</v>
      </c>
      <c r="J263" s="206" t="n">
        <f aca="false">IF(ISNUMBER(J138),J138/IF_Util,J138)</f>
        <v>187.626852333956</v>
      </c>
      <c r="K263" s="206" t="n">
        <f aca="false">IF(ISNUMBER(K138),K138/IF_Util,K138)</f>
        <v>187.626852333956</v>
      </c>
      <c r="L263" s="206" t="n">
        <f aca="false">IF(ISNUMBER(L138),L138/IF_Util,L138)</f>
        <v>396.153179292518</v>
      </c>
      <c r="M263" s="206" t="n">
        <f aca="false">IF(ISNUMBER(M138),M138/IF_Util,M138)</f>
        <v>396.153179292518</v>
      </c>
      <c r="N263" s="206" t="n">
        <f aca="false">IF(ISNUMBER(N138),N138/IF_Util,N138)</f>
        <v>396.153179292518</v>
      </c>
      <c r="O263" s="206" t="n">
        <f aca="false">IF(ISNUMBER(O138),O138/IF_Util,O138)</f>
        <v>576.028734834064</v>
      </c>
      <c r="P263" s="206" t="n">
        <f aca="false">IF(ISNUMBER(P138),P138/IF_Util,P138)</f>
        <v>576.028734834064</v>
      </c>
      <c r="Q263" s="206" t="n">
        <f aca="false">IF(ISNUMBER(Q138),Q138/IF_Util,Q138)</f>
        <v>576.028734834064</v>
      </c>
      <c r="R26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2315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2407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2597</v>
      </c>
      <c r="B264" s="28" t="s">
        <v>1739</v>
      </c>
      <c r="C264" s="206" t="n">
        <f aca="false">C138</f>
        <v>18.0077196573975</v>
      </c>
      <c r="D264" s="206" t="n">
        <f aca="false">D138</f>
        <v>18.0077196573975</v>
      </c>
      <c r="E264" s="206" t="n">
        <f aca="false">E138</f>
        <v>18.0077196573975</v>
      </c>
      <c r="F264" s="206" t="n">
        <f aca="false">F138</f>
        <v>93.101021208314</v>
      </c>
      <c r="G264" s="206" t="n">
        <f aca="false">G138</f>
        <v>93.101021208314</v>
      </c>
      <c r="H264" s="206" t="n">
        <f aca="false">H138</f>
        <v>93.101021208314</v>
      </c>
      <c r="I264" s="206" t="n">
        <f aca="false">I138</f>
        <v>112.576111400374</v>
      </c>
      <c r="J264" s="206" t="n">
        <f aca="false">J138</f>
        <v>112.576111400374</v>
      </c>
      <c r="K264" s="206" t="n">
        <f aca="false">K138</f>
        <v>112.576111400374</v>
      </c>
      <c r="L264" s="206" t="n">
        <f aca="false">L138</f>
        <v>237.691907575511</v>
      </c>
      <c r="M264" s="206" t="n">
        <f aca="false">M138</f>
        <v>237.691907575511</v>
      </c>
      <c r="N264" s="206" t="n">
        <f aca="false">N138</f>
        <v>237.691907575511</v>
      </c>
      <c r="O264" s="206" t="n">
        <f aca="false">O138</f>
        <v>345.617240900439</v>
      </c>
      <c r="P264" s="206" t="n">
        <f aca="false">P138</f>
        <v>345.617240900439</v>
      </c>
      <c r="Q264" s="206" t="n">
        <f aca="false">Q138</f>
        <v>345.617240900439</v>
      </c>
      <c r="R26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2340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2407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2598</v>
      </c>
      <c r="B265" s="28" t="s">
        <v>1739</v>
      </c>
      <c r="C265" s="206" t="n">
        <f aca="false">IF(ISNUMBER(C264),C264*CTL_ProdDerate,C264)</f>
        <v>15.3065617087879</v>
      </c>
      <c r="D265" s="206" t="n">
        <f aca="false">IF(ISNUMBER(D264),D264*CTL_ProdDerate,D264)</f>
        <v>15.3065617087879</v>
      </c>
      <c r="E265" s="206" t="n">
        <f aca="false">IF(ISNUMBER(E264),E264*CTL_ProdDerate,E264)</f>
        <v>15.3065617087879</v>
      </c>
      <c r="F265" s="206" t="n">
        <f aca="false">IF(ISNUMBER(F264),F264*CTL_ProdDerate,F264)</f>
        <v>79.1358680270669</v>
      </c>
      <c r="G265" s="206" t="n">
        <f aca="false">IF(ISNUMBER(G264),G264*CTL_ProdDerate,G264)</f>
        <v>79.1358680270669</v>
      </c>
      <c r="H265" s="206" t="n">
        <f aca="false">IF(ISNUMBER(H264),H264*CTL_ProdDerate,H264)</f>
        <v>79.1358680270669</v>
      </c>
      <c r="I265" s="206" t="n">
        <f aca="false">IF(ISNUMBER(I264),I264*CTL_ProdDerate,I264)</f>
        <v>95.6896946903175</v>
      </c>
      <c r="J265" s="206" t="n">
        <f aca="false">IF(ISNUMBER(J264),J264*CTL_ProdDerate,J264)</f>
        <v>95.6896946903175</v>
      </c>
      <c r="K265" s="206" t="n">
        <f aca="false">IF(ISNUMBER(K264),K264*CTL_ProdDerate,K264)</f>
        <v>95.6896946903175</v>
      </c>
      <c r="L265" s="206" t="n">
        <f aca="false">IF(ISNUMBER(L264),L264*CTL_ProdDerate,L264)</f>
        <v>202.038121439184</v>
      </c>
      <c r="M265" s="206" t="n">
        <f aca="false">IF(ISNUMBER(M264),M264*CTL_ProdDerate,M264)</f>
        <v>202.038121439184</v>
      </c>
      <c r="N265" s="206" t="n">
        <f aca="false">IF(ISNUMBER(N264),N264*CTL_ProdDerate,N264)</f>
        <v>202.038121439184</v>
      </c>
      <c r="O265" s="206" t="n">
        <f aca="false">IF(ISNUMBER(O264),O264*CTL_ProdDerate,O264)</f>
        <v>293.774654765373</v>
      </c>
      <c r="P265" s="206" t="n">
        <f aca="false">IF(ISNUMBER(P264),P264*CTL_ProdDerate,P264)</f>
        <v>293.774654765373</v>
      </c>
      <c r="Q265" s="206" t="n">
        <f aca="false">IF(ISNUMBER(Q264),Q264*CTL_ProdDerate,Q264)</f>
        <v>293.774654765373</v>
      </c>
      <c r="R26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2526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2589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2599</v>
      </c>
      <c r="B266" s="28" t="s">
        <v>1739</v>
      </c>
      <c r="C266" s="206" t="n">
        <f aca="false">IF(ISNUMBER(C265),C265*CTL_PriceLife*CTL_Monetize,C265)</f>
        <v>15.3065617087879</v>
      </c>
      <c r="D266" s="206" t="n">
        <f aca="false">IF(ISNUMBER(D265),D265*CTL_PriceLife*CTL_Monetize,D265)</f>
        <v>15.3065617087879</v>
      </c>
      <c r="E266" s="206" t="n">
        <f aca="false">IF(ISNUMBER(E265),E265*CTL_PriceLife*CTL_Monetize,E265)</f>
        <v>15.3065617087879</v>
      </c>
      <c r="F266" s="206" t="n">
        <f aca="false">IF(ISNUMBER(F265),F265*CTL_PriceLife*CTL_Monetize,F265)</f>
        <v>79.1358680270669</v>
      </c>
      <c r="G266" s="206" t="n">
        <f aca="false">IF(ISNUMBER(G265),G265*CTL_PriceLife*CTL_Monetize,G265)</f>
        <v>79.1358680270669</v>
      </c>
      <c r="H266" s="206" t="n">
        <f aca="false">IF(ISNUMBER(H265),H265*CTL_PriceLife*CTL_Monetize,H265)</f>
        <v>79.1358680270669</v>
      </c>
      <c r="I266" s="206" t="n">
        <f aca="false">IF(ISNUMBER(I265),I265*CTL_PriceLife*CTL_Monetize,I265)</f>
        <v>95.6896946903175</v>
      </c>
      <c r="J266" s="206" t="n">
        <f aca="false">IF(ISNUMBER(J265),J265*CTL_PriceLife*CTL_Monetize,J265)</f>
        <v>95.6896946903175</v>
      </c>
      <c r="K266" s="206" t="n">
        <f aca="false">IF(ISNUMBER(K265),K265*CTL_PriceLife*CTL_Monetize,K265)</f>
        <v>95.6896946903175</v>
      </c>
      <c r="L266" s="206" t="n">
        <f aca="false">IF(ISNUMBER(L265),L265*CTL_PriceLife*CTL_Monetize,L265)</f>
        <v>202.038121439184</v>
      </c>
      <c r="M266" s="206" t="n">
        <f aca="false">IF(ISNUMBER(M265),M265*CTL_PriceLife*CTL_Monetize,M265)</f>
        <v>202.038121439184</v>
      </c>
      <c r="N266" s="206" t="n">
        <f aca="false">IF(ISNUMBER(N265),N265*CTL_PriceLife*CTL_Monetize,N265)</f>
        <v>202.038121439184</v>
      </c>
      <c r="O266" s="206" t="n">
        <f aca="false">IF(ISNUMBER(O265),O265*CTL_PriceLife*CTL_Monetize,O265)</f>
        <v>293.774654765373</v>
      </c>
      <c r="P266" s="206" t="n">
        <f aca="false">IF(ISNUMBER(P265),P265*CTL_PriceLife*CTL_Monetize,P265)</f>
        <v>293.774654765373</v>
      </c>
      <c r="Q266" s="206" t="n">
        <f aca="false">IF(ISNUMBER(Q265),Q265*CTL_PriceLife*CTL_Monetize,Q265)</f>
        <v>293.774654765373</v>
      </c>
      <c r="R26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2538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2591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2600</v>
      </c>
    </row>
    <row r="268" customFormat="false" ht="15" hidden="false" customHeight="true" outlineLevel="0" collapsed="false">
      <c r="A268" s="41" t="s">
        <v>2601</v>
      </c>
      <c r="B268" s="28" t="s">
        <v>1739</v>
      </c>
      <c r="C268" s="206" t="n">
        <f aca="false">IF(ISNUMBER(C147),C147/IF_Util,C147)</f>
        <v>6.52502180619395</v>
      </c>
      <c r="D268" s="206" t="n">
        <f aca="false">IF(ISNUMBER(D147),D147/IF_Util,D147)</f>
        <v>6.52502180619395</v>
      </c>
      <c r="E268" s="206" t="n">
        <f aca="false">IF(ISNUMBER(E147),E147/IF_Util,E147)</f>
        <v>6.52502180619395</v>
      </c>
      <c r="F268" s="206" t="n">
        <f aca="false">IF(ISNUMBER(F147),F147/IF_Util,F147)</f>
        <v>32.8697872816951</v>
      </c>
      <c r="G268" s="206" t="n">
        <f aca="false">IF(ISNUMBER(G147),G147/IF_Util,G147)</f>
        <v>32.8697872816951</v>
      </c>
      <c r="H268" s="206" t="n">
        <f aca="false">IF(ISNUMBER(H147),H147/IF_Util,H147)</f>
        <v>32.8697872816951</v>
      </c>
      <c r="I268" s="206" t="n">
        <f aca="false">IF(ISNUMBER(I147),I147/IF_Util,I147)</f>
        <v>42.7930185285984</v>
      </c>
      <c r="J268" s="206" t="n">
        <f aca="false">IF(ISNUMBER(J147),J147/IF_Util,J147)</f>
        <v>42.7930185285984</v>
      </c>
      <c r="K268" s="206" t="n">
        <f aca="false">IF(ISNUMBER(K147),K147/IF_Util,K147)</f>
        <v>42.7930185285984</v>
      </c>
      <c r="L268" s="206" t="n">
        <f aca="false">IF(ISNUMBER(L147),L147/IF_Util,L147)</f>
        <v>79.3838024058832</v>
      </c>
      <c r="M268" s="206" t="n">
        <f aca="false">IF(ISNUMBER(M147),M147/IF_Util,M147)</f>
        <v>79.3838024058832</v>
      </c>
      <c r="N268" s="206" t="n">
        <f aca="false">IF(ISNUMBER(N147),N147/IF_Util,N147)</f>
        <v>79.3838024058832</v>
      </c>
      <c r="O268" s="206" t="n">
        <f aca="false">IF(ISNUMBER(O147),O147/IF_Util,O147)</f>
        <v>112.301339995192</v>
      </c>
      <c r="P268" s="206" t="n">
        <f aca="false">IF(ISNUMBER(P147),P147/IF_Util,P147)</f>
        <v>112.301339995192</v>
      </c>
      <c r="Q268" s="206" t="n">
        <f aca="false">IF(ISNUMBER(Q147),Q147/IF_Util,Q147)</f>
        <v>112.301339995192</v>
      </c>
      <c r="R26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2315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2450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2602</v>
      </c>
      <c r="B269" s="28" t="s">
        <v>1739</v>
      </c>
      <c r="C269" s="206" t="n">
        <f aca="false">C147</f>
        <v>3.91501308371637</v>
      </c>
      <c r="D269" s="206" t="n">
        <f aca="false">D147</f>
        <v>3.91501308371637</v>
      </c>
      <c r="E269" s="206" t="n">
        <f aca="false">E147</f>
        <v>3.91501308371637</v>
      </c>
      <c r="F269" s="206" t="n">
        <f aca="false">F147</f>
        <v>19.7218723690171</v>
      </c>
      <c r="G269" s="206" t="n">
        <f aca="false">G147</f>
        <v>19.7218723690171</v>
      </c>
      <c r="H269" s="206" t="n">
        <f aca="false">H147</f>
        <v>19.7218723690171</v>
      </c>
      <c r="I269" s="206" t="n">
        <f aca="false">I147</f>
        <v>25.6758111171591</v>
      </c>
      <c r="J269" s="206" t="n">
        <f aca="false">J147</f>
        <v>25.6758111171591</v>
      </c>
      <c r="K269" s="206" t="n">
        <f aca="false">K147</f>
        <v>25.6758111171591</v>
      </c>
      <c r="L269" s="206" t="n">
        <f aca="false">L147</f>
        <v>47.6302814435299</v>
      </c>
      <c r="M269" s="206" t="n">
        <f aca="false">M147</f>
        <v>47.6302814435299</v>
      </c>
      <c r="N269" s="206" t="n">
        <f aca="false">N147</f>
        <v>47.6302814435299</v>
      </c>
      <c r="O269" s="206" t="n">
        <f aca="false">O147</f>
        <v>67.3808039971155</v>
      </c>
      <c r="P269" s="206" t="n">
        <f aca="false">P147</f>
        <v>67.3808039971155</v>
      </c>
      <c r="Q269" s="206" t="n">
        <f aca="false">Q147</f>
        <v>67.3808039971155</v>
      </c>
      <c r="R26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2340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2450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2603</v>
      </c>
      <c r="B270" s="28" t="s">
        <v>1739</v>
      </c>
      <c r="C270" s="206" t="n">
        <f aca="false">IF(ISNUMBER(C269),C269*CTL_ProdDerate,C269)</f>
        <v>3.32776112115891</v>
      </c>
      <c r="D270" s="206" t="n">
        <f aca="false">IF(ISNUMBER(D269),D269*CTL_ProdDerate,D269)</f>
        <v>3.32776112115891</v>
      </c>
      <c r="E270" s="206" t="n">
        <f aca="false">IF(ISNUMBER(E269),E269*CTL_ProdDerate,E269)</f>
        <v>3.32776112115891</v>
      </c>
      <c r="F270" s="206" t="n">
        <f aca="false">IF(ISNUMBER(F269),F269*CTL_ProdDerate,F269)</f>
        <v>16.7635915136645</v>
      </c>
      <c r="G270" s="206" t="n">
        <f aca="false">IF(ISNUMBER(G269),G269*CTL_ProdDerate,G269)</f>
        <v>16.7635915136645</v>
      </c>
      <c r="H270" s="206" t="n">
        <f aca="false">IF(ISNUMBER(H269),H269*CTL_ProdDerate,H269)</f>
        <v>16.7635915136645</v>
      </c>
      <c r="I270" s="206" t="n">
        <f aca="false">IF(ISNUMBER(I269),I269*CTL_ProdDerate,I269)</f>
        <v>21.8244394495852</v>
      </c>
      <c r="J270" s="206" t="n">
        <f aca="false">IF(ISNUMBER(J269),J269*CTL_ProdDerate,J269)</f>
        <v>21.8244394495852</v>
      </c>
      <c r="K270" s="206" t="n">
        <f aca="false">IF(ISNUMBER(K269),K269*CTL_ProdDerate,K269)</f>
        <v>21.8244394495852</v>
      </c>
      <c r="L270" s="206" t="n">
        <f aca="false">IF(ISNUMBER(L269),L269*CTL_ProdDerate,L269)</f>
        <v>40.4857392270004</v>
      </c>
      <c r="M270" s="206" t="n">
        <f aca="false">IF(ISNUMBER(M269),M269*CTL_ProdDerate,M269)</f>
        <v>40.4857392270004</v>
      </c>
      <c r="N270" s="206" t="n">
        <f aca="false">IF(ISNUMBER(N269),N269*CTL_ProdDerate,N269)</f>
        <v>40.4857392270004</v>
      </c>
      <c r="O270" s="206" t="n">
        <f aca="false">IF(ISNUMBER(O269),O269*CTL_ProdDerate,O269)</f>
        <v>57.2736833975481</v>
      </c>
      <c r="P270" s="206" t="n">
        <f aca="false">IF(ISNUMBER(P269),P269*CTL_ProdDerate,P269)</f>
        <v>57.2736833975481</v>
      </c>
      <c r="Q270" s="206" t="n">
        <f aca="false">IF(ISNUMBER(Q269),Q269*CTL_ProdDerate,Q269)</f>
        <v>57.2736833975481</v>
      </c>
      <c r="R27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2526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2604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2605</v>
      </c>
      <c r="B271" s="28" t="s">
        <v>1739</v>
      </c>
      <c r="C271" s="206" t="n">
        <f aca="false">IF(ISNUMBER(C270),C270*CTL_PriceLife*CTL_Monetize,C270)</f>
        <v>3.32776112115891</v>
      </c>
      <c r="D271" s="206" t="n">
        <f aca="false">IF(ISNUMBER(D270),D270*CTL_PriceLife*CTL_Monetize,D270)</f>
        <v>3.32776112115891</v>
      </c>
      <c r="E271" s="206" t="n">
        <f aca="false">IF(ISNUMBER(E270),E270*CTL_PriceLife*CTL_Monetize,E270)</f>
        <v>3.32776112115891</v>
      </c>
      <c r="F271" s="206" t="n">
        <f aca="false">IF(ISNUMBER(F270),F270*CTL_PriceLife*CTL_Monetize,F270)</f>
        <v>16.7635915136645</v>
      </c>
      <c r="G271" s="206" t="n">
        <f aca="false">IF(ISNUMBER(G270),G270*CTL_PriceLife*CTL_Monetize,G270)</f>
        <v>16.7635915136645</v>
      </c>
      <c r="H271" s="206" t="n">
        <f aca="false">IF(ISNUMBER(H270),H270*CTL_PriceLife*CTL_Monetize,H270)</f>
        <v>16.7635915136645</v>
      </c>
      <c r="I271" s="206" t="n">
        <f aca="false">IF(ISNUMBER(I270),I270*CTL_PriceLife*CTL_Monetize,I270)</f>
        <v>21.8244394495852</v>
      </c>
      <c r="J271" s="206" t="n">
        <f aca="false">IF(ISNUMBER(J270),J270*CTL_PriceLife*CTL_Monetize,J270)</f>
        <v>21.8244394495852</v>
      </c>
      <c r="K271" s="206" t="n">
        <f aca="false">IF(ISNUMBER(K270),K270*CTL_PriceLife*CTL_Monetize,K270)</f>
        <v>21.8244394495852</v>
      </c>
      <c r="L271" s="206" t="n">
        <f aca="false">IF(ISNUMBER(L270),L270*CTL_PriceLife*CTL_Monetize,L270)</f>
        <v>40.4857392270004</v>
      </c>
      <c r="M271" s="206" t="n">
        <f aca="false">IF(ISNUMBER(M270),M270*CTL_PriceLife*CTL_Monetize,M270)</f>
        <v>40.4857392270004</v>
      </c>
      <c r="N271" s="206" t="n">
        <f aca="false">IF(ISNUMBER(N270),N270*CTL_PriceLife*CTL_Monetize,N270)</f>
        <v>40.4857392270004</v>
      </c>
      <c r="O271" s="206" t="n">
        <f aca="false">IF(ISNUMBER(O270),O270*CTL_PriceLife*CTL_Monetize,O270)</f>
        <v>57.2736833975481</v>
      </c>
      <c r="P271" s="206" t="n">
        <f aca="false">IF(ISNUMBER(P270),P270*CTL_PriceLife*CTL_Monetize,P270)</f>
        <v>57.2736833975481</v>
      </c>
      <c r="Q271" s="206" t="n">
        <f aca="false">IF(ISNUMBER(Q270),Q270*CTL_PriceLife*CTL_Monetize,Q270)</f>
        <v>57.2736833975481</v>
      </c>
      <c r="R27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2538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2606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2607</v>
      </c>
    </row>
    <row r="273" customFormat="false" ht="15" hidden="false" customHeight="true" outlineLevel="0" collapsed="false">
      <c r="A273" s="41" t="s">
        <v>2608</v>
      </c>
      <c r="B273" s="28" t="s">
        <v>783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2315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2318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2609</v>
      </c>
      <c r="B274" s="28" t="s">
        <v>783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2340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2610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2611</v>
      </c>
      <c r="B275" s="28" t="s">
        <v>783</v>
      </c>
      <c r="C275" s="54" t="n">
        <f aca="false">IF(ISNUMBER(C274),C274*CTL_ProdDerate,C274)</f>
        <v>37774298165.5104</v>
      </c>
      <c r="D275" s="54" t="n">
        <f aca="false">IF(ISNUMBER(D274),D274*CTL_ProdDerate,D274)</f>
        <v>37774298165.5104</v>
      </c>
      <c r="E275" s="54" t="n">
        <f aca="false">IF(ISNUMBER(E274),E274*CTL_ProdDerate,E274)</f>
        <v>37774298165.5104</v>
      </c>
      <c r="F275" s="54" t="n">
        <f aca="false">IF(ISNUMBER(F274),F274*CTL_ProdDerate,F274)</f>
        <v>184776515983.663</v>
      </c>
      <c r="G275" s="54" t="n">
        <f aca="false">IF(ISNUMBER(G274),G274*CTL_ProdDerate,G274)</f>
        <v>184776515983.663</v>
      </c>
      <c r="H275" s="54" t="n">
        <f aca="false">IF(ISNUMBER(H274),H274*CTL_ProdDerate,H274)</f>
        <v>184776515983.663</v>
      </c>
      <c r="I275" s="54" t="n">
        <f aca="false">IF(ISNUMBER(I274),I274*CTL_ProdDerate,I274)</f>
        <v>269011699120.425</v>
      </c>
      <c r="J275" s="54" t="n">
        <f aca="false">IF(ISNUMBER(J274),J274*CTL_ProdDerate,J274)</f>
        <v>269011699120.425</v>
      </c>
      <c r="K275" s="54" t="n">
        <f aca="false">IF(ISNUMBER(K274),K274*CTL_ProdDerate,K274)</f>
        <v>269011699120.425</v>
      </c>
      <c r="L275" s="54" t="n">
        <f aca="false">IF(ISNUMBER(L274),L274*CTL_ProdDerate,L274)</f>
        <v>394116984506.657</v>
      </c>
      <c r="M275" s="54" t="n">
        <f aca="false">IF(ISNUMBER(M274),M274*CTL_ProdDerate,M274)</f>
        <v>394116984506.657</v>
      </c>
      <c r="N275" s="54" t="n">
        <f aca="false">IF(ISNUMBER(N274),N274*CTL_ProdDerate,N274)</f>
        <v>394116984506.657</v>
      </c>
      <c r="O275" s="54" t="n">
        <f aca="false">IF(ISNUMBER(O274),O274*CTL_ProdDerate,O274)</f>
        <v>532630593659.268</v>
      </c>
      <c r="P275" s="54" t="n">
        <f aca="false">IF(ISNUMBER(P274),P274*CTL_ProdDerate,P274)</f>
        <v>532630593659.268</v>
      </c>
      <c r="Q275" s="54" t="n">
        <f aca="false">IF(ISNUMBER(Q274),Q274*CTL_ProdDerate,Q274)</f>
        <v>532630593659.268</v>
      </c>
      <c r="R27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2526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2612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2613</v>
      </c>
      <c r="B276" s="28" t="s">
        <v>783</v>
      </c>
      <c r="C276" s="54" t="n">
        <f aca="false">IF(ISNUMBER(C275),C275*1,C275)</f>
        <v>37774298165.5104</v>
      </c>
      <c r="D276" s="54" t="n">
        <f aca="false">IF(ISNUMBER(D275),D275*1,D275)</f>
        <v>37774298165.5104</v>
      </c>
      <c r="E276" s="54" t="n">
        <f aca="false">IF(ISNUMBER(E275),E275*1,E275)</f>
        <v>37774298165.5104</v>
      </c>
      <c r="F276" s="54" t="n">
        <f aca="false">IF(ISNUMBER(F275),F275*1,F275)</f>
        <v>184776515983.663</v>
      </c>
      <c r="G276" s="54" t="n">
        <f aca="false">IF(ISNUMBER(G275),G275*1,G275)</f>
        <v>184776515983.663</v>
      </c>
      <c r="H276" s="54" t="n">
        <f aca="false">IF(ISNUMBER(H275),H275*1,H275)</f>
        <v>184776515983.663</v>
      </c>
      <c r="I276" s="54" t="n">
        <f aca="false">IF(ISNUMBER(I275),I275*1,I275)</f>
        <v>269011699120.425</v>
      </c>
      <c r="J276" s="54" t="n">
        <f aca="false">IF(ISNUMBER(J275),J275*1,J275)</f>
        <v>269011699120.425</v>
      </c>
      <c r="K276" s="54" t="n">
        <f aca="false">IF(ISNUMBER(K275),K275*1,K275)</f>
        <v>269011699120.425</v>
      </c>
      <c r="L276" s="54" t="n">
        <f aca="false">IF(ISNUMBER(L275),L275*1,L275)</f>
        <v>394116984506.657</v>
      </c>
      <c r="M276" s="54" t="n">
        <f aca="false">IF(ISNUMBER(M275),M275*1,M275)</f>
        <v>394116984506.657</v>
      </c>
      <c r="N276" s="54" t="n">
        <f aca="false">IF(ISNUMBER(N275),N275*1,N275)</f>
        <v>394116984506.657</v>
      </c>
      <c r="O276" s="54" t="n">
        <f aca="false">IF(ISNUMBER(O275),O275*1,O275)</f>
        <v>532630593659.268</v>
      </c>
      <c r="P276" s="54" t="n">
        <f aca="false">IF(ISNUMBER(P275),P275*1,P275)</f>
        <v>532630593659.268</v>
      </c>
      <c r="Q276" s="54" t="n">
        <f aca="false">IF(ISNUMBER(Q275),Q275*1,Q275)</f>
        <v>532630593659.268</v>
      </c>
      <c r="R27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2538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2612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2607</v>
      </c>
    </row>
    <row r="278" customFormat="false" ht="15" hidden="false" customHeight="true" outlineLevel="0" collapsed="false">
      <c r="A278" s="41" t="s">
        <v>2614</v>
      </c>
      <c r="B278" s="28" t="s">
        <v>783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2315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2318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2615</v>
      </c>
      <c r="B279" s="28" t="s">
        <v>783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2340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2610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2616</v>
      </c>
      <c r="B280" s="28" t="s">
        <v>783</v>
      </c>
      <c r="C280" s="54" t="n">
        <f aca="false">IF(ISNUMBER(C279),C279*CTL_ProdDerate,C279)</f>
        <v>10960119139.5659</v>
      </c>
      <c r="D280" s="54" t="n">
        <f aca="false">IF(ISNUMBER(D279),D279*CTL_ProdDerate,D279)</f>
        <v>10960119139.5659</v>
      </c>
      <c r="E280" s="54" t="n">
        <f aca="false">IF(ISNUMBER(E279),E279*CTL_ProdDerate,E279)</f>
        <v>10960119139.5659</v>
      </c>
      <c r="F280" s="54" t="n">
        <f aca="false">IF(ISNUMBER(F279),F279*CTL_ProdDerate,F279)</f>
        <v>53103954551.14</v>
      </c>
      <c r="G280" s="54" t="n">
        <f aca="false">IF(ISNUMBER(G279),G279*CTL_ProdDerate,G279)</f>
        <v>53103954551.14</v>
      </c>
      <c r="H280" s="54" t="n">
        <f aca="false">IF(ISNUMBER(H279),H279*CTL_ProdDerate,H279)</f>
        <v>53103954551.14</v>
      </c>
      <c r="I280" s="54" t="n">
        <f aca="false">IF(ISNUMBER(I279),I279*CTL_ProdDerate,I279)</f>
        <v>77312774124.8195</v>
      </c>
      <c r="J280" s="54" t="n">
        <f aca="false">IF(ISNUMBER(J279),J279*CTL_ProdDerate,J279)</f>
        <v>77312774124.8195</v>
      </c>
      <c r="K280" s="54" t="n">
        <f aca="false">IF(ISNUMBER(K279),K279*CTL_ProdDerate,K279)</f>
        <v>77312774124.8195</v>
      </c>
      <c r="L280" s="54" t="n">
        <f aca="false">IF(ISNUMBER(L279),L279*CTL_ProdDerate,L279)</f>
        <v>121016542754.845</v>
      </c>
      <c r="M280" s="54" t="n">
        <f aca="false">IF(ISNUMBER(M279),M279*CTL_ProdDerate,M279)</f>
        <v>121016542754.845</v>
      </c>
      <c r="N280" s="54" t="n">
        <f aca="false">IF(ISNUMBER(N279),N279*CTL_ProdDerate,N279)</f>
        <v>121016542754.845</v>
      </c>
      <c r="O280" s="54" t="n">
        <f aca="false">IF(ISNUMBER(O279),O279*CTL_ProdDerate,O279)</f>
        <v>166354691966.399</v>
      </c>
      <c r="P280" s="54" t="n">
        <f aca="false">IF(ISNUMBER(P279),P279*CTL_ProdDerate,P279)</f>
        <v>166354691966.399</v>
      </c>
      <c r="Q280" s="54" t="n">
        <f aca="false">IF(ISNUMBER(Q279),Q279*CTL_ProdDerate,Q279)</f>
        <v>166354691966.399</v>
      </c>
      <c r="R28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2526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2612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2617</v>
      </c>
      <c r="B281" s="28" t="s">
        <v>783</v>
      </c>
      <c r="C281" s="54" t="n">
        <f aca="false">IF(ISNUMBER(C280),C280*1,C280)</f>
        <v>10960119139.5659</v>
      </c>
      <c r="D281" s="54" t="n">
        <f aca="false">IF(ISNUMBER(D280),D280*1,D280)</f>
        <v>10960119139.5659</v>
      </c>
      <c r="E281" s="54" t="n">
        <f aca="false">IF(ISNUMBER(E280),E280*1,E280)</f>
        <v>10960119139.5659</v>
      </c>
      <c r="F281" s="54" t="n">
        <f aca="false">IF(ISNUMBER(F280),F280*1,F280)</f>
        <v>53103954551.14</v>
      </c>
      <c r="G281" s="54" t="n">
        <f aca="false">IF(ISNUMBER(G280),G280*1,G280)</f>
        <v>53103954551.14</v>
      </c>
      <c r="H281" s="54" t="n">
        <f aca="false">IF(ISNUMBER(H280),H280*1,H280)</f>
        <v>53103954551.14</v>
      </c>
      <c r="I281" s="54" t="n">
        <f aca="false">IF(ISNUMBER(I280),I280*1,I280)</f>
        <v>77312774124.8195</v>
      </c>
      <c r="J281" s="54" t="n">
        <f aca="false">IF(ISNUMBER(J280),J280*1,J280)</f>
        <v>77312774124.8195</v>
      </c>
      <c r="K281" s="54" t="n">
        <f aca="false">IF(ISNUMBER(K280),K280*1,K280)</f>
        <v>77312774124.8195</v>
      </c>
      <c r="L281" s="54" t="n">
        <f aca="false">IF(ISNUMBER(L280),L280*1,L280)</f>
        <v>121016542754.845</v>
      </c>
      <c r="M281" s="54" t="n">
        <f aca="false">IF(ISNUMBER(M280),M280*1,M280)</f>
        <v>121016542754.845</v>
      </c>
      <c r="N281" s="54" t="n">
        <f aca="false">IF(ISNUMBER(N280),N280*1,N280)</f>
        <v>121016542754.845</v>
      </c>
      <c r="O281" s="54" t="n">
        <f aca="false">IF(ISNUMBER(O280),O280*1,O280)</f>
        <v>166354691966.399</v>
      </c>
      <c r="P281" s="54" t="n">
        <f aca="false">IF(ISNUMBER(P280),P280*1,P280)</f>
        <v>166354691966.399</v>
      </c>
      <c r="Q281" s="54" t="n">
        <f aca="false">IF(ISNUMBER(Q280),Q280*1,Q280)</f>
        <v>166354691966.399</v>
      </c>
      <c r="R28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2538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2612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2607</v>
      </c>
    </row>
    <row r="283" customFormat="false" ht="15" hidden="false" customHeight="true" outlineLevel="0" collapsed="false">
      <c r="A283" s="41" t="s">
        <v>2618</v>
      </c>
      <c r="B283" s="28" t="s">
        <v>783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2315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2318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2619</v>
      </c>
      <c r="B284" s="28" t="s">
        <v>783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2340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2610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2620</v>
      </c>
      <c r="B285" s="28" t="s">
        <v>783</v>
      </c>
      <c r="C285" s="54" t="n">
        <f aca="false">IF(ISNUMBER(C284),C284*CTL_ProdDerate,C284)</f>
        <v>1977024330.9284</v>
      </c>
      <c r="D285" s="54" t="n">
        <f aca="false">IF(ISNUMBER(D284),D284*CTL_ProdDerate,D284)</f>
        <v>1977024330.9284</v>
      </c>
      <c r="E285" s="54" t="n">
        <f aca="false">IF(ISNUMBER(E284),E284*CTL_ProdDerate,E284)</f>
        <v>1977024330.9284</v>
      </c>
      <c r="F285" s="54" t="n">
        <f aca="false">IF(ISNUMBER(F284),F284*CTL_ProdDerate,F284)</f>
        <v>10221337718.7658</v>
      </c>
      <c r="G285" s="54" t="n">
        <f aca="false">IF(ISNUMBER(G284),G284*CTL_ProdDerate,G284)</f>
        <v>10221337718.7658</v>
      </c>
      <c r="H285" s="54" t="n">
        <f aca="false">IF(ISNUMBER(H284),H284*CTL_ProdDerate,H284)</f>
        <v>10221337718.7658</v>
      </c>
      <c r="I285" s="54" t="n">
        <f aca="false">IF(ISNUMBER(I284),I284*CTL_ProdDerate,I284)</f>
        <v>12359461139.6794</v>
      </c>
      <c r="J285" s="54" t="n">
        <f aca="false">IF(ISNUMBER(J284),J284*CTL_ProdDerate,J284)</f>
        <v>12359461139.6794</v>
      </c>
      <c r="K285" s="54" t="n">
        <f aca="false">IF(ISNUMBER(K284),K284*CTL_ProdDerate,K284)</f>
        <v>12359461139.6794</v>
      </c>
      <c r="L285" s="54" t="n">
        <f aca="false">IF(ISNUMBER(L284),L284*CTL_ProdDerate,L284)</f>
        <v>26095624181.2953</v>
      </c>
      <c r="M285" s="54" t="n">
        <f aca="false">IF(ISNUMBER(M284),M284*CTL_ProdDerate,M284)</f>
        <v>26095624181.2953</v>
      </c>
      <c r="N285" s="54" t="n">
        <f aca="false">IF(ISNUMBER(N284),N284*CTL_ProdDerate,N284)</f>
        <v>26095624181.2953</v>
      </c>
      <c r="O285" s="54" t="n">
        <f aca="false">IF(ISNUMBER(O284),O284*CTL_ProdDerate,O284)</f>
        <v>37944487555.803</v>
      </c>
      <c r="P285" s="54" t="n">
        <f aca="false">IF(ISNUMBER(P284),P284*CTL_ProdDerate,P284)</f>
        <v>37944487555.803</v>
      </c>
      <c r="Q285" s="54" t="n">
        <f aca="false">IF(ISNUMBER(Q284),Q284*CTL_ProdDerate,Q284)</f>
        <v>37944487555.803</v>
      </c>
      <c r="R28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2526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2612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2621</v>
      </c>
      <c r="B286" s="28" t="s">
        <v>783</v>
      </c>
      <c r="C286" s="54" t="n">
        <f aca="false">IF(ISNUMBER(C285),C285*1,C285)</f>
        <v>1977024330.9284</v>
      </c>
      <c r="D286" s="54" t="n">
        <f aca="false">IF(ISNUMBER(D285),D285*1,D285)</f>
        <v>1977024330.9284</v>
      </c>
      <c r="E286" s="54" t="n">
        <f aca="false">IF(ISNUMBER(E285),E285*1,E285)</f>
        <v>1977024330.9284</v>
      </c>
      <c r="F286" s="54" t="n">
        <f aca="false">IF(ISNUMBER(F285),F285*1,F285)</f>
        <v>10221337718.7658</v>
      </c>
      <c r="G286" s="54" t="n">
        <f aca="false">IF(ISNUMBER(G285),G285*1,G285)</f>
        <v>10221337718.7658</v>
      </c>
      <c r="H286" s="54" t="n">
        <f aca="false">IF(ISNUMBER(H285),H285*1,H285)</f>
        <v>10221337718.7658</v>
      </c>
      <c r="I286" s="54" t="n">
        <f aca="false">IF(ISNUMBER(I285),I285*1,I285)</f>
        <v>12359461139.6794</v>
      </c>
      <c r="J286" s="54" t="n">
        <f aca="false">IF(ISNUMBER(J285),J285*1,J285)</f>
        <v>12359461139.6794</v>
      </c>
      <c r="K286" s="54" t="n">
        <f aca="false">IF(ISNUMBER(K285),K285*1,K285)</f>
        <v>12359461139.6794</v>
      </c>
      <c r="L286" s="54" t="n">
        <f aca="false">IF(ISNUMBER(L285),L285*1,L285)</f>
        <v>26095624181.2953</v>
      </c>
      <c r="M286" s="54" t="n">
        <f aca="false">IF(ISNUMBER(M285),M285*1,M285)</f>
        <v>26095624181.2953</v>
      </c>
      <c r="N286" s="54" t="n">
        <f aca="false">IF(ISNUMBER(N285),N285*1,N285)</f>
        <v>26095624181.2953</v>
      </c>
      <c r="O286" s="54" t="n">
        <f aca="false">IF(ISNUMBER(O285),O285*1,O285)</f>
        <v>37944487555.803</v>
      </c>
      <c r="P286" s="54" t="n">
        <f aca="false">IF(ISNUMBER(P285),P285*1,P285)</f>
        <v>37944487555.803</v>
      </c>
      <c r="Q286" s="54" t="n">
        <f aca="false">IF(ISNUMBER(Q285),Q285*1,Q285)</f>
        <v>37944487555.803</v>
      </c>
      <c r="R28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2538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2612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2622</v>
      </c>
    </row>
    <row r="289" customFormat="false" ht="15" hidden="false" customHeight="true" outlineLevel="0" collapsed="false">
      <c r="A289" s="42" t="s">
        <v>2623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2624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2625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2626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2627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2628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2629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2630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2631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2632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2633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2634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2635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2636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2637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2638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2639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2640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2641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2642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2643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2644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2645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2646</v>
      </c>
      <c r="B313" s="28" t="s">
        <v>1739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4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604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2647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2648</v>
      </c>
      <c r="B314" s="28" t="s">
        <v>1739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4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604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2647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2649</v>
      </c>
      <c r="B315" s="41" t="s">
        <v>124</v>
      </c>
      <c r="C315" s="31" t="n">
        <f aca="false">Inputs!E36</f>
        <v>3</v>
      </c>
      <c r="R315" s="174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604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2377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2650</v>
      </c>
    </row>
    <row r="2" customFormat="false" ht="15" hidden="false" customHeight="false" outlineLevel="0" collapsed="false">
      <c r="A2" s="71" t="s">
        <v>2651</v>
      </c>
    </row>
    <row r="4" customFormat="false" ht="29.85" hidden="false" customHeight="false" outlineLevel="0" collapsed="false">
      <c r="A4" s="82" t="s">
        <v>2652</v>
      </c>
      <c r="B4" s="81" t="s">
        <v>2653</v>
      </c>
      <c r="C4" s="81" t="s">
        <v>2654</v>
      </c>
      <c r="D4" s="81" t="s">
        <v>2655</v>
      </c>
      <c r="E4" s="81" t="s">
        <v>1133</v>
      </c>
      <c r="F4" s="81" t="s">
        <v>1134</v>
      </c>
      <c r="G4" s="81" t="s">
        <v>73</v>
      </c>
      <c r="H4" s="81" t="s">
        <v>2656</v>
      </c>
      <c r="I4" s="81" t="s">
        <v>2657</v>
      </c>
      <c r="J4" s="81" t="s">
        <v>2658</v>
      </c>
      <c r="K4" s="81" t="s">
        <v>2659</v>
      </c>
      <c r="L4" s="81" t="s">
        <v>2660</v>
      </c>
      <c r="M4" s="81" t="s">
        <v>2661</v>
      </c>
      <c r="N4" s="81" t="s">
        <v>2662</v>
      </c>
      <c r="O4" s="81" t="s">
        <v>2663</v>
      </c>
      <c r="P4" s="81" t="s">
        <v>525</v>
      </c>
      <c r="Q4" s="81" t="s">
        <v>38</v>
      </c>
      <c r="R4" s="81" t="s">
        <v>2664</v>
      </c>
      <c r="S4" s="81" t="s">
        <v>2665</v>
      </c>
    </row>
    <row r="5" customFormat="false" ht="29.85" hidden="false" customHeight="false" outlineLevel="0" collapsed="false">
      <c r="A5" s="59" t="s">
        <v>2666</v>
      </c>
      <c r="B5" s="5" t="s">
        <v>2667</v>
      </c>
      <c r="C5" s="5" t="s">
        <v>2668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2669</v>
      </c>
      <c r="H5" s="5" t="s">
        <v>2670</v>
      </c>
      <c r="I5" s="6" t="s">
        <v>2671</v>
      </c>
      <c r="J5" s="5" t="s">
        <v>2672</v>
      </c>
      <c r="K5" s="5" t="s">
        <v>2673</v>
      </c>
      <c r="L5" s="59" t="s">
        <v>604</v>
      </c>
      <c r="M5" s="113" t="s">
        <v>604</v>
      </c>
      <c r="N5" s="113" t="s">
        <v>604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2666</v>
      </c>
      <c r="R5" s="59" t="s">
        <v>2674</v>
      </c>
      <c r="S5" s="6" t="s">
        <v>604</v>
      </c>
    </row>
    <row r="6" customFormat="false" ht="29.85" hidden="false" customHeight="false" outlineLevel="0" collapsed="false">
      <c r="A6" s="59" t="s">
        <v>2675</v>
      </c>
      <c r="B6" s="5" t="s">
        <v>2676</v>
      </c>
      <c r="C6" s="5" t="s">
        <v>2668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2669</v>
      </c>
      <c r="H6" s="5" t="s">
        <v>2670</v>
      </c>
      <c r="I6" s="6" t="s">
        <v>2671</v>
      </c>
      <c r="J6" s="5" t="s">
        <v>2672</v>
      </c>
      <c r="K6" s="5" t="s">
        <v>2673</v>
      </c>
      <c r="L6" s="59" t="s">
        <v>604</v>
      </c>
      <c r="M6" s="113" t="s">
        <v>604</v>
      </c>
      <c r="N6" s="113" t="s">
        <v>604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2675</v>
      </c>
      <c r="R6" s="59" t="s">
        <v>2674</v>
      </c>
      <c r="S6" s="6" t="s">
        <v>604</v>
      </c>
    </row>
    <row r="7" customFormat="false" ht="29.85" hidden="false" customHeight="false" outlineLevel="0" collapsed="false">
      <c r="A7" s="59" t="s">
        <v>2677</v>
      </c>
      <c r="B7" s="5" t="s">
        <v>2678</v>
      </c>
      <c r="C7" s="5" t="s">
        <v>2668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2669</v>
      </c>
      <c r="H7" s="5" t="s">
        <v>2670</v>
      </c>
      <c r="I7" s="6" t="s">
        <v>2671</v>
      </c>
      <c r="J7" s="5" t="s">
        <v>2672</v>
      </c>
      <c r="K7" s="5" t="s">
        <v>2673</v>
      </c>
      <c r="L7" s="59" t="s">
        <v>604</v>
      </c>
      <c r="M7" s="113" t="s">
        <v>604</v>
      </c>
      <c r="N7" s="113" t="s">
        <v>604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2677</v>
      </c>
      <c r="R7" s="59" t="s">
        <v>2674</v>
      </c>
      <c r="S7" s="6" t="s">
        <v>604</v>
      </c>
    </row>
    <row r="8" customFormat="false" ht="29.85" hidden="false" customHeight="false" outlineLevel="0" collapsed="false">
      <c r="A8" s="59" t="s">
        <v>2679</v>
      </c>
      <c r="B8" s="5" t="s">
        <v>2680</v>
      </c>
      <c r="C8" s="5" t="s">
        <v>2668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2669</v>
      </c>
      <c r="H8" s="5" t="s">
        <v>2670</v>
      </c>
      <c r="I8" s="6" t="s">
        <v>2671</v>
      </c>
      <c r="J8" s="5" t="s">
        <v>2672</v>
      </c>
      <c r="K8" s="5" t="s">
        <v>2673</v>
      </c>
      <c r="L8" s="59" t="s">
        <v>2681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2679</v>
      </c>
      <c r="R8" s="59" t="s">
        <v>2674</v>
      </c>
      <c r="S8" s="5" t="s">
        <v>2682</v>
      </c>
    </row>
    <row r="9" customFormat="false" ht="29.85" hidden="false" customHeight="false" outlineLevel="0" collapsed="false">
      <c r="A9" s="59" t="s">
        <v>2683</v>
      </c>
      <c r="B9" s="5" t="s">
        <v>2684</v>
      </c>
      <c r="C9" s="5" t="s">
        <v>2685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2669</v>
      </c>
      <c r="H9" s="5" t="s">
        <v>2670</v>
      </c>
      <c r="I9" s="5" t="s">
        <v>2686</v>
      </c>
      <c r="J9" s="5" t="s">
        <v>2687</v>
      </c>
      <c r="K9" s="5" t="s">
        <v>2673</v>
      </c>
      <c r="L9" s="59" t="s">
        <v>2688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2683</v>
      </c>
      <c r="R9" s="59" t="s">
        <v>2689</v>
      </c>
      <c r="S9" s="5" t="s">
        <v>2690</v>
      </c>
    </row>
    <row r="10" customFormat="false" ht="44" hidden="false" customHeight="false" outlineLevel="0" collapsed="false">
      <c r="A10" s="59" t="s">
        <v>2691</v>
      </c>
      <c r="B10" s="5" t="s">
        <v>2692</v>
      </c>
      <c r="C10" s="5" t="s">
        <v>2693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110</v>
      </c>
      <c r="H10" s="5" t="s">
        <v>2670</v>
      </c>
      <c r="I10" s="5" t="s">
        <v>2694</v>
      </c>
      <c r="J10" s="5" t="s">
        <v>2695</v>
      </c>
      <c r="K10" s="5" t="s">
        <v>2696</v>
      </c>
      <c r="L10" s="59" t="s">
        <v>2697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2691</v>
      </c>
      <c r="R10" s="59" t="s">
        <v>2698</v>
      </c>
      <c r="S10" s="5" t="s">
        <v>2699</v>
      </c>
    </row>
    <row r="11" customFormat="false" ht="29.85" hidden="false" customHeight="false" outlineLevel="0" collapsed="false">
      <c r="A11" s="59" t="s">
        <v>2700</v>
      </c>
      <c r="B11" s="5" t="s">
        <v>2701</v>
      </c>
      <c r="C11" s="5" t="s">
        <v>2702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1543</v>
      </c>
      <c r="H11" s="5" t="s">
        <v>2670</v>
      </c>
      <c r="I11" s="5" t="s">
        <v>2703</v>
      </c>
      <c r="J11" s="6" t="s">
        <v>2704</v>
      </c>
      <c r="K11" s="5" t="s">
        <v>2705</v>
      </c>
      <c r="L11" s="59" t="s">
        <v>604</v>
      </c>
      <c r="M11" s="113" t="s">
        <v>604</v>
      </c>
      <c r="N11" s="113" t="s">
        <v>604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2700</v>
      </c>
      <c r="R11" s="59" t="s">
        <v>2706</v>
      </c>
      <c r="S11" s="6" t="s">
        <v>604</v>
      </c>
    </row>
    <row r="12" customFormat="false" ht="29.85" hidden="false" customHeight="false" outlineLevel="0" collapsed="false">
      <c r="A12" s="59" t="s">
        <v>2707</v>
      </c>
      <c r="B12" s="5" t="s">
        <v>2708</v>
      </c>
      <c r="C12" s="5" t="s">
        <v>2702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1543</v>
      </c>
      <c r="H12" s="5" t="s">
        <v>2670</v>
      </c>
      <c r="I12" s="5" t="s">
        <v>2703</v>
      </c>
      <c r="J12" s="6" t="s">
        <v>2704</v>
      </c>
      <c r="K12" s="5" t="s">
        <v>2705</v>
      </c>
      <c r="L12" s="59" t="s">
        <v>604</v>
      </c>
      <c r="M12" s="113" t="s">
        <v>604</v>
      </c>
      <c r="N12" s="113" t="s">
        <v>604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2707</v>
      </c>
      <c r="R12" s="59" t="s">
        <v>2706</v>
      </c>
      <c r="S12" s="6" t="s">
        <v>604</v>
      </c>
    </row>
    <row r="13" customFormat="false" ht="29.85" hidden="false" customHeight="false" outlineLevel="0" collapsed="false">
      <c r="A13" s="59" t="s">
        <v>2709</v>
      </c>
      <c r="B13" s="5" t="s">
        <v>2710</v>
      </c>
      <c r="C13" s="5" t="s">
        <v>2702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1543</v>
      </c>
      <c r="H13" s="5" t="s">
        <v>2670</v>
      </c>
      <c r="I13" s="5" t="s">
        <v>2703</v>
      </c>
      <c r="J13" s="6" t="s">
        <v>2704</v>
      </c>
      <c r="K13" s="5" t="s">
        <v>2705</v>
      </c>
      <c r="L13" s="59" t="s">
        <v>604</v>
      </c>
      <c r="M13" s="113" t="s">
        <v>604</v>
      </c>
      <c r="N13" s="113" t="s">
        <v>604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2709</v>
      </c>
      <c r="R13" s="59" t="s">
        <v>2706</v>
      </c>
      <c r="S13" s="6" t="s">
        <v>604</v>
      </c>
    </row>
    <row r="14" customFormat="false" ht="29.85" hidden="false" customHeight="false" outlineLevel="0" collapsed="false">
      <c r="A14" s="59" t="s">
        <v>2711</v>
      </c>
      <c r="B14" s="5" t="s">
        <v>2712</v>
      </c>
      <c r="C14" s="5" t="s">
        <v>2702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1543</v>
      </c>
      <c r="H14" s="5" t="s">
        <v>2670</v>
      </c>
      <c r="I14" s="5" t="s">
        <v>2703</v>
      </c>
      <c r="J14" s="6" t="s">
        <v>2704</v>
      </c>
      <c r="K14" s="5" t="s">
        <v>2705</v>
      </c>
      <c r="L14" s="59" t="s">
        <v>604</v>
      </c>
      <c r="M14" s="113" t="s">
        <v>604</v>
      </c>
      <c r="N14" s="113" t="s">
        <v>604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2711</v>
      </c>
      <c r="R14" s="59" t="s">
        <v>2706</v>
      </c>
      <c r="S14" s="6" t="s">
        <v>604</v>
      </c>
    </row>
    <row r="15" customFormat="false" ht="29.85" hidden="false" customHeight="false" outlineLevel="0" collapsed="false">
      <c r="A15" s="59" t="s">
        <v>2713</v>
      </c>
      <c r="B15" s="5" t="s">
        <v>2714</v>
      </c>
      <c r="C15" s="6" t="s">
        <v>2715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836</v>
      </c>
      <c r="H15" s="5" t="s">
        <v>2670</v>
      </c>
      <c r="I15" s="5" t="s">
        <v>2716</v>
      </c>
      <c r="J15" s="5" t="s">
        <v>2717</v>
      </c>
      <c r="K15" s="5" t="s">
        <v>2705</v>
      </c>
      <c r="L15" s="59" t="s">
        <v>604</v>
      </c>
      <c r="M15" s="113" t="s">
        <v>604</v>
      </c>
      <c r="N15" s="113" t="s">
        <v>604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2713</v>
      </c>
      <c r="R15" s="59" t="s">
        <v>2718</v>
      </c>
      <c r="S15" s="6" t="s">
        <v>604</v>
      </c>
    </row>
    <row r="16" customFormat="false" ht="44" hidden="false" customHeight="false" outlineLevel="0" collapsed="false">
      <c r="A16" s="59" t="s">
        <v>2719</v>
      </c>
      <c r="B16" s="5" t="s">
        <v>2720</v>
      </c>
      <c r="C16" s="6" t="s">
        <v>2715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836</v>
      </c>
      <c r="H16" s="5" t="s">
        <v>2670</v>
      </c>
      <c r="I16" s="5" t="s">
        <v>2716</v>
      </c>
      <c r="J16" s="5" t="s">
        <v>2717</v>
      </c>
      <c r="K16" s="5" t="s">
        <v>2705</v>
      </c>
      <c r="L16" s="59" t="s">
        <v>2721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2719</v>
      </c>
      <c r="R16" s="59" t="s">
        <v>2718</v>
      </c>
      <c r="S16" s="5" t="s">
        <v>2722</v>
      </c>
    </row>
    <row r="17" customFormat="false" ht="44" hidden="false" customHeight="false" outlineLevel="0" collapsed="false">
      <c r="A17" s="59" t="s">
        <v>2723</v>
      </c>
      <c r="B17" s="5" t="s">
        <v>2724</v>
      </c>
      <c r="C17" s="6" t="s">
        <v>2715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836</v>
      </c>
      <c r="H17" s="5" t="s">
        <v>2670</v>
      </c>
      <c r="I17" s="5" t="s">
        <v>2716</v>
      </c>
      <c r="J17" s="5" t="s">
        <v>2717</v>
      </c>
      <c r="K17" s="5" t="s">
        <v>2705</v>
      </c>
      <c r="L17" s="59" t="s">
        <v>2725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2723</v>
      </c>
      <c r="R17" s="59" t="s">
        <v>2718</v>
      </c>
      <c r="S17" s="5" t="s">
        <v>2722</v>
      </c>
    </row>
    <row r="18" customFormat="false" ht="29.85" hidden="false" customHeight="false" outlineLevel="0" collapsed="false">
      <c r="A18" s="59" t="s">
        <v>2726</v>
      </c>
      <c r="B18" s="5" t="s">
        <v>2727</v>
      </c>
      <c r="C18" s="6" t="s">
        <v>2715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836</v>
      </c>
      <c r="H18" s="5" t="s">
        <v>2670</v>
      </c>
      <c r="I18" s="5" t="s">
        <v>2716</v>
      </c>
      <c r="J18" s="5" t="s">
        <v>2717</v>
      </c>
      <c r="K18" s="5" t="s">
        <v>2705</v>
      </c>
      <c r="L18" s="59" t="s">
        <v>604</v>
      </c>
      <c r="M18" s="113" t="s">
        <v>604</v>
      </c>
      <c r="N18" s="113" t="s">
        <v>604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2726</v>
      </c>
      <c r="R18" s="59" t="s">
        <v>2718</v>
      </c>
      <c r="S18" s="6" t="s">
        <v>604</v>
      </c>
    </row>
    <row r="19" customFormat="false" ht="44" hidden="false" customHeight="false" outlineLevel="0" collapsed="false">
      <c r="A19" s="59" t="s">
        <v>2728</v>
      </c>
      <c r="B19" s="6" t="s">
        <v>2729</v>
      </c>
      <c r="C19" s="5" t="s">
        <v>2730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791</v>
      </c>
      <c r="H19" s="5" t="s">
        <v>2670</v>
      </c>
      <c r="I19" s="5" t="s">
        <v>2731</v>
      </c>
      <c r="J19" s="6" t="s">
        <v>2732</v>
      </c>
      <c r="K19" s="5" t="s">
        <v>2733</v>
      </c>
      <c r="L19" s="59" t="s">
        <v>604</v>
      </c>
      <c r="M19" s="113" t="s">
        <v>604</v>
      </c>
      <c r="N19" s="113" t="s">
        <v>604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2728</v>
      </c>
      <c r="R19" s="59" t="s">
        <v>2734</v>
      </c>
      <c r="S19" s="6" t="s">
        <v>2735</v>
      </c>
    </row>
    <row r="20" customFormat="false" ht="44" hidden="false" customHeight="false" outlineLevel="0" collapsed="false">
      <c r="A20" s="59" t="s">
        <v>2736</v>
      </c>
      <c r="B20" s="6" t="s">
        <v>2737</v>
      </c>
      <c r="C20" s="5" t="s">
        <v>2730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791</v>
      </c>
      <c r="H20" s="5" t="s">
        <v>2670</v>
      </c>
      <c r="I20" s="5" t="s">
        <v>2731</v>
      </c>
      <c r="J20" s="6" t="s">
        <v>2732</v>
      </c>
      <c r="K20" s="5" t="s">
        <v>2733</v>
      </c>
      <c r="L20" s="59" t="s">
        <v>604</v>
      </c>
      <c r="M20" s="113" t="s">
        <v>604</v>
      </c>
      <c r="N20" s="113" t="s">
        <v>604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2736</v>
      </c>
      <c r="R20" s="59" t="s">
        <v>2734</v>
      </c>
      <c r="S20" s="6" t="s">
        <v>604</v>
      </c>
    </row>
    <row r="21" customFormat="false" ht="44" hidden="false" customHeight="false" outlineLevel="0" collapsed="false">
      <c r="A21" s="59" t="s">
        <v>2738</v>
      </c>
      <c r="B21" s="6" t="s">
        <v>2739</v>
      </c>
      <c r="C21" s="5" t="s">
        <v>2730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791</v>
      </c>
      <c r="H21" s="5" t="s">
        <v>2670</v>
      </c>
      <c r="I21" s="5" t="s">
        <v>2731</v>
      </c>
      <c r="J21" s="6" t="s">
        <v>2732</v>
      </c>
      <c r="K21" s="5" t="s">
        <v>2733</v>
      </c>
      <c r="L21" s="59" t="s">
        <v>604</v>
      </c>
      <c r="M21" s="113" t="s">
        <v>604</v>
      </c>
      <c r="N21" s="113" t="s">
        <v>604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2738</v>
      </c>
      <c r="R21" s="59" t="s">
        <v>2734</v>
      </c>
      <c r="S21" s="6" t="s">
        <v>2735</v>
      </c>
    </row>
    <row r="22" customFormat="false" ht="44" hidden="false" customHeight="false" outlineLevel="0" collapsed="false">
      <c r="A22" s="59" t="s">
        <v>2740</v>
      </c>
      <c r="B22" s="6" t="s">
        <v>2741</v>
      </c>
      <c r="C22" s="5" t="s">
        <v>2730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791</v>
      </c>
      <c r="H22" s="5" t="s">
        <v>2670</v>
      </c>
      <c r="I22" s="5" t="s">
        <v>2731</v>
      </c>
      <c r="J22" s="6" t="s">
        <v>2732</v>
      </c>
      <c r="K22" s="5" t="s">
        <v>2733</v>
      </c>
      <c r="L22" s="59" t="s">
        <v>604</v>
      </c>
      <c r="M22" s="113" t="s">
        <v>604</v>
      </c>
      <c r="N22" s="113" t="s">
        <v>604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2740</v>
      </c>
      <c r="R22" s="59" t="s">
        <v>2734</v>
      </c>
      <c r="S22" s="6" t="s">
        <v>604</v>
      </c>
    </row>
    <row r="23" customFormat="false" ht="44" hidden="false" customHeight="false" outlineLevel="0" collapsed="false">
      <c r="A23" s="59" t="s">
        <v>2742</v>
      </c>
      <c r="B23" s="6" t="s">
        <v>2743</v>
      </c>
      <c r="C23" s="5" t="s">
        <v>2730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791</v>
      </c>
      <c r="H23" s="5" t="s">
        <v>2670</v>
      </c>
      <c r="I23" s="5" t="s">
        <v>2731</v>
      </c>
      <c r="J23" s="6" t="s">
        <v>2732</v>
      </c>
      <c r="K23" s="5" t="s">
        <v>2733</v>
      </c>
      <c r="L23" s="59" t="s">
        <v>604</v>
      </c>
      <c r="M23" s="113" t="s">
        <v>604</v>
      </c>
      <c r="N23" s="113" t="s">
        <v>604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2742</v>
      </c>
      <c r="R23" s="59" t="s">
        <v>2734</v>
      </c>
      <c r="S23" s="6" t="s">
        <v>2735</v>
      </c>
    </row>
    <row r="24" customFormat="false" ht="44" hidden="false" customHeight="false" outlineLevel="0" collapsed="false">
      <c r="A24" s="59" t="s">
        <v>2744</v>
      </c>
      <c r="B24" s="6" t="s">
        <v>2745</v>
      </c>
      <c r="C24" s="5" t="s">
        <v>2730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791</v>
      </c>
      <c r="H24" s="5" t="s">
        <v>2670</v>
      </c>
      <c r="I24" s="5" t="s">
        <v>2731</v>
      </c>
      <c r="J24" s="6" t="s">
        <v>2732</v>
      </c>
      <c r="K24" s="5" t="s">
        <v>2733</v>
      </c>
      <c r="L24" s="59" t="s">
        <v>604</v>
      </c>
      <c r="M24" s="113" t="s">
        <v>604</v>
      </c>
      <c r="N24" s="113" t="s">
        <v>604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2744</v>
      </c>
      <c r="R24" s="59" t="s">
        <v>2734</v>
      </c>
      <c r="S24" s="6" t="s">
        <v>604</v>
      </c>
    </row>
    <row r="25" customFormat="false" ht="29.85" hidden="false" customHeight="false" outlineLevel="0" collapsed="false">
      <c r="A25" s="59" t="s">
        <v>2746</v>
      </c>
      <c r="B25" s="6" t="s">
        <v>2747</v>
      </c>
      <c r="C25" s="5" t="s">
        <v>2748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2749</v>
      </c>
      <c r="H25" s="5" t="s">
        <v>2670</v>
      </c>
      <c r="I25" s="5" t="s">
        <v>2750</v>
      </c>
      <c r="J25" s="5" t="s">
        <v>2751</v>
      </c>
      <c r="K25" s="6" t="s">
        <v>2752</v>
      </c>
      <c r="L25" s="59" t="s">
        <v>2753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2746</v>
      </c>
      <c r="R25" s="59" t="s">
        <v>2754</v>
      </c>
      <c r="S25" s="6" t="s">
        <v>2755</v>
      </c>
    </row>
    <row r="26" customFormat="false" ht="44" hidden="false" customHeight="false" outlineLevel="0" collapsed="false">
      <c r="A26" s="59" t="s">
        <v>2756</v>
      </c>
      <c r="B26" s="5" t="s">
        <v>2757</v>
      </c>
      <c r="C26" s="6" t="s">
        <v>2758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1543</v>
      </c>
      <c r="H26" s="5" t="s">
        <v>2759</v>
      </c>
      <c r="I26" s="5" t="s">
        <v>2760</v>
      </c>
      <c r="J26" s="5" t="s">
        <v>2761</v>
      </c>
      <c r="K26" s="5" t="s">
        <v>2762</v>
      </c>
      <c r="L26" s="59" t="s">
        <v>604</v>
      </c>
      <c r="M26" s="113" t="s">
        <v>604</v>
      </c>
      <c r="N26" s="113" t="s">
        <v>604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2756</v>
      </c>
      <c r="R26" s="59" t="s">
        <v>2763</v>
      </c>
      <c r="S26" s="5" t="s">
        <v>2764</v>
      </c>
    </row>
    <row r="27" customFormat="false" ht="44" hidden="false" customHeight="false" outlineLevel="0" collapsed="false">
      <c r="A27" s="59" t="s">
        <v>2765</v>
      </c>
      <c r="B27" s="5" t="s">
        <v>2766</v>
      </c>
      <c r="C27" s="6" t="s">
        <v>2758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1543</v>
      </c>
      <c r="H27" s="5" t="s">
        <v>2759</v>
      </c>
      <c r="I27" s="5" t="s">
        <v>2760</v>
      </c>
      <c r="J27" s="5" t="s">
        <v>2761</v>
      </c>
      <c r="K27" s="5" t="s">
        <v>2762</v>
      </c>
      <c r="L27" s="59" t="s">
        <v>604</v>
      </c>
      <c r="M27" s="113" t="s">
        <v>604</v>
      </c>
      <c r="N27" s="113" t="s">
        <v>604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2765</v>
      </c>
      <c r="R27" s="59" t="s">
        <v>2763</v>
      </c>
      <c r="S27" s="5" t="s">
        <v>2764</v>
      </c>
    </row>
    <row r="28" customFormat="false" ht="44" hidden="false" customHeight="false" outlineLevel="0" collapsed="false">
      <c r="A28" s="59" t="s">
        <v>2767</v>
      </c>
      <c r="B28" s="5" t="s">
        <v>2768</v>
      </c>
      <c r="C28" s="6" t="s">
        <v>2758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1543</v>
      </c>
      <c r="H28" s="5" t="s">
        <v>2759</v>
      </c>
      <c r="I28" s="5" t="s">
        <v>2760</v>
      </c>
      <c r="J28" s="5" t="s">
        <v>2761</v>
      </c>
      <c r="K28" s="5" t="s">
        <v>2762</v>
      </c>
      <c r="L28" s="59" t="s">
        <v>604</v>
      </c>
      <c r="M28" s="113" t="s">
        <v>604</v>
      </c>
      <c r="N28" s="113" t="s">
        <v>604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2767</v>
      </c>
      <c r="R28" s="59" t="s">
        <v>2763</v>
      </c>
      <c r="S28" s="5" t="s">
        <v>2764</v>
      </c>
    </row>
    <row r="29" customFormat="false" ht="44" hidden="false" customHeight="false" outlineLevel="0" collapsed="false">
      <c r="A29" s="59" t="s">
        <v>2769</v>
      </c>
      <c r="B29" s="6" t="s">
        <v>2770</v>
      </c>
      <c r="C29" s="6" t="s">
        <v>2758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1543</v>
      </c>
      <c r="H29" s="5" t="s">
        <v>2759</v>
      </c>
      <c r="I29" s="5" t="s">
        <v>2760</v>
      </c>
      <c r="J29" s="5" t="s">
        <v>2761</v>
      </c>
      <c r="K29" s="5" t="s">
        <v>2762</v>
      </c>
      <c r="L29" s="59" t="s">
        <v>604</v>
      </c>
      <c r="M29" s="113" t="s">
        <v>604</v>
      </c>
      <c r="N29" s="113" t="s">
        <v>604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2769</v>
      </c>
      <c r="R29" s="59" t="s">
        <v>2763</v>
      </c>
      <c r="S29" s="5" t="s">
        <v>2764</v>
      </c>
    </row>
    <row r="30" customFormat="false" ht="29.85" hidden="false" customHeight="false" outlineLevel="0" collapsed="false">
      <c r="A30" s="59" t="s">
        <v>2771</v>
      </c>
      <c r="B30" s="5" t="s">
        <v>2772</v>
      </c>
      <c r="C30" s="6" t="s">
        <v>2715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836</v>
      </c>
      <c r="H30" s="5" t="s">
        <v>2670</v>
      </c>
      <c r="I30" s="5" t="s">
        <v>2773</v>
      </c>
      <c r="J30" s="5" t="s">
        <v>2717</v>
      </c>
      <c r="K30" s="5" t="s">
        <v>2774</v>
      </c>
      <c r="L30" s="59" t="s">
        <v>2775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2771</v>
      </c>
      <c r="R30" s="59" t="s">
        <v>2776</v>
      </c>
      <c r="S30" s="5" t="s">
        <v>2777</v>
      </c>
    </row>
    <row r="31" customFormat="false" ht="44" hidden="false" customHeight="false" outlineLevel="0" collapsed="false">
      <c r="A31" s="59" t="s">
        <v>2778</v>
      </c>
      <c r="B31" s="5" t="s">
        <v>2779</v>
      </c>
      <c r="C31" s="6" t="s">
        <v>2715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836</v>
      </c>
      <c r="H31" s="5" t="s">
        <v>2670</v>
      </c>
      <c r="I31" s="5" t="s">
        <v>2780</v>
      </c>
      <c r="J31" s="5" t="s">
        <v>2717</v>
      </c>
      <c r="K31" s="5" t="s">
        <v>2781</v>
      </c>
      <c r="L31" s="59" t="s">
        <v>2782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2778</v>
      </c>
      <c r="R31" s="59" t="s">
        <v>2783</v>
      </c>
      <c r="S31" s="5" t="s">
        <v>2784</v>
      </c>
    </row>
    <row r="32" customFormat="false" ht="29.85" hidden="false" customHeight="false" outlineLevel="0" collapsed="false">
      <c r="A32" s="59" t="s">
        <v>2785</v>
      </c>
      <c r="B32" s="6" t="s">
        <v>2786</v>
      </c>
      <c r="C32" s="6" t="s">
        <v>2787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93</v>
      </c>
      <c r="H32" s="6" t="s">
        <v>2788</v>
      </c>
      <c r="I32" s="5" t="s">
        <v>2789</v>
      </c>
      <c r="J32" s="6" t="s">
        <v>2790</v>
      </c>
      <c r="K32" s="6" t="s">
        <v>2791</v>
      </c>
      <c r="L32" s="59" t="s">
        <v>2792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2785</v>
      </c>
      <c r="R32" s="59" t="s">
        <v>2793</v>
      </c>
      <c r="S32" s="5" t="s">
        <v>2794</v>
      </c>
    </row>
    <row r="33" customFormat="false" ht="44" hidden="false" customHeight="false" outlineLevel="0" collapsed="false">
      <c r="A33" s="59" t="s">
        <v>2795</v>
      </c>
      <c r="B33" s="6" t="s">
        <v>2796</v>
      </c>
      <c r="C33" s="6" t="s">
        <v>2787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93</v>
      </c>
      <c r="H33" s="6" t="s">
        <v>2788</v>
      </c>
      <c r="I33" s="5" t="s">
        <v>2797</v>
      </c>
      <c r="J33" s="6" t="s">
        <v>2790</v>
      </c>
      <c r="K33" s="6" t="s">
        <v>2791</v>
      </c>
      <c r="L33" s="59" t="s">
        <v>2798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2795</v>
      </c>
      <c r="R33" s="59" t="s">
        <v>2799</v>
      </c>
      <c r="S33" s="5" t="s">
        <v>2800</v>
      </c>
    </row>
    <row r="34" customFormat="false" ht="29.85" hidden="false" customHeight="false" outlineLevel="0" collapsed="false">
      <c r="A34" s="59" t="s">
        <v>2801</v>
      </c>
      <c r="B34" s="5" t="s">
        <v>2802</v>
      </c>
      <c r="C34" s="6" t="s">
        <v>2803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89</v>
      </c>
      <c r="H34" s="5" t="s">
        <v>2804</v>
      </c>
      <c r="I34" s="5" t="s">
        <v>2805</v>
      </c>
      <c r="J34" s="5" t="s">
        <v>2806</v>
      </c>
      <c r="K34" s="5" t="s">
        <v>2807</v>
      </c>
      <c r="L34" s="59" t="s">
        <v>2808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2801</v>
      </c>
      <c r="R34" s="59" t="s">
        <v>2809</v>
      </c>
      <c r="S34" s="5" t="s">
        <v>2810</v>
      </c>
    </row>
    <row r="35" customFormat="false" ht="72.35" hidden="false" customHeight="false" outlineLevel="0" collapsed="false">
      <c r="A35" s="59" t="s">
        <v>2811</v>
      </c>
      <c r="B35" s="6" t="s">
        <v>2812</v>
      </c>
      <c r="C35" s="6" t="s">
        <v>2813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1543</v>
      </c>
      <c r="H35" s="5" t="s">
        <v>2814</v>
      </c>
      <c r="I35" s="5" t="s">
        <v>2815</v>
      </c>
      <c r="J35" s="6" t="s">
        <v>2816</v>
      </c>
      <c r="K35" s="6" t="s">
        <v>2817</v>
      </c>
      <c r="L35" s="59" t="s">
        <v>2818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2811</v>
      </c>
      <c r="R35" s="59" t="s">
        <v>2819</v>
      </c>
      <c r="S35" s="5" t="s">
        <v>2820</v>
      </c>
    </row>
    <row r="36" customFormat="false" ht="58.2" hidden="false" customHeight="false" outlineLevel="0" collapsed="false">
      <c r="A36" s="59" t="s">
        <v>2821</v>
      </c>
      <c r="B36" s="6" t="s">
        <v>2822</v>
      </c>
      <c r="C36" s="6" t="s">
        <v>2823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297</v>
      </c>
      <c r="H36" s="5" t="s">
        <v>2824</v>
      </c>
      <c r="I36" s="5" t="s">
        <v>2825</v>
      </c>
      <c r="J36" s="6" t="s">
        <v>2826</v>
      </c>
      <c r="K36" s="6" t="s">
        <v>2827</v>
      </c>
      <c r="L36" s="59" t="s">
        <v>2828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2821</v>
      </c>
      <c r="R36" s="59" t="s">
        <v>2829</v>
      </c>
      <c r="S36" s="5" t="s">
        <v>2830</v>
      </c>
    </row>
    <row r="37" customFormat="false" ht="69.4" hidden="false" customHeight="false" outlineLevel="0" collapsed="false">
      <c r="A37" s="59" t="s">
        <v>2831</v>
      </c>
      <c r="B37" s="5" t="s">
        <v>2832</v>
      </c>
      <c r="C37" s="6" t="s">
        <v>2833</v>
      </c>
      <c r="D37" s="123" t="n">
        <f aca="false">IF_AllocQ1</f>
        <v>0.331840968713343</v>
      </c>
      <c r="E37" s="113" t="n">
        <f aca="false">IF(ISNUMBER(IF_AllocQ1),MIN(AL_SensQ1),"—")</f>
        <v>0.198926458742601</v>
      </c>
      <c r="F37" s="113" t="n">
        <f aca="false">IF(ISNUMBER(IF_AllocQ1),MAX(AL_SensQ1),"—")</f>
        <v>0.776613574909666</v>
      </c>
      <c r="G37" s="59" t="s">
        <v>89</v>
      </c>
      <c r="H37" s="6" t="s">
        <v>2834</v>
      </c>
      <c r="I37" s="5" t="s">
        <v>2835</v>
      </c>
      <c r="J37" s="6" t="s">
        <v>2836</v>
      </c>
      <c r="K37" s="5" t="s">
        <v>2837</v>
      </c>
      <c r="L37" s="59" t="s">
        <v>604</v>
      </c>
      <c r="M37" s="113" t="s">
        <v>604</v>
      </c>
      <c r="N37" s="113" t="s">
        <v>604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2831</v>
      </c>
      <c r="R37" s="59" t="s">
        <v>2838</v>
      </c>
      <c r="S37" s="6" t="s">
        <v>2839</v>
      </c>
    </row>
    <row r="38" customFormat="false" ht="58.2" hidden="false" customHeight="false" outlineLevel="0" collapsed="false">
      <c r="A38" s="59" t="s">
        <v>2840</v>
      </c>
      <c r="B38" s="5" t="s">
        <v>2841</v>
      </c>
      <c r="C38" s="6" t="s">
        <v>2842</v>
      </c>
      <c r="D38" s="123" t="n">
        <f aca="false">IF_AllocQ2</f>
        <v>0.393634855421224</v>
      </c>
      <c r="E38" s="113" t="n">
        <f aca="false">IF(ISNUMBER(IF_AllocQ2),MIN(AL_SensQ2),"—")</f>
        <v>0.245046935156479</v>
      </c>
      <c r="F38" s="113" t="n">
        <f aca="false">IF(ISNUMBER(IF_AllocQ2),MAX(AL_SensQ2),"—")</f>
        <v>0.819631299495304</v>
      </c>
      <c r="G38" s="59" t="s">
        <v>89</v>
      </c>
      <c r="H38" s="6" t="s">
        <v>2843</v>
      </c>
      <c r="I38" s="5" t="s">
        <v>2844</v>
      </c>
      <c r="J38" s="6" t="s">
        <v>2845</v>
      </c>
      <c r="K38" s="5" t="s">
        <v>2837</v>
      </c>
      <c r="L38" s="59" t="s">
        <v>604</v>
      </c>
      <c r="M38" s="113" t="s">
        <v>604</v>
      </c>
      <c r="N38" s="113" t="s">
        <v>604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2840</v>
      </c>
      <c r="R38" s="59" t="s">
        <v>2838</v>
      </c>
      <c r="S38" s="5" t="s">
        <v>2846</v>
      </c>
    </row>
    <row r="39" customFormat="false" ht="129.1" hidden="false" customHeight="false" outlineLevel="0" collapsed="false">
      <c r="A39" s="59" t="s">
        <v>2847</v>
      </c>
      <c r="B39" s="5" t="s">
        <v>2848</v>
      </c>
      <c r="C39" s="6" t="s">
        <v>2849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1739</v>
      </c>
      <c r="H39" s="6" t="s">
        <v>2850</v>
      </c>
      <c r="I39" s="6" t="s">
        <v>2851</v>
      </c>
      <c r="J39" s="6" t="s">
        <v>2852</v>
      </c>
      <c r="K39" s="5" t="s">
        <v>2853</v>
      </c>
      <c r="L39" s="59" t="s">
        <v>2854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2847</v>
      </c>
      <c r="R39" s="59" t="s">
        <v>2855</v>
      </c>
      <c r="S39" s="5" t="s">
        <v>2856</v>
      </c>
    </row>
    <row r="40" customFormat="false" ht="83.55" hidden="false" customHeight="false" outlineLevel="0" collapsed="false">
      <c r="A40" s="59" t="s">
        <v>2857</v>
      </c>
      <c r="B40" s="5" t="s">
        <v>2858</v>
      </c>
      <c r="C40" s="6" t="s">
        <v>2859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791</v>
      </c>
      <c r="H40" s="5" t="s">
        <v>2670</v>
      </c>
      <c r="I40" s="5" t="s">
        <v>2860</v>
      </c>
      <c r="J40" s="6" t="s">
        <v>2732</v>
      </c>
      <c r="K40" s="5" t="s">
        <v>2733</v>
      </c>
      <c r="L40" s="59" t="s">
        <v>604</v>
      </c>
      <c r="M40" s="113" t="s">
        <v>604</v>
      </c>
      <c r="N40" s="113" t="s">
        <v>604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2857</v>
      </c>
      <c r="R40" s="59" t="s">
        <v>2861</v>
      </c>
      <c r="S40" s="6" t="s">
        <v>2862</v>
      </c>
    </row>
    <row r="41" customFormat="false" ht="72.35" hidden="false" customHeight="false" outlineLevel="0" collapsed="false">
      <c r="A41" s="59" t="s">
        <v>2863</v>
      </c>
      <c r="B41" s="5" t="s">
        <v>2864</v>
      </c>
      <c r="C41" s="6" t="s">
        <v>2865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1543</v>
      </c>
      <c r="H41" s="5" t="s">
        <v>2759</v>
      </c>
      <c r="I41" s="5" t="s">
        <v>2866</v>
      </c>
      <c r="J41" s="5" t="s">
        <v>2867</v>
      </c>
      <c r="K41" s="5" t="s">
        <v>2868</v>
      </c>
      <c r="L41" s="59" t="s">
        <v>604</v>
      </c>
      <c r="M41" s="113" t="s">
        <v>604</v>
      </c>
      <c r="N41" s="113" t="s">
        <v>604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2863</v>
      </c>
      <c r="R41" s="59" t="s">
        <v>2869</v>
      </c>
      <c r="S41" s="6" t="s">
        <v>604</v>
      </c>
    </row>
    <row r="42" customFormat="false" ht="58.2" hidden="false" customHeight="false" outlineLevel="0" collapsed="false">
      <c r="A42" s="59" t="s">
        <v>2870</v>
      </c>
      <c r="B42" s="5" t="s">
        <v>2871</v>
      </c>
      <c r="C42" s="5" t="s">
        <v>2872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89</v>
      </c>
      <c r="H42" s="5" t="s">
        <v>2873</v>
      </c>
      <c r="I42" s="6" t="s">
        <v>2874</v>
      </c>
      <c r="J42" s="6" t="s">
        <v>2875</v>
      </c>
      <c r="K42" s="6" t="s">
        <v>2791</v>
      </c>
      <c r="L42" s="59" t="s">
        <v>604</v>
      </c>
      <c r="M42" s="113" t="s">
        <v>604</v>
      </c>
      <c r="N42" s="113" t="s">
        <v>604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2870</v>
      </c>
      <c r="R42" s="59" t="s">
        <v>2876</v>
      </c>
      <c r="S42" s="5" t="s">
        <v>2877</v>
      </c>
    </row>
    <row r="43" customFormat="false" ht="114.9" hidden="false" customHeight="false" outlineLevel="0" collapsed="false">
      <c r="A43" s="59" t="s">
        <v>2878</v>
      </c>
      <c r="B43" s="5" t="s">
        <v>2879</v>
      </c>
      <c r="C43" s="6" t="s">
        <v>2880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93</v>
      </c>
      <c r="H43" s="5" t="s">
        <v>2873</v>
      </c>
      <c r="I43" s="5" t="s">
        <v>2881</v>
      </c>
      <c r="J43" s="5" t="s">
        <v>2882</v>
      </c>
      <c r="K43" s="6" t="s">
        <v>2883</v>
      </c>
      <c r="L43" s="59" t="s">
        <v>604</v>
      </c>
      <c r="M43" s="113" t="s">
        <v>604</v>
      </c>
      <c r="N43" s="113" t="s">
        <v>604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2878</v>
      </c>
      <c r="R43" s="59" t="s">
        <v>2763</v>
      </c>
      <c r="S43" s="5" t="s">
        <v>2877</v>
      </c>
    </row>
    <row r="44" customFormat="false" ht="44" hidden="false" customHeight="false" outlineLevel="0" collapsed="false">
      <c r="A44" s="59" t="s">
        <v>2884</v>
      </c>
      <c r="B44" s="5" t="s">
        <v>2885</v>
      </c>
      <c r="C44" s="6" t="s">
        <v>2886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93</v>
      </c>
      <c r="H44" s="5" t="s">
        <v>2873</v>
      </c>
      <c r="I44" s="6" t="s">
        <v>2887</v>
      </c>
      <c r="J44" s="5" t="s">
        <v>2888</v>
      </c>
      <c r="K44" s="6" t="s">
        <v>2889</v>
      </c>
      <c r="L44" s="59" t="s">
        <v>604</v>
      </c>
      <c r="M44" s="113" t="s">
        <v>604</v>
      </c>
      <c r="N44" s="113" t="s">
        <v>604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2884</v>
      </c>
      <c r="R44" s="59" t="s">
        <v>2890</v>
      </c>
      <c r="S44" s="6" t="s">
        <v>604</v>
      </c>
    </row>
    <row r="45" customFormat="false" ht="58.2" hidden="false" customHeight="false" outlineLevel="0" collapsed="false">
      <c r="A45" s="59" t="s">
        <v>2891</v>
      </c>
      <c r="B45" s="5" t="s">
        <v>2892</v>
      </c>
      <c r="C45" s="6" t="s">
        <v>2893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419</v>
      </c>
      <c r="H45" s="5" t="s">
        <v>2894</v>
      </c>
      <c r="I45" s="5" t="s">
        <v>2895</v>
      </c>
      <c r="J45" s="6" t="s">
        <v>2896</v>
      </c>
      <c r="K45" s="6" t="s">
        <v>2897</v>
      </c>
      <c r="L45" s="59" t="s">
        <v>604</v>
      </c>
      <c r="M45" s="113" t="s">
        <v>604</v>
      </c>
      <c r="N45" s="113" t="s">
        <v>604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2891</v>
      </c>
      <c r="R45" s="59" t="s">
        <v>2890</v>
      </c>
      <c r="S45" s="5" t="s">
        <v>2898</v>
      </c>
    </row>
    <row r="46" customFormat="false" ht="58.2" hidden="false" customHeight="false" outlineLevel="0" collapsed="false">
      <c r="A46" s="59" t="s">
        <v>2899</v>
      </c>
      <c r="B46" s="5" t="s">
        <v>2900</v>
      </c>
      <c r="C46" s="6" t="s">
        <v>2901</v>
      </c>
      <c r="D46" s="123" t="n">
        <f aca="false">IF_AllocServeGW</f>
        <v>0.182592896594975</v>
      </c>
      <c r="E46" s="113" t="n">
        <f aca="false">IF_AllocServeGW</f>
        <v>0.182592896594975</v>
      </c>
      <c r="F46" s="113" t="n">
        <f aca="false">IF_AllocServeGW</f>
        <v>0.182592896594975</v>
      </c>
      <c r="G46" s="59" t="s">
        <v>81</v>
      </c>
      <c r="H46" s="5" t="s">
        <v>2902</v>
      </c>
      <c r="I46" s="5" t="s">
        <v>2903</v>
      </c>
      <c r="J46" s="5" t="s">
        <v>2904</v>
      </c>
      <c r="K46" s="5" t="s">
        <v>2837</v>
      </c>
      <c r="L46" s="59" t="s">
        <v>2905</v>
      </c>
      <c r="M46" s="92" t="n">
        <f aca="false">AL_ServeGWSpend</f>
        <v>1.34714425652841</v>
      </c>
      <c r="N46" s="92" t="n">
        <f aca="false">AL_ServeGWSpend</f>
        <v>1.34714425652841</v>
      </c>
      <c r="O46" s="74" t="n">
        <f aca="false">IF(AND(ISNUMBER(D46),ISNUMBER(M46),ISNUMBER(N46)),D46/((M46+N46)/2),"—")</f>
        <v>0.135540715636139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2899</v>
      </c>
      <c r="R46" s="59" t="s">
        <v>2906</v>
      </c>
      <c r="S46" s="5" t="s">
        <v>2907</v>
      </c>
    </row>
    <row r="47" customFormat="false" ht="44" hidden="false" customHeight="false" outlineLevel="0" collapsed="false">
      <c r="A47" s="59" t="s">
        <v>2908</v>
      </c>
      <c r="B47" s="5" t="s">
        <v>2909</v>
      </c>
      <c r="C47" s="6" t="s">
        <v>2910</v>
      </c>
      <c r="D47" s="123" t="n">
        <f aca="false">AL_FreeServeShare</f>
        <v>0.131656253388537</v>
      </c>
      <c r="E47" s="113" t="n">
        <f aca="false">AL_FreeServeShare</f>
        <v>0.131656253388537</v>
      </c>
      <c r="F47" s="113" t="n">
        <f aca="false">AL_FreeServeShare</f>
        <v>0.131656253388537</v>
      </c>
      <c r="G47" s="59" t="s">
        <v>89</v>
      </c>
      <c r="H47" s="5" t="s">
        <v>2902</v>
      </c>
      <c r="I47" s="6" t="s">
        <v>2911</v>
      </c>
      <c r="J47" s="5" t="s">
        <v>2912</v>
      </c>
      <c r="K47" s="5" t="s">
        <v>2913</v>
      </c>
      <c r="L47" s="59" t="s">
        <v>2914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0.283567314990695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2908</v>
      </c>
      <c r="R47" s="59" t="s">
        <v>2906</v>
      </c>
      <c r="S47" s="5" t="s">
        <v>2915</v>
      </c>
    </row>
    <row r="48" customFormat="false" ht="58.2" hidden="false" customHeight="false" outlineLevel="0" collapsed="false">
      <c r="A48" s="59" t="s">
        <v>2916</v>
      </c>
      <c r="B48" s="5" t="s">
        <v>2917</v>
      </c>
      <c r="C48" s="6" t="s">
        <v>2918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1292</v>
      </c>
      <c r="H48" s="5" t="s">
        <v>2902</v>
      </c>
      <c r="I48" s="5" t="s">
        <v>2919</v>
      </c>
      <c r="J48" s="5" t="s">
        <v>2920</v>
      </c>
      <c r="K48" s="5" t="s">
        <v>2837</v>
      </c>
      <c r="L48" s="59" t="s">
        <v>2921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2916</v>
      </c>
      <c r="R48" s="59" t="s">
        <v>2922</v>
      </c>
      <c r="S48" s="6" t="s">
        <v>2923</v>
      </c>
    </row>
    <row r="49" customFormat="false" ht="143.25" hidden="false" customHeight="false" outlineLevel="0" collapsed="false">
      <c r="A49" s="59" t="s">
        <v>2924</v>
      </c>
      <c r="B49" s="5" t="s">
        <v>2925</v>
      </c>
      <c r="C49" s="6" t="s">
        <v>2926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89</v>
      </c>
      <c r="H49" s="5" t="s">
        <v>2927</v>
      </c>
      <c r="I49" s="6" t="s">
        <v>2928</v>
      </c>
      <c r="J49" s="5" t="s">
        <v>2929</v>
      </c>
      <c r="K49" s="5" t="s">
        <v>2868</v>
      </c>
      <c r="L49" s="59" t="s">
        <v>2930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2924</v>
      </c>
      <c r="R49" s="59" t="s">
        <v>2931</v>
      </c>
      <c r="S49" s="5" t="s">
        <v>2932</v>
      </c>
    </row>
    <row r="50" customFormat="false" ht="69.4" hidden="false" customHeight="false" outlineLevel="0" collapsed="false">
      <c r="A50" s="59" t="s">
        <v>2933</v>
      </c>
      <c r="B50" s="5" t="s">
        <v>2934</v>
      </c>
      <c r="C50" s="6" t="s">
        <v>2926</v>
      </c>
      <c r="D50" s="123" t="n">
        <f aca="false">IF(AND(ISNUMBER(IF_PriceRef_Sol),ISNUMBER(INDEX(IF_FullCostDefault_Sol,1,11))),1-INDEX(IF_FullCostDefault_Sol,1,11)/IF_PriceRef_Sol,"—")</f>
        <v>0.933241818051687</v>
      </c>
      <c r="E50" s="113" t="n">
        <f aca="false">IF(AND(ISNUMBER(IF_PriceRef_Sol),ISNUMBER(INDEX(IF_FullCostDefault_Sol,1,12))),1-INDEX(IF_FullCostDefault_Sol,1,12)/IF_PriceRef_Sol,"—")</f>
        <v>0.892161950423308</v>
      </c>
      <c r="F50" s="113" t="n">
        <f aca="false">IF(AND(ISNUMBER(IF_PriceRef_Sol),ISNUMBER(INDEX(IF_FullCostDefault_Sol,1,10))),1-INDEX(IF_FullCostDefault_Sol,1,10)/IF_PriceRef_Sol,"—")</f>
        <v>0.948054251189348</v>
      </c>
      <c r="G50" s="59" t="s">
        <v>89</v>
      </c>
      <c r="H50" s="5" t="s">
        <v>2927</v>
      </c>
      <c r="I50" s="6" t="s">
        <v>2935</v>
      </c>
      <c r="J50" s="5" t="s">
        <v>2936</v>
      </c>
      <c r="K50" s="5" t="s">
        <v>2868</v>
      </c>
      <c r="L50" s="59" t="s">
        <v>604</v>
      </c>
      <c r="M50" s="113" t="s">
        <v>604</v>
      </c>
      <c r="N50" s="113" t="s">
        <v>604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2933</v>
      </c>
      <c r="R50" s="59" t="s">
        <v>2937</v>
      </c>
      <c r="S50" s="6" t="s">
        <v>604</v>
      </c>
    </row>
    <row r="51" customFormat="false" ht="44" hidden="false" customHeight="false" outlineLevel="0" collapsed="false">
      <c r="A51" s="59" t="s">
        <v>2938</v>
      </c>
      <c r="B51" s="5" t="s">
        <v>2939</v>
      </c>
      <c r="C51" s="5" t="s">
        <v>2872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89</v>
      </c>
      <c r="H51" s="5" t="s">
        <v>2873</v>
      </c>
      <c r="I51" s="6" t="s">
        <v>2940</v>
      </c>
      <c r="J51" s="6" t="s">
        <v>2875</v>
      </c>
      <c r="K51" s="6" t="s">
        <v>2791</v>
      </c>
      <c r="L51" s="59" t="s">
        <v>604</v>
      </c>
      <c r="M51" s="113" t="s">
        <v>604</v>
      </c>
      <c r="N51" s="113" t="s">
        <v>604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2938</v>
      </c>
      <c r="R51" s="59" t="s">
        <v>2876</v>
      </c>
      <c r="S51" s="6" t="s">
        <v>604</v>
      </c>
    </row>
    <row r="52" customFormat="false" ht="58.2" hidden="false" customHeight="false" outlineLevel="0" collapsed="false">
      <c r="A52" s="59" t="s">
        <v>2941</v>
      </c>
      <c r="B52" s="5" t="s">
        <v>2942</v>
      </c>
      <c r="C52" s="6" t="s">
        <v>2943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93</v>
      </c>
      <c r="H52" s="5" t="s">
        <v>2670</v>
      </c>
      <c r="I52" s="6" t="s">
        <v>2944</v>
      </c>
      <c r="J52" s="5" t="s">
        <v>2945</v>
      </c>
      <c r="K52" s="5" t="s">
        <v>2946</v>
      </c>
      <c r="L52" s="59" t="s">
        <v>604</v>
      </c>
      <c r="M52" s="113" t="s">
        <v>604</v>
      </c>
      <c r="N52" s="113" t="s">
        <v>604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2941</v>
      </c>
      <c r="R52" s="59" t="s">
        <v>2947</v>
      </c>
      <c r="S52" s="6" t="s">
        <v>604</v>
      </c>
    </row>
    <row r="53" customFormat="false" ht="140.25" hidden="false" customHeight="false" outlineLevel="0" collapsed="false">
      <c r="A53" s="59" t="s">
        <v>2948</v>
      </c>
      <c r="B53" s="5" t="s">
        <v>2949</v>
      </c>
      <c r="C53" s="6" t="s">
        <v>2950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93</v>
      </c>
      <c r="H53" s="5" t="s">
        <v>2951</v>
      </c>
      <c r="I53" s="5" t="s">
        <v>2952</v>
      </c>
      <c r="J53" s="5" t="s">
        <v>2953</v>
      </c>
      <c r="K53" s="5" t="s">
        <v>2954</v>
      </c>
      <c r="L53" s="59" t="s">
        <v>604</v>
      </c>
      <c r="M53" s="113" t="s">
        <v>604</v>
      </c>
      <c r="N53" s="113" t="s">
        <v>604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2948</v>
      </c>
      <c r="R53" s="59" t="s">
        <v>2955</v>
      </c>
      <c r="S53" s="5" t="s">
        <v>2956</v>
      </c>
    </row>
    <row r="54" customFormat="false" ht="44" hidden="false" customHeight="false" outlineLevel="0" collapsed="false">
      <c r="A54" s="59" t="s">
        <v>2957</v>
      </c>
      <c r="B54" s="5" t="s">
        <v>2958</v>
      </c>
      <c r="C54" s="5" t="s">
        <v>2959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2960</v>
      </c>
      <c r="H54" s="5" t="s">
        <v>2670</v>
      </c>
      <c r="I54" s="5" t="s">
        <v>2961</v>
      </c>
      <c r="J54" s="6" t="s">
        <v>2962</v>
      </c>
      <c r="K54" s="5" t="s">
        <v>2705</v>
      </c>
      <c r="L54" s="59" t="s">
        <v>604</v>
      </c>
      <c r="M54" s="113" t="s">
        <v>604</v>
      </c>
      <c r="N54" s="113" t="s">
        <v>604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2957</v>
      </c>
      <c r="R54" s="59" t="s">
        <v>2963</v>
      </c>
      <c r="S54" s="6" t="s">
        <v>604</v>
      </c>
    </row>
    <row r="55" customFormat="false" ht="44" hidden="false" customHeight="false" outlineLevel="0" collapsed="false">
      <c r="A55" s="59" t="s">
        <v>2964</v>
      </c>
      <c r="B55" s="5" t="s">
        <v>2965</v>
      </c>
      <c r="C55" s="5" t="s">
        <v>2959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2960</v>
      </c>
      <c r="H55" s="5" t="s">
        <v>2670</v>
      </c>
      <c r="I55" s="5" t="s">
        <v>2961</v>
      </c>
      <c r="J55" s="6" t="s">
        <v>2962</v>
      </c>
      <c r="K55" s="5" t="s">
        <v>2705</v>
      </c>
      <c r="L55" s="59" t="s">
        <v>604</v>
      </c>
      <c r="M55" s="113" t="s">
        <v>604</v>
      </c>
      <c r="N55" s="113" t="s">
        <v>604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2964</v>
      </c>
      <c r="R55" s="59" t="s">
        <v>2963</v>
      </c>
      <c r="S55" s="6" t="s">
        <v>604</v>
      </c>
    </row>
    <row r="56" customFormat="false" ht="100.7" hidden="false" customHeight="false" outlineLevel="0" collapsed="false">
      <c r="A56" s="59" t="s">
        <v>2966</v>
      </c>
      <c r="B56" s="5" t="s">
        <v>2967</v>
      </c>
      <c r="C56" s="5" t="s">
        <v>2959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2960</v>
      </c>
      <c r="H56" s="5" t="s">
        <v>2670</v>
      </c>
      <c r="I56" s="5" t="s">
        <v>2968</v>
      </c>
      <c r="J56" s="6" t="s">
        <v>2962</v>
      </c>
      <c r="K56" s="5" t="s">
        <v>2705</v>
      </c>
      <c r="L56" s="59" t="s">
        <v>604</v>
      </c>
      <c r="M56" s="113" t="s">
        <v>604</v>
      </c>
      <c r="N56" s="113" t="s">
        <v>604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2966</v>
      </c>
      <c r="R56" s="59" t="s">
        <v>2963</v>
      </c>
      <c r="S56" s="5" t="s">
        <v>2969</v>
      </c>
    </row>
    <row r="57" customFormat="false" ht="44" hidden="false" customHeight="false" outlineLevel="0" collapsed="false">
      <c r="A57" s="59" t="s">
        <v>2970</v>
      </c>
      <c r="B57" s="5" t="s">
        <v>2971</v>
      </c>
      <c r="C57" s="5" t="s">
        <v>2959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2960</v>
      </c>
      <c r="H57" s="5" t="s">
        <v>2670</v>
      </c>
      <c r="I57" s="5" t="s">
        <v>2961</v>
      </c>
      <c r="J57" s="6" t="s">
        <v>2962</v>
      </c>
      <c r="K57" s="5" t="s">
        <v>2705</v>
      </c>
      <c r="L57" s="59" t="s">
        <v>604</v>
      </c>
      <c r="M57" s="113" t="s">
        <v>604</v>
      </c>
      <c r="N57" s="113" t="s">
        <v>604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2970</v>
      </c>
      <c r="R57" s="59" t="s">
        <v>2963</v>
      </c>
      <c r="S57" s="6" t="s">
        <v>604</v>
      </c>
    </row>
    <row r="58" customFormat="false" ht="44" hidden="false" customHeight="false" outlineLevel="0" collapsed="false">
      <c r="A58" s="59" t="s">
        <v>2972</v>
      </c>
      <c r="B58" s="5" t="s">
        <v>2973</v>
      </c>
      <c r="C58" s="5" t="s">
        <v>2974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93</v>
      </c>
      <c r="H58" s="5" t="s">
        <v>2975</v>
      </c>
      <c r="I58" s="5" t="s">
        <v>2976</v>
      </c>
      <c r="J58" s="6" t="s">
        <v>2977</v>
      </c>
      <c r="K58" s="6" t="s">
        <v>2978</v>
      </c>
      <c r="L58" s="59" t="s">
        <v>604</v>
      </c>
      <c r="M58" s="113" t="s">
        <v>604</v>
      </c>
      <c r="N58" s="113" t="s">
        <v>604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2972</v>
      </c>
      <c r="R58" s="59" t="s">
        <v>2979</v>
      </c>
      <c r="S58" s="6" t="s">
        <v>2980</v>
      </c>
    </row>
    <row r="59" customFormat="false" ht="72.35" hidden="false" customHeight="false" outlineLevel="0" collapsed="false">
      <c r="A59" s="59" t="s">
        <v>2981</v>
      </c>
      <c r="B59" s="5" t="s">
        <v>2982</v>
      </c>
      <c r="C59" s="5" t="s">
        <v>2974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93</v>
      </c>
      <c r="H59" s="5" t="s">
        <v>2975</v>
      </c>
      <c r="I59" s="5" t="s">
        <v>2976</v>
      </c>
      <c r="J59" s="6" t="s">
        <v>2977</v>
      </c>
      <c r="K59" s="6" t="s">
        <v>2978</v>
      </c>
      <c r="L59" s="59" t="s">
        <v>2983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2981</v>
      </c>
      <c r="R59" s="59" t="s">
        <v>2979</v>
      </c>
      <c r="S59" s="5" t="s">
        <v>2984</v>
      </c>
    </row>
    <row r="60" customFormat="false" ht="72.35" hidden="false" customHeight="false" outlineLevel="0" collapsed="false">
      <c r="A60" s="59" t="s">
        <v>2985</v>
      </c>
      <c r="B60" s="5" t="s">
        <v>2986</v>
      </c>
      <c r="C60" s="5" t="s">
        <v>2974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93</v>
      </c>
      <c r="H60" s="6" t="s">
        <v>2987</v>
      </c>
      <c r="I60" s="5" t="s">
        <v>2976</v>
      </c>
      <c r="J60" s="6" t="s">
        <v>2977</v>
      </c>
      <c r="K60" s="6" t="s">
        <v>2978</v>
      </c>
      <c r="L60" s="59" t="s">
        <v>2988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2985</v>
      </c>
      <c r="R60" s="59" t="s">
        <v>2979</v>
      </c>
      <c r="S60" s="5" t="s">
        <v>2984</v>
      </c>
    </row>
    <row r="61" customFormat="false" ht="44" hidden="false" customHeight="false" outlineLevel="0" collapsed="false">
      <c r="A61" s="59" t="s">
        <v>2989</v>
      </c>
      <c r="B61" s="6" t="s">
        <v>2990</v>
      </c>
      <c r="C61" s="6" t="s">
        <v>2991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93</v>
      </c>
      <c r="H61" s="5" t="s">
        <v>2992</v>
      </c>
      <c r="I61" s="6" t="s">
        <v>2993</v>
      </c>
      <c r="J61" s="6" t="s">
        <v>2994</v>
      </c>
      <c r="K61" s="6" t="s">
        <v>2889</v>
      </c>
      <c r="L61" s="59" t="s">
        <v>2995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2989</v>
      </c>
      <c r="R61" s="59" t="s">
        <v>2996</v>
      </c>
      <c r="S61" s="5" t="s">
        <v>2997</v>
      </c>
    </row>
    <row r="62" customFormat="false" ht="44" hidden="false" customHeight="false" outlineLevel="0" collapsed="false">
      <c r="A62" s="59" t="s">
        <v>2998</v>
      </c>
      <c r="B62" s="6" t="s">
        <v>2999</v>
      </c>
      <c r="C62" s="6" t="s">
        <v>3000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93</v>
      </c>
      <c r="H62" s="5" t="s">
        <v>2992</v>
      </c>
      <c r="I62" s="6" t="s">
        <v>2993</v>
      </c>
      <c r="J62" s="6" t="s">
        <v>2994</v>
      </c>
      <c r="K62" s="6" t="s">
        <v>2889</v>
      </c>
      <c r="L62" s="59" t="s">
        <v>2995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2998</v>
      </c>
      <c r="R62" s="59" t="s">
        <v>2996</v>
      </c>
      <c r="S62" s="5" t="s">
        <v>2997</v>
      </c>
    </row>
    <row r="63" customFormat="false" ht="44" hidden="false" customHeight="false" outlineLevel="0" collapsed="false">
      <c r="A63" s="59" t="s">
        <v>3001</v>
      </c>
      <c r="B63" s="6" t="s">
        <v>3002</v>
      </c>
      <c r="C63" s="6" t="s">
        <v>3003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93</v>
      </c>
      <c r="H63" s="5" t="s">
        <v>2992</v>
      </c>
      <c r="I63" s="6" t="s">
        <v>2993</v>
      </c>
      <c r="J63" s="6" t="s">
        <v>2994</v>
      </c>
      <c r="K63" s="6" t="s">
        <v>2889</v>
      </c>
      <c r="L63" s="59" t="s">
        <v>2995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3001</v>
      </c>
      <c r="R63" s="59" t="s">
        <v>2996</v>
      </c>
      <c r="S63" s="5" t="s">
        <v>2997</v>
      </c>
    </row>
    <row r="64" customFormat="false" ht="44" hidden="false" customHeight="false" outlineLevel="0" collapsed="false">
      <c r="A64" s="59" t="s">
        <v>3004</v>
      </c>
      <c r="B64" s="6" t="s">
        <v>3005</v>
      </c>
      <c r="C64" s="6" t="s">
        <v>3006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93</v>
      </c>
      <c r="H64" s="5" t="s">
        <v>2992</v>
      </c>
      <c r="I64" s="6" t="s">
        <v>2993</v>
      </c>
      <c r="J64" s="6" t="s">
        <v>2994</v>
      </c>
      <c r="K64" s="6" t="s">
        <v>2889</v>
      </c>
      <c r="L64" s="59" t="s">
        <v>2995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3004</v>
      </c>
      <c r="R64" s="59" t="s">
        <v>2996</v>
      </c>
      <c r="S64" s="5" t="s">
        <v>2997</v>
      </c>
    </row>
    <row r="65" customFormat="false" ht="44" hidden="false" customHeight="false" outlineLevel="0" collapsed="false">
      <c r="A65" s="59" t="s">
        <v>3007</v>
      </c>
      <c r="B65" s="6" t="s">
        <v>3008</v>
      </c>
      <c r="C65" s="6" t="s">
        <v>3009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93</v>
      </c>
      <c r="H65" s="6" t="s">
        <v>3010</v>
      </c>
      <c r="I65" s="6" t="s">
        <v>2993</v>
      </c>
      <c r="J65" s="6" t="s">
        <v>2994</v>
      </c>
      <c r="K65" s="6" t="s">
        <v>2889</v>
      </c>
      <c r="L65" s="59" t="s">
        <v>2995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3007</v>
      </c>
      <c r="R65" s="59" t="s">
        <v>2996</v>
      </c>
      <c r="S65" s="5" t="s">
        <v>2997</v>
      </c>
    </row>
    <row r="66" customFormat="false" ht="29.85" hidden="false" customHeight="false" outlineLevel="0" collapsed="false">
      <c r="A66" s="59" t="s">
        <v>3011</v>
      </c>
      <c r="B66" s="6" t="s">
        <v>3012</v>
      </c>
      <c r="C66" s="6" t="s">
        <v>3013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297</v>
      </c>
      <c r="H66" s="6" t="s">
        <v>3014</v>
      </c>
      <c r="I66" s="5" t="s">
        <v>3015</v>
      </c>
      <c r="J66" s="6" t="s">
        <v>3016</v>
      </c>
      <c r="K66" s="6" t="s">
        <v>3017</v>
      </c>
      <c r="L66" s="59" t="s">
        <v>2828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3011</v>
      </c>
      <c r="R66" s="59" t="s">
        <v>3018</v>
      </c>
      <c r="S66" s="6" t="s">
        <v>604</v>
      </c>
    </row>
    <row r="67" customFormat="false" ht="29.85" hidden="false" customHeight="false" outlineLevel="0" collapsed="false">
      <c r="A67" s="59" t="s">
        <v>3019</v>
      </c>
      <c r="B67" s="6" t="s">
        <v>3020</v>
      </c>
      <c r="C67" s="6" t="s">
        <v>3021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93</v>
      </c>
      <c r="H67" s="5" t="s">
        <v>3022</v>
      </c>
      <c r="I67" s="5" t="s">
        <v>3023</v>
      </c>
      <c r="J67" s="6" t="s">
        <v>2826</v>
      </c>
      <c r="K67" s="6" t="s">
        <v>2827</v>
      </c>
      <c r="L67" s="59" t="s">
        <v>604</v>
      </c>
      <c r="M67" s="113" t="s">
        <v>604</v>
      </c>
      <c r="N67" s="113" t="s">
        <v>604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3019</v>
      </c>
      <c r="R67" s="59" t="s">
        <v>3024</v>
      </c>
      <c r="S67" s="6" t="s">
        <v>604</v>
      </c>
    </row>
    <row r="68" customFormat="false" ht="44" hidden="false" customHeight="false" outlineLevel="0" collapsed="false">
      <c r="A68" s="59" t="s">
        <v>3025</v>
      </c>
      <c r="B68" s="5" t="s">
        <v>3026</v>
      </c>
      <c r="C68" s="6" t="s">
        <v>3027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93</v>
      </c>
      <c r="H68" s="5" t="s">
        <v>3028</v>
      </c>
      <c r="I68" s="5" t="s">
        <v>3029</v>
      </c>
      <c r="J68" s="6" t="s">
        <v>2852</v>
      </c>
      <c r="K68" s="5" t="s">
        <v>2853</v>
      </c>
      <c r="L68" s="59" t="s">
        <v>3030</v>
      </c>
      <c r="M68" s="113" t="s">
        <v>604</v>
      </c>
      <c r="N68" s="113" t="s">
        <v>604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3025</v>
      </c>
      <c r="R68" s="59" t="s">
        <v>3031</v>
      </c>
      <c r="S68" s="5" t="s">
        <v>3032</v>
      </c>
    </row>
    <row r="69" customFormat="false" ht="44" hidden="false" customHeight="false" outlineLevel="0" collapsed="false">
      <c r="A69" s="59" t="s">
        <v>3033</v>
      </c>
      <c r="B69" s="5" t="s">
        <v>3034</v>
      </c>
      <c r="C69" s="6" t="s">
        <v>3027</v>
      </c>
      <c r="D69" s="123" t="n">
        <f aca="false">IF(AND(ISNUMBER(AL_ServeGW),ISNUMBER(AL_ServeGWSpend)),AL_ServeGWSpend/AL_ServeGW,"SLO 不可達")</f>
        <v>7.37785686984652</v>
      </c>
      <c r="E69" s="92" t="n">
        <f aca="false">IF(AND(ISNUMBER(Alloc!$Q$79),ISNUMBER(AL_ServeGWSpend)),AL_ServeGWSpend/Alloc!$Q$79,"SLO 不可達")</f>
        <v>4.07526557231771</v>
      </c>
      <c r="F69" s="92" t="n">
        <f aca="false">IF(AND(ISNUMBER(Alloc!$Q$78),ISNUMBER(AL_ServeGWSpend)),AL_ServeGWSpend/Alloc!$Q$78,"SLO 不可達")</f>
        <v>9.60086622695544</v>
      </c>
      <c r="G69" s="59" t="s">
        <v>93</v>
      </c>
      <c r="H69" s="5" t="s">
        <v>3035</v>
      </c>
      <c r="I69" s="5" t="s">
        <v>3036</v>
      </c>
      <c r="J69" s="5" t="s">
        <v>3037</v>
      </c>
      <c r="K69" s="5" t="s">
        <v>3038</v>
      </c>
      <c r="L69" s="59" t="s">
        <v>3039</v>
      </c>
      <c r="M69" s="113" t="s">
        <v>604</v>
      </c>
      <c r="N69" s="113" t="s">
        <v>604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3033</v>
      </c>
      <c r="R69" s="59" t="s">
        <v>3040</v>
      </c>
      <c r="S69" s="5" t="s">
        <v>3032</v>
      </c>
    </row>
    <row r="70" customFormat="false" ht="44" hidden="false" customHeight="false" outlineLevel="0" collapsed="false">
      <c r="A70" s="59" t="s">
        <v>3041</v>
      </c>
      <c r="B70" s="5" t="s">
        <v>3042</v>
      </c>
      <c r="C70" s="6" t="s">
        <v>3043</v>
      </c>
      <c r="D70" s="123" t="n">
        <f aca="false">AL_TokPerPrompt/CST_TokPerPromptV528</f>
        <v>2</v>
      </c>
      <c r="E70" s="113" t="n">
        <f aca="false">AL_TokPerPrompt_Lo/CST_TokPerPromptV528</f>
        <v>1</v>
      </c>
      <c r="F70" s="113" t="n">
        <f aca="false">AL_TokPerPrompt_Hi/CST_TokPerPromptV528</f>
        <v>5.5</v>
      </c>
      <c r="G70" s="59" t="s">
        <v>93</v>
      </c>
      <c r="H70" s="5" t="s">
        <v>3044</v>
      </c>
      <c r="I70" s="5" t="s">
        <v>3045</v>
      </c>
      <c r="J70" s="5" t="s">
        <v>2095</v>
      </c>
      <c r="K70" s="5" t="s">
        <v>3046</v>
      </c>
      <c r="L70" s="59" t="s">
        <v>3047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0.625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3041</v>
      </c>
      <c r="R70" s="59" t="s">
        <v>3048</v>
      </c>
      <c r="S70" s="6" t="s">
        <v>604</v>
      </c>
    </row>
    <row r="71" customFormat="false" ht="44" hidden="false" customHeight="false" outlineLevel="0" collapsed="false">
      <c r="A71" s="59" t="s">
        <v>3049</v>
      </c>
      <c r="B71" s="5" t="s">
        <v>3050</v>
      </c>
      <c r="C71" s="6" t="s">
        <v>3051</v>
      </c>
      <c r="D71" s="123" t="n">
        <f aca="false">AL_SpendBasis</f>
        <v>2</v>
      </c>
      <c r="E71" s="113" t="n">
        <f aca="false">AL_SpendBasis_Lo</f>
        <v>1.5</v>
      </c>
      <c r="F71" s="113" t="n">
        <f aca="false">AL_SpendBasis_Hi</f>
        <v>3</v>
      </c>
      <c r="G71" s="59" t="s">
        <v>93</v>
      </c>
      <c r="H71" s="6" t="s">
        <v>3052</v>
      </c>
      <c r="I71" s="5" t="s">
        <v>3053</v>
      </c>
      <c r="J71" s="5" t="s">
        <v>3054</v>
      </c>
      <c r="K71" s="5" t="s">
        <v>3055</v>
      </c>
      <c r="L71" s="59" t="s">
        <v>604</v>
      </c>
      <c r="M71" s="113" t="s">
        <v>604</v>
      </c>
      <c r="N71" s="113" t="s">
        <v>604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3049</v>
      </c>
      <c r="R71" s="59" t="s">
        <v>3056</v>
      </c>
      <c r="S71" s="5" t="s">
        <v>3057</v>
      </c>
    </row>
    <row r="72" customFormat="false" ht="72.35" hidden="false" customHeight="false" outlineLevel="0" collapsed="false">
      <c r="A72" s="59" t="s">
        <v>3058</v>
      </c>
      <c r="B72" s="5" t="s">
        <v>3059</v>
      </c>
      <c r="C72" s="6" t="s">
        <v>3060</v>
      </c>
      <c r="D72" s="114" t="n">
        <f aca="false">IF(ISNUMBER(Sens_Perf!$W$98),IF(Sens_Perf!$W$98&gt;0,INDEX(IF_TokGW_Sol,1,11)/Sens_Perf!$W$98,"SLO 不可達"),"SLO 不可達")</f>
        <v>2.30652659115816</v>
      </c>
      <c r="E72" s="92" t="n">
        <f aca="false">IF(ISNUMBER(Sens_Perf!$Y$98),IF(Sens_Perf!$Y$98&gt;0,INDEX(IF_TokGW_Sol,1,11)/Sens_Perf!$Y$98,"SLO 不可達"),"SLO 不可達")</f>
        <v>0.518188098352661</v>
      </c>
      <c r="F72" s="92" t="n">
        <f aca="false">IF(ISNUMBER(Sens_Perf!$W$98),IF(Sens_Perf!$W$98&gt;0,INDEX(IF_TokGW_Sol,1,11)/Sens_Perf!$W$98,"SLO 不可達"),"SLO 不可達")</f>
        <v>2.30652659115816</v>
      </c>
      <c r="G72" s="59" t="s">
        <v>93</v>
      </c>
      <c r="H72" s="5" t="s">
        <v>3061</v>
      </c>
      <c r="I72" s="6" t="s">
        <v>3062</v>
      </c>
      <c r="J72" s="5" t="s">
        <v>3063</v>
      </c>
      <c r="K72" s="5" t="s">
        <v>3064</v>
      </c>
      <c r="L72" s="59" t="s">
        <v>604</v>
      </c>
      <c r="M72" s="113" t="s">
        <v>604</v>
      </c>
      <c r="N72" s="113" t="s">
        <v>604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3058</v>
      </c>
      <c r="R72" s="59" t="s">
        <v>3065</v>
      </c>
      <c r="S72" s="6" t="s">
        <v>604</v>
      </c>
    </row>
    <row r="73" customFormat="false" ht="29.85" hidden="false" customHeight="false" outlineLevel="0" collapsed="false">
      <c r="A73" s="59" t="s">
        <v>3066</v>
      </c>
      <c r="B73" s="5" t="s">
        <v>3067</v>
      </c>
      <c r="C73" s="6" t="s">
        <v>3051</v>
      </c>
      <c r="D73" s="123" t="n">
        <f aca="false">IF_Util*CTL_ProdDerate/AL_UtilActual</f>
        <v>1.45714285714286</v>
      </c>
      <c r="E73" s="113" t="n">
        <f aca="false">IF_Util*CTL_ProdDerate/AL_UtilActual_Hi</f>
        <v>1.275</v>
      </c>
      <c r="F73" s="113" t="n">
        <f aca="false">IF_Util*CTL_ProdDerate/AL_UtilActual_Lo</f>
        <v>1.7</v>
      </c>
      <c r="G73" s="59" t="s">
        <v>93</v>
      </c>
      <c r="H73" s="5" t="s">
        <v>3068</v>
      </c>
      <c r="I73" s="5" t="s">
        <v>3069</v>
      </c>
      <c r="J73" s="5" t="s">
        <v>3070</v>
      </c>
      <c r="K73" s="6" t="s">
        <v>3071</v>
      </c>
      <c r="L73" s="59" t="s">
        <v>3072</v>
      </c>
      <c r="M73" s="113" t="s">
        <v>604</v>
      </c>
      <c r="N73" s="113" t="s">
        <v>604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3066</v>
      </c>
      <c r="R73" s="59" t="s">
        <v>3073</v>
      </c>
      <c r="S73" s="6" t="s">
        <v>604</v>
      </c>
    </row>
    <row r="74" customFormat="false" ht="29.85" hidden="false" customHeight="false" outlineLevel="0" collapsed="false">
      <c r="A74" s="59" t="s">
        <v>3074</v>
      </c>
      <c r="B74" s="5" t="s">
        <v>3075</v>
      </c>
      <c r="C74" s="6" t="s">
        <v>3076</v>
      </c>
      <c r="D74" s="123" t="n">
        <f aca="false">IF(AND(ISNUMBER(L1_GapISL),ISNUMBER(L1_GapPrompt)),L1_GapPrompt*L1_GapSpendBasis*L1_GapISL*L1_GapUtil,"SLO 不可達")</f>
        <v>13.4437549884647</v>
      </c>
      <c r="E74" s="113" t="n">
        <f aca="false">IF(AND(ISNUMBER(L1_GapISL_Lo),ISNUMBER(L1_GapPrompt_Lo)),L1_GapPrompt_Lo*L1_GapSpendBasis_Lo*L1_GapISL_Lo*L1_GapUtil_Lo,"SLO 不可達")</f>
        <v>0.991034738099464</v>
      </c>
      <c r="F74" s="113" t="n">
        <f aca="false">IF(AND(ISNUMBER(L1_GapISL_Hi),ISNUMBER(L1_GapPrompt_Hi)),L1_GapPrompt_Hi*L1_GapSpendBasis_Hi*L1_GapISL_Hi*L1_GapUtil_Hi,"SLO 不可達")</f>
        <v>64.6980708819864</v>
      </c>
      <c r="G74" s="59" t="s">
        <v>93</v>
      </c>
      <c r="H74" s="5" t="s">
        <v>3077</v>
      </c>
      <c r="I74" s="5" t="s">
        <v>3078</v>
      </c>
      <c r="J74" s="5" t="s">
        <v>3079</v>
      </c>
      <c r="K74" s="5" t="s">
        <v>3080</v>
      </c>
      <c r="L74" s="59" t="s">
        <v>3081</v>
      </c>
      <c r="M74" s="92" t="n">
        <f aca="false">L1_ScaleServe</f>
        <v>7.37785686984652</v>
      </c>
      <c r="N74" s="92" t="n">
        <f aca="false">L1_ScaleServe</f>
        <v>7.37785686984652</v>
      </c>
      <c r="O74" s="74" t="n">
        <f aca="false">IF(AND(ISNUMBER(D74),ISNUMBER(M74),ISNUMBER(N74)),D74/((M74+N74)/2),"—")</f>
        <v>1.82217617197342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3074</v>
      </c>
      <c r="R74" s="59" t="s">
        <v>3024</v>
      </c>
      <c r="S74" s="6" t="s">
        <v>604</v>
      </c>
    </row>
    <row r="75" customFormat="false" ht="58.2" hidden="false" customHeight="false" outlineLevel="0" collapsed="false">
      <c r="A75" s="59" t="s">
        <v>3082</v>
      </c>
      <c r="B75" s="5" t="s">
        <v>3083</v>
      </c>
      <c r="C75" s="5" t="s">
        <v>3084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3085</v>
      </c>
      <c r="H75" s="5" t="s">
        <v>2670</v>
      </c>
      <c r="I75" s="6" t="s">
        <v>3086</v>
      </c>
      <c r="J75" s="5" t="s">
        <v>3087</v>
      </c>
      <c r="K75" s="5" t="s">
        <v>3088</v>
      </c>
      <c r="L75" s="59" t="s">
        <v>3089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3082</v>
      </c>
      <c r="R75" s="59" t="s">
        <v>3090</v>
      </c>
      <c r="S75" s="6" t="s">
        <v>3091</v>
      </c>
    </row>
    <row r="76" customFormat="false" ht="143.25" hidden="false" customHeight="false" outlineLevel="0" collapsed="false">
      <c r="A76" s="59" t="s">
        <v>3092</v>
      </c>
      <c r="B76" s="5" t="s">
        <v>3093</v>
      </c>
      <c r="C76" s="6" t="s">
        <v>3094</v>
      </c>
      <c r="D76" s="114" t="n">
        <f aca="false">Cap_In!$C$94</f>
        <v>1.74267221182383</v>
      </c>
      <c r="E76" s="92" t="n">
        <f aca="false">Cap_In!$D$94</f>
        <v>0.752315240563261</v>
      </c>
      <c r="F76" s="92" t="n">
        <f aca="false">Cap_In!$E$94</f>
        <v>2.95329960865358</v>
      </c>
      <c r="G76" s="59" t="s">
        <v>93</v>
      </c>
      <c r="H76" s="5" t="s">
        <v>3095</v>
      </c>
      <c r="I76" s="6" t="s">
        <v>3096</v>
      </c>
      <c r="J76" s="5" t="s">
        <v>3097</v>
      </c>
      <c r="K76" s="5" t="s">
        <v>3098</v>
      </c>
      <c r="L76" s="59" t="s">
        <v>3099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3092</v>
      </c>
      <c r="R76" s="59" t="s">
        <v>3100</v>
      </c>
      <c r="S76" s="5" t="s">
        <v>3101</v>
      </c>
    </row>
    <row r="77" customFormat="false" ht="143.25" hidden="false" customHeight="false" outlineLevel="0" collapsed="false">
      <c r="A77" s="59" t="s">
        <v>3102</v>
      </c>
      <c r="B77" s="5" t="s">
        <v>3103</v>
      </c>
      <c r="C77" s="6" t="s">
        <v>3104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93</v>
      </c>
      <c r="H77" s="6" t="s">
        <v>3105</v>
      </c>
      <c r="I77" s="5" t="s">
        <v>3106</v>
      </c>
      <c r="J77" s="6" t="s">
        <v>3107</v>
      </c>
      <c r="K77" s="6" t="s">
        <v>3108</v>
      </c>
      <c r="L77" s="59" t="s">
        <v>3099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3102</v>
      </c>
      <c r="R77" s="59" t="s">
        <v>3109</v>
      </c>
      <c r="S77" s="6" t="s">
        <v>3110</v>
      </c>
    </row>
    <row r="78" customFormat="false" ht="214.15" hidden="false" customHeight="false" outlineLevel="0" collapsed="false">
      <c r="A78" s="59" t="s">
        <v>3111</v>
      </c>
      <c r="B78" s="5" t="s">
        <v>3112</v>
      </c>
      <c r="C78" s="6" t="s">
        <v>3113</v>
      </c>
      <c r="D78" s="114" t="n">
        <f aca="false">Cap_In!$C$119</f>
        <v>0.809838989862221</v>
      </c>
      <c r="E78" s="92" t="n">
        <f aca="false">Cap_In!$D$119</f>
        <v>0.531456837097083</v>
      </c>
      <c r="F78" s="92" t="n">
        <f aca="false">Cap_In!$E$119</f>
        <v>1.41721823225889</v>
      </c>
      <c r="G78" s="59" t="s">
        <v>93</v>
      </c>
      <c r="H78" s="5" t="s">
        <v>3114</v>
      </c>
      <c r="I78" s="5" t="s">
        <v>3115</v>
      </c>
      <c r="J78" s="5" t="s">
        <v>3116</v>
      </c>
      <c r="K78" s="6" t="s">
        <v>3117</v>
      </c>
      <c r="L78" s="59" t="s">
        <v>3099</v>
      </c>
      <c r="M78" s="92" t="n">
        <f aca="false">CTL_Monetize</f>
        <v>1</v>
      </c>
      <c r="N78" s="92" t="n">
        <f aca="false">CTL_Monetize</f>
        <v>1</v>
      </c>
      <c r="O78" s="74" t="n">
        <f aca="false">IF(AND(ISNUMBER(D78),ISNUMBER(M78),ISNUMBER(N78)),D78/((M78+N78)/2),"—")</f>
        <v>0.809838989862221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59" t="s">
        <v>3111</v>
      </c>
      <c r="R78" s="59" t="s">
        <v>3118</v>
      </c>
      <c r="S78" s="5" t="s">
        <v>3119</v>
      </c>
    </row>
    <row r="79" customFormat="false" ht="143.25" hidden="false" customHeight="false" outlineLevel="0" collapsed="false">
      <c r="A79" s="59" t="s">
        <v>3120</v>
      </c>
      <c r="B79" s="5" t="s">
        <v>3121</v>
      </c>
      <c r="C79" s="6" t="s">
        <v>3122</v>
      </c>
      <c r="D79" s="114" t="n">
        <f aca="false">Cap_In!$C$118</f>
        <v>11994255691.8782</v>
      </c>
      <c r="E79" s="92" t="n">
        <f aca="false">Cap_In!$E$118</f>
        <v>7996170461.25212</v>
      </c>
      <c r="F79" s="92" t="n">
        <f aca="false">Cap_In!$D$118</f>
        <v>15992340922.5042</v>
      </c>
      <c r="G79" s="59" t="s">
        <v>783</v>
      </c>
      <c r="H79" s="5" t="s">
        <v>3123</v>
      </c>
      <c r="I79" s="5" t="s">
        <v>3124</v>
      </c>
      <c r="J79" s="5" t="s">
        <v>3125</v>
      </c>
      <c r="K79" s="6" t="s">
        <v>3126</v>
      </c>
      <c r="L79" s="59" t="s">
        <v>3127</v>
      </c>
      <c r="M79" s="92" t="n">
        <f aca="false">AL_DPaid</f>
        <v>3825200000</v>
      </c>
      <c r="N79" s="92" t="n">
        <f aca="false">AL_DPaid</f>
        <v>3825200000</v>
      </c>
      <c r="O79" s="74" t="n">
        <f aca="false">IF(AND(ISNUMBER(D79),ISNUMBER(M79),ISNUMBER(N79)),D79/((M79+N79)/2),"—")</f>
        <v>3.13558916968477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上限＝0.32（需求在上限內）</v>
      </c>
      <c r="Q79" s="59" t="s">
        <v>3120</v>
      </c>
      <c r="R79" s="59" t="s">
        <v>3128</v>
      </c>
      <c r="S79" s="5" t="s">
        <v>3129</v>
      </c>
    </row>
    <row r="80" customFormat="false" ht="143.25" hidden="false" customHeight="false" outlineLevel="0" collapsed="false">
      <c r="A80" s="59" t="s">
        <v>3130</v>
      </c>
      <c r="B80" s="5" t="s">
        <v>3131</v>
      </c>
      <c r="C80" s="6" t="s">
        <v>3132</v>
      </c>
      <c r="D80" s="114" t="n">
        <f aca="false">Cap_In!$C$144</f>
        <v>0.56367915987388</v>
      </c>
      <c r="E80" s="92" t="n">
        <f aca="false">MIN(Cap_In!$D$144,Cap_In!$E$144)</f>
        <v>0.105689842476353</v>
      </c>
      <c r="F80" s="92" t="n">
        <f aca="false">MAX(Cap_In!$D$144,Cap_In!$E$144)</f>
        <v>0.793639699561015</v>
      </c>
      <c r="G80" s="59" t="s">
        <v>93</v>
      </c>
      <c r="H80" s="5" t="s">
        <v>3133</v>
      </c>
      <c r="I80" s="6" t="s">
        <v>3134</v>
      </c>
      <c r="J80" s="5" t="s">
        <v>3135</v>
      </c>
      <c r="K80" s="5" t="s">
        <v>3136</v>
      </c>
      <c r="L80" s="59" t="s">
        <v>3099</v>
      </c>
      <c r="M80" s="92" t="n">
        <f aca="false">CTL_Monetize</f>
        <v>1</v>
      </c>
      <c r="N80" s="92" t="n">
        <f aca="false">CTL_Monetize</f>
        <v>1</v>
      </c>
      <c r="O80" s="74" t="n">
        <f aca="false">IF(AND(ISNUMBER(D80),ISNUMBER(M80),ISNUMBER(N80)),D80/((M80+N80)/2),"—")</f>
        <v>0.56367915987388</v>
      </c>
      <c r="P80" s="58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59" t="s">
        <v>3130</v>
      </c>
      <c r="R80" s="59" t="s">
        <v>3137</v>
      </c>
      <c r="S80" s="6" t="s">
        <v>3138</v>
      </c>
    </row>
    <row r="81" customFormat="false" ht="143.25" hidden="false" customHeight="false" outlineLevel="0" collapsed="false">
      <c r="A81" s="59" t="s">
        <v>3139</v>
      </c>
      <c r="B81" s="5" t="s">
        <v>3140</v>
      </c>
      <c r="C81" s="6" t="s">
        <v>3141</v>
      </c>
      <c r="D81" s="114" t="n">
        <f aca="false">Cap_In!$C$145</f>
        <v>4.26141444864653</v>
      </c>
      <c r="E81" s="92" t="n">
        <f aca="false">Cap_In!$D$145</f>
        <v>0.752774561423002</v>
      </c>
      <c r="F81" s="92" t="n">
        <f aca="false">Cap_In!$E$145</f>
        <v>24.9597131992154</v>
      </c>
      <c r="G81" s="59" t="s">
        <v>93</v>
      </c>
      <c r="H81" s="5" t="s">
        <v>3142</v>
      </c>
      <c r="I81" s="6" t="s">
        <v>3134</v>
      </c>
      <c r="J81" s="5" t="s">
        <v>3143</v>
      </c>
      <c r="K81" s="5" t="s">
        <v>3144</v>
      </c>
      <c r="L81" s="59" t="s">
        <v>3099</v>
      </c>
      <c r="M81" s="92" t="n">
        <f aca="false">CTL_Monetize</f>
        <v>1</v>
      </c>
      <c r="N81" s="92" t="n">
        <f aca="false">CTL_Monetize</f>
        <v>1</v>
      </c>
      <c r="O81" s="74" t="n">
        <f aca="false">IF(AND(ISNUMBER(D81),ISNUMBER(M81),ISNUMBER(N81)),D81/((M81+N81)/2),"—")</f>
        <v>4.26141444864653</v>
      </c>
      <c r="P81" s="58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59" t="s">
        <v>3139</v>
      </c>
      <c r="R81" s="59" t="s">
        <v>3145</v>
      </c>
      <c r="S81" s="6" t="s">
        <v>3146</v>
      </c>
    </row>
    <row r="82" customFormat="false" ht="143.25" hidden="false" customHeight="false" outlineLevel="0" collapsed="false">
      <c r="A82" s="59" t="s">
        <v>3147</v>
      </c>
      <c r="B82" s="5" t="s">
        <v>3148</v>
      </c>
      <c r="C82" s="6" t="s">
        <v>3149</v>
      </c>
      <c r="D82" s="114" t="n">
        <f aca="false">Cap_In!$C$146</f>
        <v>1.82632047799137</v>
      </c>
      <c r="E82" s="92" t="n">
        <f aca="false">MIN(Cap_In!$D$146,Cap_In!$E$146)</f>
        <v>0.553430447876173</v>
      </c>
      <c r="F82" s="92" t="n">
        <f aca="false">MAX(Cap_In!$D$146,Cap_In!$E$146)</f>
        <v>6.84870179246764</v>
      </c>
      <c r="G82" s="59" t="s">
        <v>93</v>
      </c>
      <c r="H82" s="5" t="s">
        <v>3150</v>
      </c>
      <c r="I82" s="6" t="s">
        <v>3134</v>
      </c>
      <c r="J82" s="5" t="s">
        <v>3151</v>
      </c>
      <c r="K82" s="5" t="s">
        <v>3152</v>
      </c>
      <c r="L82" s="59" t="s">
        <v>3099</v>
      </c>
      <c r="M82" s="92" t="n">
        <f aca="false">CTL_Monetize</f>
        <v>1</v>
      </c>
      <c r="N82" s="92" t="n">
        <f aca="false">CTL_Monetize</f>
        <v>1</v>
      </c>
      <c r="O82" s="74" t="n">
        <f aca="false">IF(AND(ISNUMBER(D82),ISNUMBER(M82),ISNUMBER(N82)),D82/((M82+N82)/2),"—")</f>
        <v>1.82632047799137</v>
      </c>
      <c r="P82" s="58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59" t="s">
        <v>3147</v>
      </c>
      <c r="R82" s="59" t="s">
        <v>3153</v>
      </c>
      <c r="S82" s="5" t="s">
        <v>3154</v>
      </c>
    </row>
    <row r="83" customFormat="false" ht="143.25" hidden="false" customHeight="false" outlineLevel="0" collapsed="false">
      <c r="A83" s="59" t="s">
        <v>3155</v>
      </c>
      <c r="B83" s="6" t="s">
        <v>3156</v>
      </c>
      <c r="C83" s="6" t="s">
        <v>3157</v>
      </c>
      <c r="D83" s="114" t="n">
        <f aca="false">Cap_In!$C$151</f>
        <v>0.56367915987388</v>
      </c>
      <c r="E83" s="92" t="n">
        <f aca="false">MIN(Cap_In!$D$151,Cap_In!$E$151)</f>
        <v>0.0939465266456468</v>
      </c>
      <c r="F83" s="92" t="n">
        <f aca="false">MAX(Cap_In!$D$151,Cap_In!$E$151)</f>
        <v>1.05818626608135</v>
      </c>
      <c r="G83" s="59" t="s">
        <v>93</v>
      </c>
      <c r="H83" s="5" t="s">
        <v>3158</v>
      </c>
      <c r="I83" s="6" t="s">
        <v>3159</v>
      </c>
      <c r="J83" s="6" t="s">
        <v>3160</v>
      </c>
      <c r="K83" s="5" t="s">
        <v>3161</v>
      </c>
      <c r="L83" s="58" t="s">
        <v>3162</v>
      </c>
      <c r="M83" s="92" t="n">
        <f aca="false">Cap_In!$C$107</f>
        <v>0.196163661504425</v>
      </c>
      <c r="N83" s="92" t="n">
        <f aca="false">Cap_In!$C$107</f>
        <v>0.196163661504425</v>
      </c>
      <c r="O83" s="74" t="n">
        <f aca="false">IF(AND(ISNUMBER(D83),ISNUMBER(M83),ISNUMBER(N83)),D83/((M83+N83)/2),"—")</f>
        <v>2.87351467418019</v>
      </c>
      <c r="P83" s="58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59" t="s">
        <v>3155</v>
      </c>
      <c r="R83" s="59" t="s">
        <v>3163</v>
      </c>
      <c r="S83" s="5" t="s">
        <v>3164</v>
      </c>
    </row>
    <row r="84" customFormat="false" ht="157.45" hidden="false" customHeight="false" outlineLevel="0" collapsed="false">
      <c r="A84" s="59" t="s">
        <v>3165</v>
      </c>
      <c r="B84" s="5" t="s">
        <v>3166</v>
      </c>
      <c r="C84" s="6" t="s">
        <v>3167</v>
      </c>
      <c r="D84" s="114" t="n">
        <f aca="false">Cap_In!$C$179</f>
        <v>13949.5730733748</v>
      </c>
      <c r="E84" s="92" t="n">
        <f aca="false">Cap_In!$E$179</f>
        <v>6911.13432046339</v>
      </c>
      <c r="F84" s="92" t="n">
        <f aca="false">Cap_In!$D$179</f>
        <v>22758.2302172181</v>
      </c>
      <c r="G84" s="59" t="s">
        <v>275</v>
      </c>
      <c r="H84" s="5" t="s">
        <v>3168</v>
      </c>
      <c r="I84" s="5" t="s">
        <v>3169</v>
      </c>
      <c r="J84" s="5" t="s">
        <v>3170</v>
      </c>
      <c r="K84" s="6" t="s">
        <v>3117</v>
      </c>
      <c r="L84" s="59" t="s">
        <v>3171</v>
      </c>
      <c r="M84" s="92" t="n">
        <f aca="false">AL_TokPerPrompt_Lo</f>
        <v>2000</v>
      </c>
      <c r="N84" s="92" t="n">
        <f aca="false">AL_TokPerPrompt_Hi</f>
        <v>11000</v>
      </c>
      <c r="O84" s="74" t="n">
        <f aca="false">IF(AND(ISNUMBER(D84),ISNUMBER(M84),ISNUMBER(N84)),D84/((M84+N84)/2),"—")</f>
        <v>2.14608816513459</v>
      </c>
      <c r="P84" s="58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59" t="s">
        <v>3165</v>
      </c>
      <c r="R84" s="59" t="s">
        <v>3172</v>
      </c>
      <c r="S84" s="5" t="s">
        <v>3173</v>
      </c>
    </row>
    <row r="85" customFormat="false" ht="143.25" hidden="false" customHeight="false" outlineLevel="0" collapsed="false">
      <c r="A85" s="59" t="s">
        <v>3174</v>
      </c>
      <c r="B85" s="5" t="s">
        <v>3175</v>
      </c>
      <c r="C85" s="6" t="s">
        <v>3176</v>
      </c>
      <c r="D85" s="114" t="str">
        <f aca="false">Cap_In!$C$169</f>
        <v>缺分母（需 Anthropic 年 API token）</v>
      </c>
      <c r="E85" s="92" t="str">
        <f aca="false">Cap_In!$D$169</f>
        <v>缺分母（需 Anthropic 年 API token）</v>
      </c>
      <c r="F85" s="92" t="str">
        <f aca="false">Cap_In!$E$169</f>
        <v>缺分母（需 Anthropic 年 API token）</v>
      </c>
      <c r="G85" s="59" t="s">
        <v>93</v>
      </c>
      <c r="H85" s="5" t="s">
        <v>3177</v>
      </c>
      <c r="I85" s="6" t="s">
        <v>3178</v>
      </c>
      <c r="J85" s="6" t="s">
        <v>3179</v>
      </c>
      <c r="K85" s="6" t="s">
        <v>3180</v>
      </c>
      <c r="L85" s="59" t="s">
        <v>3181</v>
      </c>
      <c r="M85" s="92" t="n">
        <f aca="false">Cap_In!$C$167</f>
        <v>0.828067117018958</v>
      </c>
      <c r="N85" s="92" t="n">
        <f aca="false">Cap_In!$C$168</f>
        <v>0.1625</v>
      </c>
      <c r="O85" s="74" t="str">
        <f aca="false">IF(AND(ISNUMBER(D85),ISNUMBER(M85),ISNUMBER(N85)),D85/((M85+N85)/2),"—")</f>
        <v>—</v>
      </c>
      <c r="P85" s="58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59" t="s">
        <v>3174</v>
      </c>
      <c r="R85" s="59" t="s">
        <v>3182</v>
      </c>
      <c r="S85" s="5" t="s">
        <v>3183</v>
      </c>
    </row>
    <row r="86" customFormat="false" ht="143.25" hidden="false" customHeight="false" outlineLevel="0" collapsed="false">
      <c r="A86" s="59" t="s">
        <v>3184</v>
      </c>
      <c r="B86" s="5" t="s">
        <v>3185</v>
      </c>
      <c r="C86" s="5" t="s">
        <v>3186</v>
      </c>
      <c r="D86" s="114" t="n">
        <f aca="false">Cap_In!$C$232</f>
        <v>0.741199548797632</v>
      </c>
      <c r="E86" s="92" t="n">
        <f aca="false">Cap_In!$D$232</f>
        <v>0.476232597886788</v>
      </c>
      <c r="F86" s="92" t="n">
        <f aca="false">Cap_In!$E$232</f>
        <v>1.16176298513761</v>
      </c>
      <c r="G86" s="59" t="s">
        <v>93</v>
      </c>
      <c r="H86" s="5" t="s">
        <v>3187</v>
      </c>
      <c r="I86" s="6" t="s">
        <v>3188</v>
      </c>
      <c r="J86" s="5" t="s">
        <v>3189</v>
      </c>
      <c r="K86" s="6" t="s">
        <v>3190</v>
      </c>
      <c r="L86" s="58" t="s">
        <v>3191</v>
      </c>
      <c r="M86" s="113" t="s">
        <v>604</v>
      </c>
      <c r="N86" s="113" t="s">
        <v>604</v>
      </c>
      <c r="O86" s="74" t="str">
        <f aca="false">IF(AND(ISNUMBER(D86),ISNUMBER(M86),ISNUMBER(N86)),D86/((M86+N86)/2),"—")</f>
        <v>—</v>
      </c>
      <c r="P86" s="58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59" t="s">
        <v>3184</v>
      </c>
      <c r="R86" s="59" t="s">
        <v>3192</v>
      </c>
      <c r="S86" s="5" t="s">
        <v>3193</v>
      </c>
    </row>
    <row r="87" customFormat="false" ht="143.25" hidden="false" customHeight="false" outlineLevel="0" collapsed="false">
      <c r="A87" s="59" t="s">
        <v>3194</v>
      </c>
      <c r="B87" s="5" t="s">
        <v>3195</v>
      </c>
      <c r="C87" s="5" t="s">
        <v>3196</v>
      </c>
      <c r="D87" s="114" t="n">
        <f aca="false">Cap_In!$C$234</f>
        <v>0.8669761972345</v>
      </c>
      <c r="E87" s="92" t="n">
        <f aca="false">Cap_In!$D$234</f>
        <v>0.718131868131868</v>
      </c>
      <c r="F87" s="92" t="n">
        <f aca="false">Cap_In!$E$234</f>
        <v>1</v>
      </c>
      <c r="G87" s="59" t="s">
        <v>93</v>
      </c>
      <c r="H87" s="5" t="s">
        <v>3197</v>
      </c>
      <c r="I87" s="6" t="s">
        <v>3188</v>
      </c>
      <c r="J87" s="6" t="s">
        <v>3198</v>
      </c>
      <c r="K87" s="6" t="s">
        <v>3199</v>
      </c>
      <c r="L87" s="58" t="s">
        <v>3200</v>
      </c>
      <c r="M87" s="113" t="s">
        <v>604</v>
      </c>
      <c r="N87" s="113" t="s">
        <v>604</v>
      </c>
      <c r="O87" s="74" t="str">
        <f aca="false">IF(AND(ISNUMBER(D87),ISNUMBER(M87),ISNUMBER(N87)),D87/((M87+N87)/2),"—")</f>
        <v>—</v>
      </c>
      <c r="P87" s="58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59" t="s">
        <v>3194</v>
      </c>
      <c r="R87" s="59" t="s">
        <v>3201</v>
      </c>
      <c r="S87" s="5" t="s">
        <v>3202</v>
      </c>
    </row>
    <row r="88" customFormat="false" ht="143.25" hidden="false" customHeight="false" outlineLevel="0" collapsed="false">
      <c r="A88" s="59" t="s">
        <v>3203</v>
      </c>
      <c r="B88" s="5" t="s">
        <v>3204</v>
      </c>
      <c r="C88" s="6" t="s">
        <v>3205</v>
      </c>
      <c r="D88" s="114" t="n">
        <f aca="false">Cap_In!$C$233</f>
        <v>0.642602366208498</v>
      </c>
      <c r="E88" s="92" t="n">
        <f aca="false">Cap_In!$D$233</f>
        <v>0.341997805185732</v>
      </c>
      <c r="F88" s="92" t="n">
        <f aca="false">Cap_In!$E$233</f>
        <v>1.16176298513761</v>
      </c>
      <c r="G88" s="59" t="s">
        <v>93</v>
      </c>
      <c r="H88" s="5" t="s">
        <v>3206</v>
      </c>
      <c r="I88" s="6" t="s">
        <v>3188</v>
      </c>
      <c r="J88" s="6" t="s">
        <v>3207</v>
      </c>
      <c r="K88" s="5" t="s">
        <v>3208</v>
      </c>
      <c r="L88" s="59" t="s">
        <v>3209</v>
      </c>
      <c r="M88" s="92" t="n">
        <f aca="false">CTL_PriceLife</f>
        <v>1</v>
      </c>
      <c r="N88" s="92" t="n">
        <f aca="false">CTL_PriceLife</f>
        <v>1</v>
      </c>
      <c r="O88" s="74" t="n">
        <f aca="false">IF(AND(ISNUMBER(D88),ISNUMBER(M88),ISNUMBER(N88)),D88/((M88+N88)/2),"—")</f>
        <v>0.642602366208498</v>
      </c>
      <c r="P88" s="58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59" t="s">
        <v>3203</v>
      </c>
      <c r="R88" s="59" t="s">
        <v>3210</v>
      </c>
      <c r="S88" s="6" t="s">
        <v>3211</v>
      </c>
    </row>
    <row r="89" customFormat="false" ht="143.25" hidden="false" customHeight="false" outlineLevel="0" collapsed="false">
      <c r="A89" s="59" t="s">
        <v>3212</v>
      </c>
      <c r="B89" s="5" t="s">
        <v>3213</v>
      </c>
      <c r="C89" s="6" t="s">
        <v>3214</v>
      </c>
      <c r="D89" s="114" t="n">
        <f aca="false">Cap_In!$C$240</f>
        <v>0.364508545313209</v>
      </c>
      <c r="E89" s="92" t="n">
        <f aca="false">Cap_In!$D$240</f>
        <v>0.208290597321834</v>
      </c>
      <c r="F89" s="92" t="n">
        <f aca="false">Cap_In!$E$240</f>
        <v>0.555441592858224</v>
      </c>
      <c r="G89" s="59" t="s">
        <v>93</v>
      </c>
      <c r="H89" s="5" t="s">
        <v>3215</v>
      </c>
      <c r="I89" s="5" t="s">
        <v>3216</v>
      </c>
      <c r="J89" s="5" t="s">
        <v>3217</v>
      </c>
      <c r="K89" s="6" t="s">
        <v>3218</v>
      </c>
      <c r="L89" s="59" t="s">
        <v>3219</v>
      </c>
      <c r="M89" s="92" t="n">
        <f aca="false">L1_LTotal</f>
        <v>0.642602366208498</v>
      </c>
      <c r="N89" s="92" t="n">
        <f aca="false">L1_LTotal</f>
        <v>0.642602366208498</v>
      </c>
      <c r="O89" s="74" t="n">
        <f aca="false">IF(AND(ISNUMBER(D89),ISNUMBER(M89),ISNUMBER(N89)),D89/((M89+N89)/2),"—")</f>
        <v>0.567238100077181</v>
      </c>
      <c r="P89" s="58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回本（L_total 口徑）：L_total 0.64 ≥ 所需 L 0.36</v>
      </c>
      <c r="Q89" s="59" t="s">
        <v>3212</v>
      </c>
      <c r="R89" s="59" t="s">
        <v>3220</v>
      </c>
      <c r="S89" s="6" t="s">
        <v>3221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3222</v>
      </c>
    </row>
    <row r="2" customFormat="false" ht="15" hidden="false" customHeight="false" outlineLevel="0" collapsed="false">
      <c r="A2" s="56" t="s">
        <v>3223</v>
      </c>
    </row>
    <row r="3" customFormat="false" ht="15" hidden="false" customHeight="false" outlineLevel="0" collapsed="false">
      <c r="A3" s="71" t="s">
        <v>3224</v>
      </c>
      <c r="C3" s="59" t="s">
        <v>3225</v>
      </c>
    </row>
    <row r="4" customFormat="false" ht="58.2" hidden="false" customHeight="false" outlineLevel="0" collapsed="false">
      <c r="A4" s="82" t="s">
        <v>3226</v>
      </c>
      <c r="B4" s="81" t="s">
        <v>12</v>
      </c>
      <c r="C4" s="81" t="s">
        <v>3227</v>
      </c>
      <c r="D4" s="81" t="s">
        <v>3228</v>
      </c>
      <c r="E4" s="81" t="s">
        <v>3229</v>
      </c>
      <c r="F4" s="81" t="s">
        <v>1133</v>
      </c>
      <c r="G4" s="81" t="s">
        <v>1134</v>
      </c>
      <c r="H4" s="82" t="s">
        <v>3230</v>
      </c>
      <c r="I4" s="82" t="s">
        <v>3231</v>
      </c>
      <c r="J4" s="81" t="s">
        <v>3232</v>
      </c>
      <c r="K4" s="81" t="s">
        <v>3233</v>
      </c>
      <c r="L4" s="81" t="s">
        <v>3234</v>
      </c>
      <c r="M4" s="81" t="s">
        <v>3235</v>
      </c>
      <c r="N4" s="81" t="s">
        <v>3236</v>
      </c>
    </row>
    <row r="5" customFormat="false" ht="280.55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7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3237</v>
      </c>
      <c r="K5" s="207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3238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65.65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7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3239</v>
      </c>
      <c r="K6" s="207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3240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78.35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7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3241</v>
      </c>
      <c r="K7" s="207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3242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78.35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7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3241</v>
      </c>
      <c r="K8" s="207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3243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53.7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7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3244</v>
      </c>
      <c r="K9" s="207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3245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65.65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7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3239</v>
      </c>
      <c r="K10" s="207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3246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65.65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7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3247</v>
      </c>
      <c r="K11" s="207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3248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65.65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7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3247</v>
      </c>
      <c r="K12" s="207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3249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65.65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7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3247</v>
      </c>
      <c r="K13" s="207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3250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65.65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7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3247</v>
      </c>
      <c r="K14" s="207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3251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65.65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7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3247</v>
      </c>
      <c r="K15" s="207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3252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65.65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7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3247</v>
      </c>
      <c r="K16" s="207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3253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7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3254</v>
      </c>
      <c r="K17" s="207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3255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7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3254</v>
      </c>
      <c r="K18" s="207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3256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7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3254</v>
      </c>
      <c r="K19" s="207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3257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7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3254</v>
      </c>
      <c r="K20" s="207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3258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7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3254</v>
      </c>
      <c r="K21" s="207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3259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7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3254</v>
      </c>
      <c r="K22" s="207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3260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7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3254</v>
      </c>
      <c r="K23" s="207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3261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7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3254</v>
      </c>
      <c r="K24" s="207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3262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7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3254</v>
      </c>
      <c r="K25" s="207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3263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7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3254</v>
      </c>
      <c r="K26" s="207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3264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7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3254</v>
      </c>
      <c r="K27" s="207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3265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7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3254</v>
      </c>
      <c r="K28" s="207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3266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7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3254</v>
      </c>
      <c r="K29" s="207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3267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65.65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7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3239</v>
      </c>
      <c r="K30" s="207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3268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65.65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7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3239</v>
      </c>
      <c r="K31" s="207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3269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65.65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7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3239</v>
      </c>
      <c r="K32" s="207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3270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65.65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7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3239</v>
      </c>
      <c r="K33" s="207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3271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65.65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7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3239</v>
      </c>
      <c r="K34" s="207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3272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65.65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7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3239</v>
      </c>
      <c r="K35" s="207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3273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65.65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7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3239</v>
      </c>
      <c r="K36" s="207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3274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65.65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7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3239</v>
      </c>
      <c r="K37" s="207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3275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65.65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7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3239</v>
      </c>
      <c r="K38" s="207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3276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65.65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7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3239</v>
      </c>
      <c r="K39" s="207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3277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65.65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7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3239</v>
      </c>
      <c r="K40" s="207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3278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214.9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7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3279</v>
      </c>
      <c r="K41" s="207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3280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7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604</v>
      </c>
      <c r="K42" s="207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3281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7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604</v>
      </c>
      <c r="K43" s="207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3282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7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3283</v>
      </c>
      <c r="K44" s="207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3284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7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3285</v>
      </c>
      <c r="K45" s="207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3286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7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3285</v>
      </c>
      <c r="K46" s="207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3287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7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3288</v>
      </c>
      <c r="K47" s="207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3289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7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3285</v>
      </c>
      <c r="K48" s="207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3290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7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3291</v>
      </c>
      <c r="K49" s="207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3292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7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3293</v>
      </c>
      <c r="K50" s="207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3294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7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3295</v>
      </c>
      <c r="K51" s="207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3296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7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3295</v>
      </c>
      <c r="K52" s="207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3297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7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3295</v>
      </c>
      <c r="K53" s="207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3298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64.9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7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11000</v>
      </c>
      <c r="H54" s="90" t="str">
        <f aca="false">Gov_Map!$P$590</f>
        <v>高</v>
      </c>
      <c r="I54" s="90" t="n">
        <f aca="false">Gov_Map!$T$590</f>
        <v>2</v>
      </c>
      <c r="J54" s="85" t="s">
        <v>3299</v>
      </c>
      <c r="K54" s="207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3300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57" t="s">
        <v>3301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3302</v>
      </c>
    </row>
    <row r="2" customFormat="false" ht="15" hidden="false" customHeight="false" outlineLevel="0" collapsed="false">
      <c r="A2" s="71" t="s">
        <v>3303</v>
      </c>
    </row>
    <row r="4" customFormat="false" ht="15" hidden="false" customHeight="false" outlineLevel="0" collapsed="false">
      <c r="A4" s="57" t="s">
        <v>3304</v>
      </c>
    </row>
    <row r="5" customFormat="false" ht="15" hidden="false" customHeight="false" outlineLevel="0" collapsed="false">
      <c r="A5" s="59" t="s">
        <v>3305</v>
      </c>
      <c r="B5" s="59" t="s">
        <v>89</v>
      </c>
      <c r="C5" s="63" t="n">
        <v>0.6</v>
      </c>
      <c r="F5" s="56" t="s">
        <v>3306</v>
      </c>
    </row>
    <row r="6" customFormat="false" ht="15" hidden="false" customHeight="false" outlineLevel="0" collapsed="false">
      <c r="A6" s="59" t="s">
        <v>3307</v>
      </c>
      <c r="B6" s="59" t="s">
        <v>3308</v>
      </c>
      <c r="C6" s="64" t="n">
        <v>10</v>
      </c>
      <c r="F6" s="56" t="s">
        <v>3309</v>
      </c>
    </row>
    <row r="7" customFormat="false" ht="15" hidden="false" customHeight="false" outlineLevel="0" collapsed="false">
      <c r="A7" s="59" t="s">
        <v>3310</v>
      </c>
      <c r="B7" s="59" t="s">
        <v>3308</v>
      </c>
      <c r="C7" s="64" t="n">
        <v>40</v>
      </c>
      <c r="F7" s="56" t="s">
        <v>3311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3312</v>
      </c>
    </row>
    <row r="2" customFormat="false" ht="15" hidden="false" customHeight="false" outlineLevel="0" collapsed="false">
      <c r="A2" s="71" t="s">
        <v>3313</v>
      </c>
    </row>
    <row r="4" customFormat="false" ht="30" hidden="false" customHeight="true" outlineLevel="0" collapsed="false">
      <c r="A4" s="81" t="s">
        <v>3314</v>
      </c>
      <c r="B4" s="81" t="s">
        <v>3315</v>
      </c>
      <c r="C4" s="81" t="s">
        <v>3316</v>
      </c>
      <c r="D4" s="81" t="s">
        <v>3317</v>
      </c>
      <c r="E4" s="81" t="s">
        <v>3318</v>
      </c>
      <c r="F4" s="81" t="s">
        <v>3319</v>
      </c>
      <c r="G4" s="81" t="s">
        <v>3320</v>
      </c>
      <c r="H4" s="81" t="s">
        <v>3321</v>
      </c>
      <c r="I4" s="81" t="s">
        <v>3322</v>
      </c>
      <c r="J4" s="81" t="s">
        <v>3323</v>
      </c>
      <c r="K4" s="81" t="s">
        <v>77</v>
      </c>
      <c r="L4" s="81" t="s">
        <v>321</v>
      </c>
    </row>
    <row r="5" customFormat="false" ht="15" hidden="false" customHeight="false" outlineLevel="0" collapsed="false">
      <c r="A5" s="59" t="s">
        <v>3324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90</v>
      </c>
      <c r="L5" s="56" t="s">
        <v>3325</v>
      </c>
    </row>
    <row r="6" customFormat="false" ht="15" hidden="false" customHeight="false" outlineLevel="0" collapsed="false">
      <c r="A6" s="59" t="s">
        <v>3326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90</v>
      </c>
      <c r="L6" s="71" t="s">
        <v>3327</v>
      </c>
    </row>
    <row r="7" customFormat="false" ht="15" hidden="false" customHeight="false" outlineLevel="0" collapsed="false">
      <c r="A7" s="59" t="s">
        <v>3328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90</v>
      </c>
      <c r="L7" s="56" t="s">
        <v>3329</v>
      </c>
    </row>
    <row r="8" customFormat="false" ht="15" hidden="false" customHeight="false" outlineLevel="0" collapsed="false">
      <c r="A8" s="59" t="s">
        <v>3330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90</v>
      </c>
      <c r="L8" s="71" t="s">
        <v>3331</v>
      </c>
    </row>
    <row r="9" customFormat="false" ht="15" hidden="false" customHeight="false" outlineLevel="0" collapsed="false">
      <c r="A9" s="59" t="s">
        <v>3332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90</v>
      </c>
      <c r="L9" s="71" t="s">
        <v>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3334</v>
      </c>
    </row>
    <row r="2" customFormat="false" ht="15" hidden="false" customHeight="true" outlineLevel="0" collapsed="false">
      <c r="A2" s="11" t="s">
        <v>3335</v>
      </c>
    </row>
    <row r="4" customFormat="false" ht="30" hidden="false" customHeight="true" outlineLevel="0" collapsed="false">
      <c r="A4" s="20" t="s">
        <v>813</v>
      </c>
      <c r="C4" s="208" t="s">
        <v>75</v>
      </c>
      <c r="D4" s="208" t="s">
        <v>3336</v>
      </c>
      <c r="E4" s="208" t="s">
        <v>3337</v>
      </c>
      <c r="F4" s="208" t="s">
        <v>3338</v>
      </c>
      <c r="G4" s="208" t="s">
        <v>3339</v>
      </c>
      <c r="H4" s="208" t="s">
        <v>3340</v>
      </c>
      <c r="I4" s="208" t="s">
        <v>3341</v>
      </c>
      <c r="J4" s="208" t="s">
        <v>3342</v>
      </c>
      <c r="K4" s="208" t="s">
        <v>3343</v>
      </c>
      <c r="L4" s="208" t="s">
        <v>3344</v>
      </c>
      <c r="M4" s="208" t="s">
        <v>3345</v>
      </c>
      <c r="N4" s="209" t="s">
        <v>3346</v>
      </c>
      <c r="O4" s="209" t="s">
        <v>3347</v>
      </c>
      <c r="P4" s="209" t="s">
        <v>3348</v>
      </c>
      <c r="Q4" s="209" t="s">
        <v>3349</v>
      </c>
      <c r="R4" s="208" t="s">
        <v>3350</v>
      </c>
      <c r="S4" s="208" t="s">
        <v>3351</v>
      </c>
      <c r="T4" s="209" t="s">
        <v>3352</v>
      </c>
      <c r="U4" s="209" t="s">
        <v>3353</v>
      </c>
      <c r="V4" s="208" t="s">
        <v>3354</v>
      </c>
      <c r="W4" s="208" t="s">
        <v>3355</v>
      </c>
      <c r="X4" s="208" t="s">
        <v>3356</v>
      </c>
      <c r="Y4" s="208" t="s">
        <v>3357</v>
      </c>
    </row>
    <row r="6" customFormat="false" ht="15" hidden="false" customHeight="true" outlineLevel="0" collapsed="false">
      <c r="A6" s="25" t="s">
        <v>852</v>
      </c>
      <c r="B6" s="14"/>
      <c r="C6" s="14"/>
    </row>
    <row r="7" customFormat="false" ht="15" hidden="false" customHeight="true" outlineLevel="0" collapsed="false">
      <c r="A7" s="15" t="s">
        <v>3358</v>
      </c>
      <c r="B7" s="16" t="s">
        <v>854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88</v>
      </c>
      <c r="B8" s="16" t="s">
        <v>89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855</v>
      </c>
      <c r="B9" s="16" t="s">
        <v>854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726</v>
      </c>
      <c r="B10" s="16" t="s">
        <v>727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2295</v>
      </c>
      <c r="B11" s="21" t="s">
        <v>725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174</v>
      </c>
      <c r="B12" s="21" t="s">
        <v>719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2297</v>
      </c>
      <c r="B13" s="21" t="s">
        <v>719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92</v>
      </c>
      <c r="B14" s="16" t="s">
        <v>93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858</v>
      </c>
      <c r="B15" s="16" t="s">
        <v>854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3359</v>
      </c>
      <c r="B16" s="14"/>
      <c r="C16" s="14"/>
    </row>
    <row r="17" customFormat="false" ht="15" hidden="false" customHeight="true" outlineLevel="0" collapsed="false">
      <c r="A17" s="20" t="s">
        <v>860</v>
      </c>
      <c r="B17" s="16" t="s">
        <v>861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862</v>
      </c>
      <c r="B18" s="16" t="s">
        <v>863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103</v>
      </c>
      <c r="B19" s="16" t="s">
        <v>89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864</v>
      </c>
      <c r="B20" s="16" t="s">
        <v>863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865</v>
      </c>
      <c r="B21" s="16" t="s">
        <v>106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865</v>
      </c>
      <c r="B22" s="16" t="s">
        <v>863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866</v>
      </c>
      <c r="B23" s="16" t="s">
        <v>863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109</v>
      </c>
      <c r="B24" s="16" t="s">
        <v>863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867</v>
      </c>
      <c r="B25" s="16" t="s">
        <v>863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868</v>
      </c>
      <c r="B26" s="16" t="s">
        <v>863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869</v>
      </c>
      <c r="B27" s="16" t="s">
        <v>863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870</v>
      </c>
      <c r="B28" s="16" t="s">
        <v>863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871</v>
      </c>
      <c r="B29" s="16" t="s">
        <v>89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119</v>
      </c>
      <c r="B30" s="16" t="s">
        <v>863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872</v>
      </c>
      <c r="B31" s="16" t="s">
        <v>863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3360</v>
      </c>
      <c r="B32" s="16" t="s">
        <v>863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874</v>
      </c>
      <c r="B33" s="16" t="s">
        <v>875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876</v>
      </c>
      <c r="B34" s="16" t="s">
        <v>861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877</v>
      </c>
      <c r="B35" s="16" t="s">
        <v>861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3361</v>
      </c>
      <c r="B36" s="14"/>
      <c r="C36" s="14"/>
    </row>
    <row r="37" customFormat="false" ht="15" hidden="false" customHeight="true" outlineLevel="0" collapsed="false">
      <c r="A37" s="15" t="s">
        <v>879</v>
      </c>
      <c r="B37" s="21" t="s">
        <v>124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0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880</v>
      </c>
      <c r="B38" s="16" t="s">
        <v>863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881</v>
      </c>
      <c r="B39" s="16" t="s">
        <v>863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96</v>
      </c>
      <c r="B40" s="16" t="s">
        <v>89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98</v>
      </c>
      <c r="B41" s="16" t="s">
        <v>99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882</v>
      </c>
      <c r="B42" s="16" t="s">
        <v>863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883</v>
      </c>
      <c r="B43" s="16" t="s">
        <v>863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139</v>
      </c>
      <c r="B44" s="16" t="s">
        <v>863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3362</v>
      </c>
      <c r="B45" s="16" t="s">
        <v>863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150</v>
      </c>
      <c r="B46" s="16" t="s">
        <v>863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885</v>
      </c>
      <c r="B47" s="16" t="s">
        <v>863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886</v>
      </c>
      <c r="B48" s="16" t="s">
        <v>863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3363</v>
      </c>
      <c r="B49" s="14"/>
      <c r="C49" s="14"/>
    </row>
    <row r="50" customFormat="false" ht="15" hidden="false" customHeight="true" outlineLevel="0" collapsed="false">
      <c r="A50" s="15" t="s">
        <v>888</v>
      </c>
      <c r="B50" s="16" t="s">
        <v>89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889</v>
      </c>
      <c r="B51" s="16" t="s">
        <v>93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890</v>
      </c>
      <c r="B52" s="16" t="s">
        <v>863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891</v>
      </c>
      <c r="B53" s="16" t="s">
        <v>863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892</v>
      </c>
      <c r="B54" s="16" t="s">
        <v>863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893</v>
      </c>
      <c r="B55" s="14"/>
      <c r="C55" s="14"/>
    </row>
    <row r="56" customFormat="false" ht="15" hidden="false" customHeight="true" outlineLevel="0" collapsed="false">
      <c r="A56" s="20" t="s">
        <v>894</v>
      </c>
      <c r="B56" s="16" t="s">
        <v>836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895</v>
      </c>
      <c r="B57" s="16" t="s">
        <v>836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896</v>
      </c>
      <c r="B58" s="16" t="s">
        <v>897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898</v>
      </c>
      <c r="B59" s="16" t="s">
        <v>899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900</v>
      </c>
      <c r="B60" s="16" t="s">
        <v>89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901</v>
      </c>
      <c r="B61" s="16" t="s">
        <v>89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3364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3365</v>
      </c>
      <c r="B65" s="34"/>
      <c r="C65" s="34" t="s">
        <v>3366</v>
      </c>
      <c r="D65" s="34" t="s">
        <v>3367</v>
      </c>
      <c r="E65" s="34" t="s">
        <v>3368</v>
      </c>
      <c r="F65" s="34" t="s">
        <v>3369</v>
      </c>
      <c r="G65" s="34" t="s">
        <v>3370</v>
      </c>
      <c r="H65" s="34" t="s">
        <v>3371</v>
      </c>
      <c r="I65" s="211" t="s">
        <v>3372</v>
      </c>
      <c r="J65" s="211" t="s">
        <v>3373</v>
      </c>
    </row>
    <row r="66" customFormat="false" ht="15" hidden="false" customHeight="true" outlineLevel="0" collapsed="false">
      <c r="A66" s="20" t="s">
        <v>75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3374</v>
      </c>
      <c r="C67" s="37" t="n">
        <f aca="false">D32</f>
        <v>47.582032</v>
      </c>
      <c r="D67" s="37" t="n">
        <f aca="false">E32</f>
        <v>53.376392</v>
      </c>
      <c r="E67" s="212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3375</v>
      </c>
      <c r="C68" s="37" t="n">
        <f aca="false">F32</f>
        <v>58.057468</v>
      </c>
      <c r="D68" s="37" t="n">
        <f aca="false">G32</f>
        <v>49.774</v>
      </c>
      <c r="E68" s="212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3376</v>
      </c>
      <c r="C69" s="37" t="n">
        <f aca="false">H32</f>
        <v>48.554512</v>
      </c>
      <c r="D69" s="37" t="n">
        <f aca="false">I32</f>
        <v>51.958192</v>
      </c>
      <c r="E69" s="212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3377</v>
      </c>
      <c r="C70" s="37" t="n">
        <f aca="false">J32</f>
        <v>49.566352</v>
      </c>
      <c r="D70" s="37" t="n">
        <f aca="false">K32</f>
        <v>51.291352</v>
      </c>
      <c r="E70" s="212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3378</v>
      </c>
      <c r="C71" s="37" t="n">
        <f aca="false">L32</f>
        <v>49.451352</v>
      </c>
      <c r="D71" s="37" t="n">
        <f aca="false">M32</f>
        <v>51.406352</v>
      </c>
      <c r="E71" s="212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3379</v>
      </c>
      <c r="C72" s="37" t="n">
        <f aca="false">N32</f>
        <v>50.256352</v>
      </c>
      <c r="D72" s="37" t="n">
        <f aca="false">O32</f>
        <v>50.256352</v>
      </c>
      <c r="E72" s="212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888</v>
      </c>
      <c r="C73" s="37" t="n">
        <f aca="false">P32</f>
        <v>50.256352</v>
      </c>
      <c r="D73" s="37" t="n">
        <f aca="false">Q32</f>
        <v>50.256352</v>
      </c>
      <c r="E73" s="212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98</v>
      </c>
      <c r="C74" s="37" t="n">
        <f aca="false">R32</f>
        <v>50.256352</v>
      </c>
      <c r="D74" s="37" t="n">
        <f aca="false">S32</f>
        <v>50.256352</v>
      </c>
      <c r="E74" s="212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92</v>
      </c>
      <c r="C75" s="37" t="n">
        <f aca="false">T32</f>
        <v>50.256352</v>
      </c>
      <c r="D75" s="37" t="n">
        <f aca="false">U32</f>
        <v>50.256352</v>
      </c>
      <c r="E75" s="212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3380</v>
      </c>
      <c r="C76" s="37" t="n">
        <f aca="false">V32</f>
        <v>50.256352</v>
      </c>
      <c r="D76" s="37" t="n">
        <f aca="false">W32</f>
        <v>50.256352</v>
      </c>
      <c r="E76" s="212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3381</v>
      </c>
      <c r="C77" s="37" t="n">
        <f aca="false">X32</f>
        <v>51.49006</v>
      </c>
      <c r="D77" s="37" t="n">
        <f aca="false">Y32</f>
        <v>48.623776</v>
      </c>
      <c r="E77" s="212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3382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353</v>
      </c>
      <c r="B3" s="12" t="s">
        <v>3383</v>
      </c>
      <c r="C3" s="12" t="s">
        <v>3384</v>
      </c>
      <c r="D3" s="12" t="s">
        <v>73</v>
      </c>
      <c r="E3" s="12" t="s">
        <v>525</v>
      </c>
      <c r="F3" s="12" t="s">
        <v>447</v>
      </c>
    </row>
    <row r="4" customFormat="false" ht="15" hidden="false" customHeight="true" outlineLevel="0" collapsed="false">
      <c r="A4" s="15" t="s">
        <v>3385</v>
      </c>
      <c r="B4" s="177" t="n">
        <f aca="false">(DC_Cost!M33)/CTL_GW</f>
        <v>50.256352</v>
      </c>
      <c r="C4" s="213" t="str">
        <f aca="false">TEXT(SRC_DC_010_Lo,"0")&amp;"–"&amp;TEXT(SRC_DC_010_Hi,"0")</f>
        <v>50–60</v>
      </c>
      <c r="D4" s="16" t="s">
        <v>2669</v>
      </c>
      <c r="E4" s="20" t="str">
        <f aca="false">IF(AND(B4&gt;=SRC_DC_010_Lo,B4&lt;=SRC_DC_010_Hi),"落在區間",IF(B4&lt;SRC_DC_010_Lo,"低於參照","高於參照"))</f>
        <v>落在區間</v>
      </c>
      <c r="F4" s="19" t="s">
        <v>3386</v>
      </c>
    </row>
    <row r="5" customFormat="false" ht="15" hidden="false" customHeight="true" outlineLevel="0" collapsed="false">
      <c r="A5" s="15" t="s">
        <v>3387</v>
      </c>
      <c r="B5" s="177" t="n">
        <f aca="false">(DC_Cost!M19)/CTL_GW</f>
        <v>34.0368</v>
      </c>
      <c r="C5" s="177" t="n">
        <f aca="false">SRC_DC_011</f>
        <v>35</v>
      </c>
      <c r="D5" s="16" t="s">
        <v>2669</v>
      </c>
      <c r="E5" s="20" t="str">
        <f aca="false">IF(ABS(B5-C5)/C5&lt;=0.2,"±20% 內","差距 &gt;20%")</f>
        <v>±20% 內</v>
      </c>
      <c r="F5" s="19" t="s">
        <v>3388</v>
      </c>
    </row>
    <row r="6" customFormat="false" ht="15" hidden="false" customHeight="true" outlineLevel="0" collapsed="false">
      <c r="A6" s="20" t="s">
        <v>877</v>
      </c>
      <c r="B6" s="177" t="n">
        <f aca="false">DC_Cost!M36</f>
        <v>12.67</v>
      </c>
      <c r="C6" s="213" t="str">
        <f aca="false">TEXT(SRC_DC_003,"0.0")&amp;" × "&amp;TEXT(1+SRC_DC_004_Lo,"0.00")&amp;"–"&amp;TEXT(1+SRC_DC_004_Hi,"0.00")</f>
        <v>11.3 × 1.07–1.10</v>
      </c>
      <c r="D6" s="16" t="s">
        <v>110</v>
      </c>
      <c r="E6" s="20" t="str">
        <f aca="false">IF(AND(B6&gt;=SRC_DC_003*(1+SRC_DC_004_Lo)*0.9,B6&lt;=SRC_DC_003*(1+SRC_DC_004_Hi)*1.3),"合理區間","需檢查")</f>
        <v>合理區間</v>
      </c>
      <c r="F6" s="6" t="s">
        <v>3389</v>
      </c>
    </row>
    <row r="7" customFormat="false" ht="15" hidden="false" customHeight="true" outlineLevel="0" collapsed="false">
      <c r="A7" s="15" t="s">
        <v>3390</v>
      </c>
      <c r="B7" s="177" t="n">
        <f aca="false">DC_Cost!G58</f>
        <v>2.00846099652078</v>
      </c>
      <c r="C7" s="177" t="n">
        <f aca="false">SRC_DC_012</f>
        <v>2.21</v>
      </c>
      <c r="D7" s="16" t="s">
        <v>836</v>
      </c>
      <c r="E7" s="20" t="str">
        <f aca="false">IF(B7&gt;C7,"高於參照（參照假設未知）","低於參照")</f>
        <v>低於參照</v>
      </c>
      <c r="F7" s="6" t="s">
        <v>3391</v>
      </c>
    </row>
    <row r="8" customFormat="false" ht="15" hidden="false" customHeight="true" outlineLevel="0" collapsed="false">
      <c r="A8" s="15" t="s">
        <v>3392</v>
      </c>
      <c r="B8" s="177" t="n">
        <f aca="false">DC_Cost!J58</f>
        <v>2.55178761329595</v>
      </c>
      <c r="C8" s="177" t="n">
        <f aca="false">SRC_DC_013</f>
        <v>2.65</v>
      </c>
      <c r="D8" s="16" t="s">
        <v>836</v>
      </c>
      <c r="E8" s="20" t="str">
        <f aca="false">IF(B8&gt;C8,"高於參照（參照假設未知）","低於參照")</f>
        <v>低於參照</v>
      </c>
      <c r="F8" s="19" t="s">
        <v>3393</v>
      </c>
    </row>
    <row r="9" customFormat="false" ht="15" hidden="false" customHeight="true" outlineLevel="0" collapsed="false">
      <c r="A9" s="15" t="s">
        <v>3394</v>
      </c>
      <c r="B9" s="177" t="n">
        <f aca="false">DC_Cost!G58</f>
        <v>2.00846099652078</v>
      </c>
      <c r="C9" s="177" t="n">
        <f aca="false">L1!$M$30</f>
        <v>10.5</v>
      </c>
      <c r="D9" s="16" t="s">
        <v>836</v>
      </c>
      <c r="E9" s="20" t="str">
        <f aca="false">"牌價 ÷ 持有成本＝"&amp;TEXT(C9/B9,"0.0")&amp;" 倍"</f>
        <v>牌價 ÷ 持有成本＝5.2 倍</v>
      </c>
      <c r="F9" s="6" t="s">
        <v>3395</v>
      </c>
    </row>
    <row r="10" customFormat="false" ht="15" hidden="false" customHeight="true" outlineLevel="0" collapsed="false">
      <c r="A10" s="20" t="s">
        <v>3396</v>
      </c>
      <c r="B10" s="177" t="n">
        <f aca="false">DC_Cost!J58</f>
        <v>2.55178761329595</v>
      </c>
      <c r="C10" s="177" t="n">
        <f aca="false">L1!$M$31</f>
        <v>3.57</v>
      </c>
      <c r="D10" s="16" t="s">
        <v>836</v>
      </c>
      <c r="E10" s="20" t="str">
        <f aca="false">"參照 ÷ 本模型＝"&amp;TEXT(C10/B10,"0.00")</f>
        <v>參照 ÷ 本模型＝1.40</v>
      </c>
      <c r="F10" s="19" t="s">
        <v>3397</v>
      </c>
    </row>
    <row r="12" customFormat="false" ht="15" hidden="false" customHeight="true" outlineLevel="0" collapsed="false">
      <c r="A12" s="40" t="s">
        <v>3398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353</v>
      </c>
      <c r="B13" s="9" t="s">
        <v>3399</v>
      </c>
      <c r="C13" s="9" t="s">
        <v>3384</v>
      </c>
      <c r="D13" s="9" t="s">
        <v>73</v>
      </c>
      <c r="E13" s="9" t="s">
        <v>525</v>
      </c>
      <c r="F13" s="9" t="s">
        <v>447</v>
      </c>
    </row>
    <row r="14" customFormat="false" ht="15" hidden="false" customHeight="true" outlineLevel="0" collapsed="false">
      <c r="A14" s="5" t="s">
        <v>3400</v>
      </c>
      <c r="B14" s="196" t="n">
        <f aca="false">Calib!C86</f>
        <v>1</v>
      </c>
      <c r="C14" s="28" t="s">
        <v>3401</v>
      </c>
      <c r="D14" s="28" t="s">
        <v>93</v>
      </c>
      <c r="E14" s="91" t="s">
        <v>3402</v>
      </c>
      <c r="F14" s="42" t="s">
        <v>3403</v>
      </c>
    </row>
    <row r="15" customFormat="false" ht="26.25" hidden="false" customHeight="true" outlineLevel="0" collapsed="false">
      <c r="A15" s="5" t="s">
        <v>3404</v>
      </c>
      <c r="B15" s="196" t="n">
        <f aca="false">Calib!E86</f>
        <v>0.99108369917347</v>
      </c>
      <c r="C15" s="46" t="n">
        <f aca="false">SRC_PERF_004</f>
        <v>11200</v>
      </c>
      <c r="D15" s="41" t="s">
        <v>3405</v>
      </c>
      <c r="E15" s="85" t="s">
        <v>3406</v>
      </c>
      <c r="F15" s="42" t="s">
        <v>3407</v>
      </c>
    </row>
    <row r="16" customFormat="false" ht="26.25" hidden="false" customHeight="true" outlineLevel="0" collapsed="false">
      <c r="A16" s="5" t="s">
        <v>3408</v>
      </c>
      <c r="B16" s="196" t="n">
        <f aca="false">Calib!F86</f>
        <v>2.18428412747673</v>
      </c>
      <c r="C16" s="46" t="n">
        <f aca="false">SRC_PERF_001</f>
        <v>6182</v>
      </c>
      <c r="D16" s="41" t="s">
        <v>3405</v>
      </c>
      <c r="E16" s="91" t="s">
        <v>3409</v>
      </c>
      <c r="F16" s="42" t="s">
        <v>3410</v>
      </c>
    </row>
    <row r="17" customFormat="false" ht="26.25" hidden="false" customHeight="true" outlineLevel="0" collapsed="false">
      <c r="A17" s="5" t="s">
        <v>3411</v>
      </c>
      <c r="B17" s="196" t="n">
        <f aca="false">Calib!G86</f>
        <v>4.1124545381639</v>
      </c>
      <c r="C17" s="46" t="n">
        <f aca="false">SRC_PERF_002</f>
        <v>2189</v>
      </c>
      <c r="D17" s="41" t="s">
        <v>3405</v>
      </c>
      <c r="E17" s="91" t="s">
        <v>3412</v>
      </c>
      <c r="F17" s="42" t="s">
        <v>3413</v>
      </c>
    </row>
    <row r="18" customFormat="false" ht="15" hidden="false" customHeight="true" outlineLevel="0" collapsed="false">
      <c r="A18" s="5" t="s">
        <v>3414</v>
      </c>
      <c r="B18" s="196" t="n">
        <f aca="false">Calib!H86</f>
        <v>1.00253190991747</v>
      </c>
      <c r="C18" s="46" t="n">
        <f aca="false">SRC_PERF_014</f>
        <v>3795.5</v>
      </c>
      <c r="D18" s="41" t="s">
        <v>3405</v>
      </c>
      <c r="E18" s="91" t="s">
        <v>3415</v>
      </c>
      <c r="F18" s="42" t="s">
        <v>3416</v>
      </c>
    </row>
    <row r="19" customFormat="false" ht="29.25" hidden="false" customHeight="true" outlineLevel="0" collapsed="false">
      <c r="A19" s="6" t="s">
        <v>3417</v>
      </c>
      <c r="B19" s="196" t="n">
        <f aca="false">DC_Cost!J58/(Calib!C17*3600)*1000000</f>
        <v>0.0758747918114994</v>
      </c>
      <c r="C19" s="174" t="n">
        <f aca="false">SRC_PERF_011</f>
        <v>0.078</v>
      </c>
      <c r="D19" s="28" t="s">
        <v>2749</v>
      </c>
      <c r="E19" s="91" t="s">
        <v>3418</v>
      </c>
      <c r="F19" s="42" t="s">
        <v>3419</v>
      </c>
    </row>
    <row r="20" customFormat="false" ht="39" hidden="false" customHeight="true" outlineLevel="0" collapsed="false">
      <c r="A20" s="6" t="s">
        <v>3420</v>
      </c>
      <c r="B20" s="196" t="n">
        <f aca="false">Sens_Perf!C120</f>
        <v>1.56528522129431</v>
      </c>
      <c r="C20" s="174" t="n">
        <f aca="false">DC_Cost!M55/DC_Cost!J55</f>
        <v>1.12300288885056</v>
      </c>
      <c r="D20" s="28" t="s">
        <v>93</v>
      </c>
      <c r="E20" s="91" t="s">
        <v>3421</v>
      </c>
      <c r="F20" s="42" t="s">
        <v>3422</v>
      </c>
    </row>
    <row r="21" customFormat="false" ht="39" hidden="false" customHeight="true" outlineLevel="0" collapsed="false">
      <c r="A21" s="6" t="s">
        <v>3423</v>
      </c>
      <c r="B21" s="196" t="n">
        <f aca="false">DC_Cost!J11*Inputs!$E$10/72</f>
        <v>1.51111111111111</v>
      </c>
      <c r="C21" s="28" t="s">
        <v>3424</v>
      </c>
      <c r="D21" s="28" t="s">
        <v>3425</v>
      </c>
      <c r="E21" s="85" t="s">
        <v>3426</v>
      </c>
      <c r="F21" s="42" t="s">
        <v>448</v>
      </c>
    </row>
    <row r="22" customFormat="false" ht="29.25" hidden="false" customHeight="true" outlineLevel="0" collapsed="false">
      <c r="A22" s="6" t="s">
        <v>3427</v>
      </c>
      <c r="B22" s="196" t="n">
        <f aca="false">Sens_Perf!C121</f>
        <v>0.687408933936638</v>
      </c>
      <c r="C22" s="28" t="s">
        <v>3428</v>
      </c>
      <c r="D22" s="28" t="s">
        <v>93</v>
      </c>
      <c r="E22" s="91"/>
      <c r="F22" s="42" t="s">
        <v>3422</v>
      </c>
    </row>
    <row r="23" customFormat="false" ht="15" hidden="false" customHeight="true" outlineLevel="0" collapsed="false">
      <c r="A23" s="5" t="s">
        <v>3429</v>
      </c>
      <c r="B23" s="196" t="n">
        <f aca="false">Calib!C149</f>
        <v>0.702796711119185</v>
      </c>
      <c r="C23" s="28" t="s">
        <v>3401</v>
      </c>
      <c r="D23" s="28" t="s">
        <v>93</v>
      </c>
      <c r="E23" s="85" t="s">
        <v>3430</v>
      </c>
      <c r="F23" s="42" t="s">
        <v>3431</v>
      </c>
    </row>
    <row r="24" customFormat="false" ht="15" hidden="false" customHeight="true" outlineLevel="0" collapsed="false">
      <c r="A24" s="5" t="s">
        <v>3432</v>
      </c>
      <c r="B24" s="196" t="n">
        <f aca="false">Calib!C150</f>
        <v>2.5251262330147</v>
      </c>
      <c r="C24" s="182" t="n">
        <f aca="false">Calib!C151</f>
        <v>2.5748897461993</v>
      </c>
      <c r="D24" s="28" t="s">
        <v>93</v>
      </c>
      <c r="E24" s="91" t="s">
        <v>3433</v>
      </c>
      <c r="F24" s="42" t="s">
        <v>3434</v>
      </c>
    </row>
    <row r="25" customFormat="false" ht="39" hidden="false" customHeight="true" outlineLevel="0" collapsed="false">
      <c r="A25" s="5" t="s">
        <v>3435</v>
      </c>
      <c r="B25" s="196" t="n">
        <f aca="false">Calib!C152</f>
        <v>1.5</v>
      </c>
      <c r="C25" s="182" t="n">
        <f aca="false">Calib!D152</f>
        <v>1.05487728759394</v>
      </c>
      <c r="D25" s="28" t="s">
        <v>93</v>
      </c>
      <c r="E25" s="85" t="s">
        <v>3436</v>
      </c>
      <c r="F25" s="42" t="s">
        <v>3437</v>
      </c>
    </row>
    <row r="26" customFormat="false" ht="15" hidden="false" customHeight="true" outlineLevel="0" collapsed="false">
      <c r="A26" s="5" t="s">
        <v>3438</v>
      </c>
      <c r="B26" s="214" t="n">
        <f aca="false">MAX(Perf!C116:Q116)</f>
        <v>0.067482803137983</v>
      </c>
      <c r="C26" s="28" t="s">
        <v>3439</v>
      </c>
      <c r="D26" s="28" t="s">
        <v>89</v>
      </c>
      <c r="E26" s="91" t="s">
        <v>3440</v>
      </c>
      <c r="F26" s="42" t="s">
        <v>3441</v>
      </c>
    </row>
    <row r="27" customFormat="false" ht="15" hidden="false" customHeight="true" outlineLevel="0" collapsed="false">
      <c r="A27" s="6" t="s">
        <v>3442</v>
      </c>
      <c r="B27" s="196" t="n">
        <f aca="false">COUNTIF(Perf!C90:Q90,"SLO 不可達")</f>
        <v>0</v>
      </c>
      <c r="C27" s="28" t="s">
        <v>604</v>
      </c>
      <c r="D27" s="41" t="s">
        <v>3443</v>
      </c>
      <c r="E27" s="85" t="s">
        <v>3444</v>
      </c>
      <c r="F27" s="42" t="s">
        <v>3445</v>
      </c>
    </row>
    <row r="28" customFormat="false" ht="39" hidden="false" customHeight="true" outlineLevel="0" collapsed="false">
      <c r="A28" s="5" t="s">
        <v>3446</v>
      </c>
      <c r="B28" s="196" t="n">
        <f aca="false">((8*1.32+3.96)/9)/((8*Unit_Cost!J32+Unit_Cost!J34)/9)</f>
        <v>13.4794357051153</v>
      </c>
      <c r="C28" s="28" t="s">
        <v>604</v>
      </c>
      <c r="D28" s="28" t="s">
        <v>93</v>
      </c>
      <c r="E28" s="85" t="s">
        <v>3447</v>
      </c>
      <c r="F28" s="42" t="s">
        <v>3448</v>
      </c>
    </row>
    <row r="30" customFormat="false" ht="15" hidden="false" customHeight="true" outlineLevel="0" collapsed="false">
      <c r="A30" s="40" t="s">
        <v>3449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353</v>
      </c>
      <c r="B31" s="9" t="s">
        <v>3399</v>
      </c>
      <c r="C31" s="9" t="s">
        <v>3384</v>
      </c>
      <c r="D31" s="9" t="s">
        <v>73</v>
      </c>
      <c r="E31" s="9" t="s">
        <v>525</v>
      </c>
      <c r="F31" s="9" t="s">
        <v>447</v>
      </c>
    </row>
    <row r="32" customFormat="false" ht="39" hidden="false" customHeight="true" outlineLevel="0" collapsed="false">
      <c r="A32" s="6" t="s">
        <v>3450</v>
      </c>
      <c r="B32" s="187" t="n">
        <f aca="false">3*(2*Calib!$C$101*1000000000+Calib!$C$109*Train_In!$C$43/2)*Train_In!$C$41*1000000000000/(Train_In!$C$42*1000000*3600*Spec_Rack!$C$40*1000000000000000)</f>
        <v>0.197055428667677</v>
      </c>
      <c r="C32" s="186" t="n">
        <f aca="false">Training!C16</f>
        <v>0.25</v>
      </c>
      <c r="D32" s="28" t="s">
        <v>89</v>
      </c>
      <c r="E32" s="91" t="s">
        <v>3451</v>
      </c>
      <c r="F32" s="42" t="s">
        <v>969</v>
      </c>
    </row>
    <row r="33" customFormat="false" ht="26.25" hidden="false" customHeight="true" outlineLevel="0" collapsed="false">
      <c r="A33" s="6" t="s">
        <v>3452</v>
      </c>
      <c r="B33" s="196" t="n">
        <f aca="false">Training!N78</f>
        <v>1.12717162997901</v>
      </c>
      <c r="C33" s="48" t="n">
        <f aca="false">L1!$M$33</f>
        <v>1</v>
      </c>
      <c r="D33" s="28" t="s">
        <v>93</v>
      </c>
      <c r="E33" s="85" t="s">
        <v>3453</v>
      </c>
      <c r="F33" s="42" t="s">
        <v>3454</v>
      </c>
    </row>
    <row r="34" customFormat="false" ht="26.25" hidden="false" customHeight="true" outlineLevel="0" collapsed="false">
      <c r="A34" s="6" t="s">
        <v>3455</v>
      </c>
      <c r="B34" s="196" t="n">
        <f aca="false">Training!M78</f>
        <v>0.371397626434424</v>
      </c>
      <c r="C34" s="48" t="n">
        <f aca="false">L1!$M$32</f>
        <v>0.0551801801801802</v>
      </c>
      <c r="D34" s="28" t="s">
        <v>93</v>
      </c>
      <c r="E34" s="85" t="s">
        <v>3456</v>
      </c>
      <c r="F34" s="42" t="s">
        <v>3457</v>
      </c>
    </row>
    <row r="35" customFormat="false" ht="15" hidden="false" customHeight="true" outlineLevel="0" collapsed="false">
      <c r="A35" s="6" t="s">
        <v>3458</v>
      </c>
      <c r="B35" s="187" t="n">
        <f aca="false">Training!N77</f>
        <v>0.0679835504547044</v>
      </c>
      <c r="C35" s="202" t="s">
        <v>3459</v>
      </c>
      <c r="D35" s="28" t="s">
        <v>89</v>
      </c>
      <c r="E35" s="91" t="s">
        <v>3460</v>
      </c>
      <c r="F35" s="52" t="s">
        <v>3461</v>
      </c>
    </row>
    <row r="36" customFormat="false" ht="29.25" hidden="false" customHeight="true" outlineLevel="0" collapsed="false">
      <c r="A36" s="5" t="s">
        <v>3462</v>
      </c>
      <c r="B36" s="187" t="n">
        <f aca="false">Training!N111-Training!N110</f>
        <v>0.252262860133895</v>
      </c>
      <c r="C36" s="202" t="s">
        <v>3463</v>
      </c>
      <c r="D36" s="28" t="s">
        <v>89</v>
      </c>
      <c r="E36" s="85" t="s">
        <v>3464</v>
      </c>
      <c r="F36" s="42" t="s">
        <v>3465</v>
      </c>
    </row>
    <row r="37" customFormat="false" ht="15" hidden="false" customHeight="true" outlineLevel="0" collapsed="false">
      <c r="A37" s="5" t="s">
        <v>3466</v>
      </c>
      <c r="B37" s="187" t="n">
        <f aca="false">1/Train_In!$C$13</f>
        <v>0.125</v>
      </c>
      <c r="C37" s="186" t="str">
        <f aca="false">TEXT(L1!$M$34*100,"0.0")&amp;"%–"&amp;TEXT(L1!$N$34*100,"0.0")&amp;"%"</f>
        <v>9.6%–22.6%</v>
      </c>
      <c r="D37" s="28" t="s">
        <v>89</v>
      </c>
      <c r="E37" s="85" t="s">
        <v>3467</v>
      </c>
      <c r="F37" s="42" t="s">
        <v>3468</v>
      </c>
    </row>
    <row r="38" customFormat="false" ht="36.75" hidden="false" customHeight="true" outlineLevel="0" collapsed="false">
      <c r="A38" s="5" t="s">
        <v>3469</v>
      </c>
      <c r="B38" s="196" t="n">
        <f aca="false">Train_In!$C$47/(Training!N34*1000000000)/1000000000000</f>
        <v>438.443429242364</v>
      </c>
      <c r="C38" s="48" t="n">
        <f aca="false">Training!N31</f>
        <v>60</v>
      </c>
      <c r="D38" s="28" t="s">
        <v>938</v>
      </c>
      <c r="E38" s="85" t="s">
        <v>3470</v>
      </c>
      <c r="F38" s="42" t="s">
        <v>3471</v>
      </c>
    </row>
    <row r="39" customFormat="false" ht="29.25" hidden="false" customHeight="true" outlineLevel="0" collapsed="false">
      <c r="A39" s="6" t="s">
        <v>3472</v>
      </c>
      <c r="B39" s="187" t="n">
        <f aca="false">Training!N117</f>
        <v>0.00500223043232874</v>
      </c>
      <c r="C39" s="186" t="n">
        <f aca="false">Training!K117</f>
        <v>0.00819830093710954</v>
      </c>
      <c r="D39" s="28" t="s">
        <v>89</v>
      </c>
      <c r="E39" s="91" t="s">
        <v>3473</v>
      </c>
      <c r="F39" s="42" t="s">
        <v>3474</v>
      </c>
    </row>
    <row r="41" customFormat="false" ht="15" hidden="false" customHeight="true" outlineLevel="0" collapsed="false">
      <c r="A41" s="40" t="s">
        <v>3475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353</v>
      </c>
      <c r="B42" s="9" t="s">
        <v>3399</v>
      </c>
      <c r="C42" s="9" t="s">
        <v>3384</v>
      </c>
      <c r="D42" s="9" t="s">
        <v>73</v>
      </c>
      <c r="E42" s="9" t="s">
        <v>525</v>
      </c>
      <c r="F42" s="9" t="s">
        <v>447</v>
      </c>
      <c r="H42" s="9" t="s">
        <v>3476</v>
      </c>
    </row>
    <row r="43" customFormat="false" ht="51.75" hidden="false" customHeight="true" outlineLevel="0" collapsed="false">
      <c r="A43" s="6" t="s">
        <v>3477</v>
      </c>
      <c r="B43" s="196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3478</v>
      </c>
      <c r="E43" s="91" t="s">
        <v>3479</v>
      </c>
      <c r="F43" s="42" t="s">
        <v>3480</v>
      </c>
      <c r="H43" s="42" t="s">
        <v>3481</v>
      </c>
      <c r="I43" s="182" t="n">
        <f aca="false">SRC_DEM_007</f>
        <v>13.07</v>
      </c>
    </row>
    <row r="44" customFormat="false" ht="43.5" hidden="false" customHeight="true" outlineLevel="0" collapsed="false">
      <c r="A44" s="6" t="s">
        <v>3482</v>
      </c>
      <c r="B44" s="196" t="n">
        <f aca="false">IF(ISNUMBER(Unit_Cost!D34),INDEX(B4_MktOut,8,1)/Unit_Cost!D34,"SLO 不可達")</f>
        <v>0.939381136656427</v>
      </c>
      <c r="C44" s="215" t="s">
        <v>3483</v>
      </c>
      <c r="D44" s="28" t="s">
        <v>93</v>
      </c>
      <c r="E44" s="85" t="s">
        <v>3484</v>
      </c>
      <c r="F44" s="42" t="s">
        <v>3485</v>
      </c>
      <c r="H44" s="42" t="s">
        <v>3486</v>
      </c>
      <c r="I44" s="182" t="n">
        <f aca="false">SRC_DEM_008</f>
        <v>0.6</v>
      </c>
    </row>
    <row r="45" customFormat="false" ht="29.25" hidden="false" customHeight="true" outlineLevel="0" collapsed="false">
      <c r="A45" s="6" t="s">
        <v>3487</v>
      </c>
      <c r="B45" s="196" t="n">
        <f aca="false">IF(ISNUMBER(Unit_Cost!D31),INDEX(B4_MktOut,8,1)*B4_OffPeak/Unit_Cost!D31,"SLO 不可達")</f>
        <v>0.782817613880356</v>
      </c>
      <c r="C45" s="215" t="s">
        <v>3483</v>
      </c>
      <c r="D45" s="28" t="s">
        <v>93</v>
      </c>
      <c r="E45" s="91"/>
      <c r="F45" s="42" t="s">
        <v>3488</v>
      </c>
      <c r="H45" s="42" t="s">
        <v>3489</v>
      </c>
      <c r="I45" s="182" t="n">
        <f aca="false">SRC_DEM_009</f>
        <v>1.9</v>
      </c>
    </row>
    <row r="46" customFormat="false" ht="43.5" hidden="false" customHeight="true" outlineLevel="0" collapsed="false">
      <c r="A46" s="6" t="s">
        <v>3490</v>
      </c>
      <c r="B46" s="196" t="n">
        <f aca="false">IF(ISNUMBER(Unit_Cost!D21),INDEX(B4_MktOut,7,1)/Unit_Cost!D21,"SLO 不可達")</f>
        <v>0.9769467268625</v>
      </c>
      <c r="C46" s="215" t="s">
        <v>3483</v>
      </c>
      <c r="D46" s="28" t="s">
        <v>93</v>
      </c>
      <c r="E46" s="85" t="s">
        <v>3491</v>
      </c>
      <c r="F46" s="42" t="s">
        <v>3488</v>
      </c>
      <c r="H46" s="42" t="s">
        <v>3492</v>
      </c>
      <c r="I46" s="51" t="n">
        <v>0.57</v>
      </c>
      <c r="J46" s="42" t="s">
        <v>3493</v>
      </c>
    </row>
    <row r="47" customFormat="false" ht="15" hidden="false" customHeight="true" outlineLevel="0" collapsed="false">
      <c r="A47" s="5" t="s">
        <v>3494</v>
      </c>
      <c r="B47" s="196" t="str">
        <f aca="false">Price_Frontier!C26</f>
        <v>GPT-6 Luna</v>
      </c>
      <c r="C47" s="215" t="s">
        <v>604</v>
      </c>
      <c r="D47" s="41"/>
      <c r="E47" s="85" t="s">
        <v>3495</v>
      </c>
      <c r="F47" s="42" t="s">
        <v>3496</v>
      </c>
    </row>
    <row r="48" customFormat="false" ht="15" hidden="false" customHeight="true" outlineLevel="0" collapsed="false">
      <c r="A48" s="5" t="s">
        <v>3497</v>
      </c>
      <c r="B48" s="196" t="str">
        <f aca="false">Price_Frontier!D26</f>
        <v>GPT-6 Sol</v>
      </c>
      <c r="C48" s="215" t="s">
        <v>604</v>
      </c>
      <c r="D48" s="41"/>
      <c r="E48" s="91"/>
      <c r="F48" s="42" t="s">
        <v>3496</v>
      </c>
    </row>
    <row r="49" customFormat="false" ht="39" hidden="false" customHeight="true" outlineLevel="0" collapsed="false">
      <c r="A49" s="5" t="s">
        <v>3498</v>
      </c>
      <c r="B49" s="196" t="str">
        <f aca="false">Price_Frontier!E26</f>
        <v>Claude Fable 5.1</v>
      </c>
      <c r="C49" s="215" t="s">
        <v>604</v>
      </c>
      <c r="D49" s="41"/>
      <c r="E49" s="85" t="s">
        <v>3499</v>
      </c>
      <c r="F49" s="42" t="s">
        <v>3496</v>
      </c>
    </row>
    <row r="50" customFormat="false" ht="26.25" hidden="false" customHeight="true" outlineLevel="0" collapsed="false">
      <c r="A50" s="5" t="s">
        <v>3500</v>
      </c>
      <c r="B50" s="196" t="n">
        <f aca="false">Price_Frontier!C33</f>
        <v>1.29646017699115</v>
      </c>
      <c r="C50" s="215" t="s">
        <v>3501</v>
      </c>
      <c r="D50" s="28" t="s">
        <v>93</v>
      </c>
      <c r="E50" s="85" t="s">
        <v>3502</v>
      </c>
      <c r="F50" s="42" t="s">
        <v>3496</v>
      </c>
    </row>
    <row r="51" customFormat="false" ht="29.25" hidden="false" customHeight="true" outlineLevel="0" collapsed="false">
      <c r="A51" s="5" t="s">
        <v>3503</v>
      </c>
      <c r="B51" s="196" t="n">
        <f aca="false">Fleet_1GW!M34</f>
        <v>12.1291102743968</v>
      </c>
      <c r="C51" s="215" t="s">
        <v>3504</v>
      </c>
      <c r="D51" s="41" t="s">
        <v>312</v>
      </c>
      <c r="E51" s="91" t="s">
        <v>3505</v>
      </c>
      <c r="F51" s="42" t="s">
        <v>3506</v>
      </c>
    </row>
    <row r="52" customFormat="false" ht="29.25" hidden="false" customHeight="true" outlineLevel="0" collapsed="false">
      <c r="A52" s="6" t="s">
        <v>3507</v>
      </c>
      <c r="B52" s="196" t="n">
        <f aca="false">Fleet_1GW!M30</f>
        <v>0</v>
      </c>
      <c r="C52" s="215" t="s">
        <v>3508</v>
      </c>
      <c r="D52" s="28" t="s">
        <v>81</v>
      </c>
      <c r="E52" s="91"/>
      <c r="F52" s="42" t="s">
        <v>3506</v>
      </c>
    </row>
    <row r="53" customFormat="false" ht="29.25" hidden="false" customHeight="true" outlineLevel="0" collapsed="false">
      <c r="A53" s="5" t="s">
        <v>3509</v>
      </c>
      <c r="B53" s="188" t="n">
        <f aca="false">Amortize!M22/INDEX(B4_EffRef,1,2)</f>
        <v>0.00266665781665587</v>
      </c>
      <c r="C53" s="215" t="s">
        <v>604</v>
      </c>
      <c r="D53" s="28" t="s">
        <v>89</v>
      </c>
      <c r="E53" s="91" t="s">
        <v>3510</v>
      </c>
      <c r="F53" s="42" t="s">
        <v>3511</v>
      </c>
    </row>
    <row r="54" customFormat="false" ht="39" hidden="false" customHeight="true" outlineLevel="0" collapsed="false">
      <c r="A54" s="6" t="s">
        <v>3512</v>
      </c>
      <c r="B54" s="196" t="n">
        <f aca="false">Amortize!M41</f>
        <v>8.17918362593439</v>
      </c>
      <c r="C54" s="215" t="s">
        <v>3513</v>
      </c>
      <c r="D54" s="28" t="s">
        <v>93</v>
      </c>
      <c r="E54" s="91" t="s">
        <v>3514</v>
      </c>
      <c r="F54" s="42" t="s">
        <v>3511</v>
      </c>
    </row>
    <row r="55" customFormat="false" ht="29.25" hidden="false" customHeight="true" outlineLevel="0" collapsed="false">
      <c r="A55" s="6" t="s">
        <v>3515</v>
      </c>
      <c r="B55" s="188" t="n">
        <f aca="false">Amortize!M47/INDEX(B4_EffRef,1,3)</f>
        <v>0.178125569243108</v>
      </c>
      <c r="C55" s="215" t="s">
        <v>604</v>
      </c>
      <c r="D55" s="28" t="s">
        <v>89</v>
      </c>
      <c r="E55" s="91" t="s">
        <v>3516</v>
      </c>
      <c r="F55" s="42" t="s">
        <v>3511</v>
      </c>
    </row>
    <row r="56" customFormat="false" ht="29.25" hidden="false" customHeight="true" outlineLevel="0" collapsed="false">
      <c r="A56" s="5" t="s">
        <v>3517</v>
      </c>
      <c r="B56" s="196" t="n">
        <f aca="false">Theory_Rev!M64+Theory_Rev!M65+Theory_Rev!M66-Theory_Rev!M67</f>
        <v>0</v>
      </c>
      <c r="C56" s="215" t="s">
        <v>3508</v>
      </c>
      <c r="D56" s="28" t="s">
        <v>1739</v>
      </c>
      <c r="E56" s="91"/>
      <c r="F56" s="42" t="s">
        <v>3518</v>
      </c>
    </row>
    <row r="58" customFormat="false" ht="15" hidden="false" customHeight="true" outlineLevel="0" collapsed="false">
      <c r="A58" s="40" t="s">
        <v>3519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353</v>
      </c>
      <c r="B59" s="9" t="s">
        <v>3399</v>
      </c>
      <c r="C59" s="9" t="s">
        <v>3384</v>
      </c>
      <c r="D59" s="9" t="s">
        <v>73</v>
      </c>
      <c r="E59" s="9" t="s">
        <v>525</v>
      </c>
      <c r="F59" s="9" t="s">
        <v>447</v>
      </c>
    </row>
    <row r="60" customFormat="false" ht="39" hidden="false" customHeight="true" outlineLevel="0" collapsed="false">
      <c r="A60" s="5" t="s">
        <v>3520</v>
      </c>
      <c r="B60" s="216" t="n">
        <f aca="false">B5_W</f>
        <v>0</v>
      </c>
      <c r="C60" s="215" t="s">
        <v>3508</v>
      </c>
      <c r="D60" s="28" t="s">
        <v>93</v>
      </c>
      <c r="E60" s="85" t="s">
        <v>3521</v>
      </c>
      <c r="F60" s="42" t="s">
        <v>3522</v>
      </c>
    </row>
    <row r="61" customFormat="false" ht="29.25" hidden="false" customHeight="true" outlineLevel="0" collapsed="false">
      <c r="A61" s="6" t="s">
        <v>3523</v>
      </c>
      <c r="B61" s="196" t="n">
        <f aca="false">ABS(Workload!C35-Harness!C21)+ABS(Workload!D35-Harness!D21)+ABS(Workload!E35-Harness!E21)+ABS(Workload!F35-Harness!F21)+ABS(Workload!G35-Harness!G21)</f>
        <v>0</v>
      </c>
      <c r="C61" s="215" t="s">
        <v>3524</v>
      </c>
      <c r="D61" s="28" t="s">
        <v>275</v>
      </c>
      <c r="E61" s="85" t="s">
        <v>3525</v>
      </c>
      <c r="F61" s="42" t="s">
        <v>3526</v>
      </c>
    </row>
    <row r="62" customFormat="false" ht="39" hidden="false" customHeight="true" outlineLevel="0" collapsed="false">
      <c r="A62" s="6" t="s">
        <v>3527</v>
      </c>
      <c r="B62" s="196" t="n">
        <f aca="false">Harness!G45</f>
        <v>0.492530120481928</v>
      </c>
      <c r="C62" s="48" t="n">
        <f aca="false">Har_In!E72</f>
        <v>0.51</v>
      </c>
      <c r="D62" s="28" t="s">
        <v>93</v>
      </c>
      <c r="E62" s="91" t="s">
        <v>3528</v>
      </c>
      <c r="F62" s="42" t="s">
        <v>1896</v>
      </c>
    </row>
    <row r="63" customFormat="false" ht="39" hidden="false" customHeight="true" outlineLevel="0" collapsed="false">
      <c r="A63" s="6" t="s">
        <v>3529</v>
      </c>
      <c r="B63" s="196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93</v>
      </c>
      <c r="E63" s="91" t="s">
        <v>3530</v>
      </c>
      <c r="F63" s="42" t="s">
        <v>1896</v>
      </c>
    </row>
    <row r="64" customFormat="false" ht="39" hidden="false" customHeight="true" outlineLevel="0" collapsed="false">
      <c r="A64" s="6" t="s">
        <v>3531</v>
      </c>
      <c r="B64" s="196" t="n">
        <f aca="false">((1/Har_In!C70-1)/(1/Har_In!C71-1))^(1/B5_Beta)</f>
        <v>145.519176037217</v>
      </c>
      <c r="C64" s="215" t="s">
        <v>3532</v>
      </c>
      <c r="D64" s="28" t="s">
        <v>93</v>
      </c>
      <c r="E64" s="91" t="s">
        <v>3533</v>
      </c>
      <c r="F64" s="42" t="s">
        <v>3534</v>
      </c>
    </row>
    <row r="65" customFormat="false" ht="15" hidden="false" customHeight="true" outlineLevel="0" collapsed="false">
      <c r="A65" s="6" t="s">
        <v>3535</v>
      </c>
      <c r="B65" s="196" t="n">
        <f aca="false">AVERAGE(Har_In!F77:F80)</f>
        <v>0.80134078201291</v>
      </c>
      <c r="C65" s="215" t="n">
        <f aca="false">B5_Beta</f>
        <v>0.75</v>
      </c>
      <c r="D65" s="28" t="s">
        <v>93</v>
      </c>
      <c r="E65" s="91" t="s">
        <v>3536</v>
      </c>
      <c r="F65" s="42" t="s">
        <v>1915</v>
      </c>
    </row>
    <row r="66" customFormat="false" ht="29.25" hidden="false" customHeight="true" outlineLevel="0" collapsed="false">
      <c r="A66" s="6" t="s">
        <v>3537</v>
      </c>
      <c r="B66" s="187" t="n">
        <f aca="false">Harness!G62</f>
        <v>0.627115119175411</v>
      </c>
      <c r="C66" s="215" t="s">
        <v>604</v>
      </c>
      <c r="D66" s="28" t="s">
        <v>89</v>
      </c>
      <c r="E66" s="91" t="s">
        <v>3538</v>
      </c>
      <c r="F66" s="42" t="s">
        <v>3539</v>
      </c>
    </row>
    <row r="67" customFormat="false" ht="29.25" hidden="false" customHeight="true" outlineLevel="0" collapsed="false">
      <c r="A67" s="5" t="s">
        <v>3540</v>
      </c>
      <c r="B67" s="196" t="str">
        <f aca="false">Harness!G152</f>
        <v>Sol｜選定</v>
      </c>
      <c r="C67" s="48" t="str">
        <f aca="false">Harness!G148</f>
        <v>Luna｜選定</v>
      </c>
      <c r="D67" s="41"/>
      <c r="E67" s="91" t="s">
        <v>3541</v>
      </c>
      <c r="F67" s="42" t="s">
        <v>3542</v>
      </c>
    </row>
    <row r="68" customFormat="false" ht="29.25" hidden="false" customHeight="true" outlineLevel="0" collapsed="false">
      <c r="A68" s="6" t="s">
        <v>3543</v>
      </c>
      <c r="B68" s="196" t="n">
        <f aca="false">MIN(Sens_Har!C37:Z37)</f>
        <v>0.362241890594745</v>
      </c>
      <c r="C68" s="48" t="n">
        <f aca="false">MAX(Sens_Har!C37:Z37)</f>
        <v>0.769692548828187</v>
      </c>
      <c r="D68" s="28" t="s">
        <v>93</v>
      </c>
      <c r="E68" s="91" t="s">
        <v>3544</v>
      </c>
      <c r="F68" s="42" t="s">
        <v>3545</v>
      </c>
    </row>
    <row r="69" customFormat="false" ht="26.25" hidden="false" customHeight="true" outlineLevel="0" collapsed="false">
      <c r="A69" s="5" t="s">
        <v>3546</v>
      </c>
      <c r="B69" s="201" t="n">
        <f aca="false">B5_PFloor</f>
        <v>0.5</v>
      </c>
      <c r="C69" s="215" t="s">
        <v>3547</v>
      </c>
      <c r="D69" s="28" t="s">
        <v>89</v>
      </c>
      <c r="E69" s="91" t="s">
        <v>3548</v>
      </c>
      <c r="F69" s="42" t="s">
        <v>3549</v>
      </c>
    </row>
    <row r="70" customFormat="false" ht="29.25" hidden="false" customHeight="true" outlineLevel="0" collapsed="false">
      <c r="A70" s="5" t="s">
        <v>3550</v>
      </c>
      <c r="B70" s="196" t="n">
        <f aca="false">COUNTIF(Harness!C152:G152,"無合格")</f>
        <v>0</v>
      </c>
      <c r="C70" s="215" t="s">
        <v>3551</v>
      </c>
      <c r="D70" s="41"/>
      <c r="E70" s="85" t="s">
        <v>3552</v>
      </c>
      <c r="F70" s="42" t="s">
        <v>3542</v>
      </c>
    </row>
    <row r="72" customFormat="false" ht="15" hidden="false" customHeight="true" outlineLevel="0" collapsed="false">
      <c r="A72" s="40" t="s">
        <v>3553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3554</v>
      </c>
      <c r="B73" s="9" t="s">
        <v>3555</v>
      </c>
      <c r="C73" s="9" t="s">
        <v>3556</v>
      </c>
      <c r="D73" s="9" t="s">
        <v>3557</v>
      </c>
      <c r="E73" s="9" t="s">
        <v>3558</v>
      </c>
    </row>
    <row r="74" customFormat="false" ht="15" hidden="false" customHeight="true" outlineLevel="0" collapsed="false">
      <c r="A74" s="28" t="s">
        <v>3559</v>
      </c>
      <c r="B74" s="41" t="s">
        <v>3560</v>
      </c>
      <c r="C74" s="8" t="s">
        <v>3561</v>
      </c>
      <c r="D74" s="30" t="n">
        <f aca="false">COUNTIF(Gov_Map!$V$5:$V$700,1)</f>
        <v>0</v>
      </c>
      <c r="E74" s="42" t="s">
        <v>3562</v>
      </c>
    </row>
    <row r="75" customFormat="false" ht="15" hidden="false" customHeight="true" outlineLevel="0" collapsed="false">
      <c r="A75" s="28" t="s">
        <v>3563</v>
      </c>
      <c r="B75" s="28" t="s">
        <v>3564</v>
      </c>
      <c r="C75" s="8" t="s">
        <v>3561</v>
      </c>
      <c r="D75" s="30" t="n">
        <f aca="false">COUNTIF(Gov_Map!$W$5:$W$700,1)</f>
        <v>0</v>
      </c>
      <c r="E75" s="42" t="s">
        <v>3565</v>
      </c>
    </row>
    <row r="76" customFormat="false" ht="15" hidden="false" customHeight="true" outlineLevel="0" collapsed="false">
      <c r="A76" s="28" t="s">
        <v>3566</v>
      </c>
      <c r="B76" s="28" t="s">
        <v>3567</v>
      </c>
      <c r="C76" s="8" t="s">
        <v>3561</v>
      </c>
      <c r="D76" s="30" t="n">
        <f aca="false">COUNTIF(Gov_Map!$X$5:$X$700,1)</f>
        <v>0</v>
      </c>
      <c r="E76" s="42" t="s">
        <v>3568</v>
      </c>
    </row>
    <row r="77" customFormat="false" ht="15" hidden="false" customHeight="true" outlineLevel="0" collapsed="false">
      <c r="A77" s="28" t="s">
        <v>3569</v>
      </c>
      <c r="B77" s="28" t="s">
        <v>3570</v>
      </c>
      <c r="C77" s="8" t="s">
        <v>3561</v>
      </c>
      <c r="D77" s="30" t="n">
        <f aca="false">COUNTIF(Gov_Map!$Y$5:$Y$700,1)</f>
        <v>0</v>
      </c>
      <c r="E77" s="42" t="s">
        <v>3565</v>
      </c>
    </row>
    <row r="78" customFormat="false" ht="15" hidden="false" customHeight="true" outlineLevel="0" collapsed="false">
      <c r="A78" s="28" t="s">
        <v>3571</v>
      </c>
      <c r="B78" s="28" t="s">
        <v>3572</v>
      </c>
      <c r="C78" s="8" t="s">
        <v>3561</v>
      </c>
      <c r="D78" s="30" t="n">
        <f aca="false">COUNTIF(Gov_Map!$Z$5:$Z$700,1)</f>
        <v>0</v>
      </c>
      <c r="E78" s="42" t="s">
        <v>3565</v>
      </c>
    </row>
    <row r="79" customFormat="false" ht="15" hidden="false" customHeight="true" outlineLevel="0" collapsed="false">
      <c r="A79" s="28" t="s">
        <v>3573</v>
      </c>
      <c r="B79" s="41" t="s">
        <v>3574</v>
      </c>
      <c r="C79" s="8" t="s">
        <v>3561</v>
      </c>
      <c r="D79" s="30" t="n">
        <f aca="false">COUNTIF(Gov_Map!$AA$5:$AA$700,1)</f>
        <v>0</v>
      </c>
      <c r="E79" s="42" t="s">
        <v>3575</v>
      </c>
    </row>
    <row r="80" customFormat="false" ht="15" hidden="false" customHeight="true" outlineLevel="0" collapsed="false">
      <c r="A80" s="28" t="s">
        <v>3576</v>
      </c>
      <c r="B80" s="41" t="s">
        <v>3577</v>
      </c>
      <c r="C80" s="8" t="s">
        <v>3561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3578</v>
      </c>
    </row>
    <row r="81" customFormat="false" ht="15" hidden="false" customHeight="true" outlineLevel="0" collapsed="false">
      <c r="A81" s="28" t="s">
        <v>3579</v>
      </c>
      <c r="B81" s="28" t="s">
        <v>3580</v>
      </c>
      <c r="C81" s="8" t="s">
        <v>3561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3581</v>
      </c>
    </row>
    <row r="82" customFormat="false" ht="15" hidden="false" customHeight="true" outlineLevel="0" collapsed="false">
      <c r="A82" s="28" t="s">
        <v>3582</v>
      </c>
      <c r="B82" s="41" t="s">
        <v>3583</v>
      </c>
      <c r="C82" s="8" t="s">
        <v>3561</v>
      </c>
      <c r="D82" s="30" t="n">
        <f aca="false">COUNTIF(Gov_Map!$AB$5:$AB$700,1)</f>
        <v>0</v>
      </c>
      <c r="E82" s="42" t="s">
        <v>3584</v>
      </c>
    </row>
    <row r="83" customFormat="false" ht="15" hidden="false" customHeight="true" outlineLevel="0" collapsed="false">
      <c r="A83" s="28" t="s">
        <v>3585</v>
      </c>
      <c r="B83" s="41" t="s">
        <v>3586</v>
      </c>
      <c r="C83" s="8" t="s">
        <v>3561</v>
      </c>
      <c r="D83" s="30" t="n">
        <f aca="false">COUNTIF(Gov_Map!$AC$5:$AC$700,1)</f>
        <v>0</v>
      </c>
      <c r="E83" s="42" t="s">
        <v>3587</v>
      </c>
    </row>
    <row r="84" customFormat="false" ht="15" hidden="false" customHeight="true" outlineLevel="0" collapsed="false">
      <c r="A84" s="28" t="s">
        <v>3588</v>
      </c>
      <c r="B84" s="28" t="s">
        <v>3589</v>
      </c>
      <c r="C84" s="8" t="s">
        <v>3561</v>
      </c>
      <c r="D84" s="30" t="n">
        <v>0</v>
      </c>
      <c r="E84" s="52" t="s">
        <v>3590</v>
      </c>
    </row>
    <row r="85" customFormat="false" ht="15" hidden="false" customHeight="true" outlineLevel="0" collapsed="false">
      <c r="A85" s="28" t="s">
        <v>3591</v>
      </c>
      <c r="B85" s="41" t="s">
        <v>3592</v>
      </c>
      <c r="C85" s="8" t="s">
        <v>3561</v>
      </c>
      <c r="D85" s="30" t="n">
        <f aca="false">COUNTIF(Gov_Map!$AE$5:$AE$700,1)</f>
        <v>0</v>
      </c>
      <c r="E85" s="42" t="s">
        <v>3565</v>
      </c>
    </row>
    <row r="86" customFormat="false" ht="15" hidden="false" customHeight="true" outlineLevel="0" collapsed="false">
      <c r="A86" s="28" t="s">
        <v>3593</v>
      </c>
      <c r="B86" s="28" t="s">
        <v>3594</v>
      </c>
      <c r="C86" s="8" t="s">
        <v>3561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$127:$A$400,"&lt;&gt;—")-COUNTIF(SRC_Demand!$A$127:$A$400,"")</f>
        <v>0</v>
      </c>
      <c r="E86" s="52" t="s">
        <v>3595</v>
      </c>
    </row>
    <row r="87" customFormat="false" ht="15" hidden="false" customHeight="true" outlineLevel="0" collapsed="false">
      <c r="A87" s="28" t="s">
        <v>3596</v>
      </c>
      <c r="B87" s="41" t="s">
        <v>3597</v>
      </c>
      <c r="C87" s="28" t="s">
        <v>3598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2" t="s">
        <v>3599</v>
      </c>
    </row>
    <row r="88" customFormat="false" ht="15" hidden="false" customHeight="true" outlineLevel="0" collapsed="false">
      <c r="A88" s="28" t="s">
        <v>3600</v>
      </c>
      <c r="B88" s="28" t="s">
        <v>3601</v>
      </c>
      <c r="C88" s="28" t="s">
        <v>3598</v>
      </c>
      <c r="D88" s="30" t="n">
        <f aca="false">COUNTIF(Gov_Map!$AD$5:$AD$700,1)</f>
        <v>0</v>
      </c>
      <c r="E88" s="42" t="s">
        <v>3602</v>
      </c>
    </row>
    <row r="89" customFormat="false" ht="15" hidden="false" customHeight="true" outlineLevel="0" collapsed="false">
      <c r="A89" s="28" t="s">
        <v>3603</v>
      </c>
      <c r="B89" s="28" t="s">
        <v>3604</v>
      </c>
      <c r="C89" s="28" t="s">
        <v>3605</v>
      </c>
      <c r="D89" s="30" t="n">
        <f aca="false">COUNTIF(DB_Evidence!$L$5:$L$500,"待判定")</f>
        <v>4</v>
      </c>
      <c r="E89" s="42" t="s">
        <v>3606</v>
      </c>
    </row>
    <row r="90" customFormat="false" ht="15" hidden="false" customHeight="true" outlineLevel="0" collapsed="false">
      <c r="A90" s="28" t="s">
        <v>3607</v>
      </c>
      <c r="B90" s="28" t="s">
        <v>3608</v>
      </c>
      <c r="C90" s="28" t="s">
        <v>3605</v>
      </c>
      <c r="D90" s="30" t="n">
        <f aca="false">COUNTIF(DB_Evidence!$L$5:$L$500,"待 Andy")</f>
        <v>0</v>
      </c>
      <c r="E90" s="42" t="s">
        <v>3606</v>
      </c>
    </row>
    <row r="91" customFormat="false" ht="15" hidden="false" customHeight="true" outlineLevel="0" collapsed="false">
      <c r="A91" s="28" t="s">
        <v>3609</v>
      </c>
      <c r="B91" s="28" t="s">
        <v>3610</v>
      </c>
      <c r="C91" s="28" t="s">
        <v>3605</v>
      </c>
      <c r="D91" s="30" t="n">
        <f aca="false">COUNTIF(L1!$P$5:$P$200,"低於外部區間")+COUNTIF(L1!$P$5:$P$200,"高於外部區間")+COUNTIF(L1!$P$5:$P$200,"差距 &gt;20%")</f>
        <v>18</v>
      </c>
      <c r="E91" s="42" t="s">
        <v>3611</v>
      </c>
    </row>
    <row r="92" customFormat="false" ht="15" hidden="false" customHeight="true" outlineLevel="0" collapsed="false">
      <c r="A92" s="28" t="s">
        <v>3612</v>
      </c>
      <c r="B92" s="41" t="s">
        <v>3613</v>
      </c>
      <c r="C92" s="28" t="s">
        <v>3605</v>
      </c>
      <c r="D92" s="30" t="n">
        <f aca="false">COUNTIF(Gov_Map!$F$5:$F$700,"原始數據（G0-2 保留）")</f>
        <v>14</v>
      </c>
      <c r="E92" s="42" t="s">
        <v>3565</v>
      </c>
    </row>
    <row r="93" customFormat="false" ht="15" hidden="false" customHeight="true" outlineLevel="0" collapsed="false">
      <c r="A93" s="28" t="s">
        <v>3614</v>
      </c>
      <c r="B93" s="28" t="s">
        <v>3615</v>
      </c>
      <c r="C93" s="28" t="s">
        <v>3605</v>
      </c>
      <c r="D93" s="30" t="n">
        <f aca="false">COUNTIF(Gov_Map!$F$5:$F$700,"Derived（待改公式）")</f>
        <v>0</v>
      </c>
      <c r="E93" s="42" t="s">
        <v>3616</v>
      </c>
    </row>
    <row r="94" customFormat="false" ht="15" hidden="false" customHeight="true" outlineLevel="0" collapsed="false">
      <c r="A94" s="28" t="s">
        <v>3617</v>
      </c>
      <c r="B94" s="41" t="s">
        <v>3618</v>
      </c>
      <c r="C94" s="28" t="s">
        <v>3605</v>
      </c>
      <c r="D94" s="30" t="n">
        <f aca="false">COUNTIF(Gov_Map!$M$5:$M$700,"結構選擇（無數值區間）")</f>
        <v>26</v>
      </c>
      <c r="E94" s="42" t="s">
        <v>3565</v>
      </c>
    </row>
    <row r="95" customFormat="false" ht="15" hidden="false" customHeight="true" outlineLevel="0" collapsed="false">
      <c r="A95" s="28" t="s">
        <v>3619</v>
      </c>
      <c r="B95" s="41" t="s">
        <v>3620</v>
      </c>
      <c r="C95" s="28" t="s">
        <v>3605</v>
      </c>
      <c r="D95" s="30" t="n">
        <f aca="false">COUNTIF(Gov_Map!$F$5:$F$700,"原始數據（切片二）")</f>
        <v>3</v>
      </c>
      <c r="E95" s="42" t="s">
        <v>3621</v>
      </c>
    </row>
    <row r="96" customFormat="false" ht="15" hidden="false" customHeight="true" outlineLevel="0" collapsed="false">
      <c r="A96" s="28" t="s">
        <v>3622</v>
      </c>
      <c r="B96" s="41" t="s">
        <v>3623</v>
      </c>
      <c r="C96" s="28" t="s">
        <v>3605</v>
      </c>
      <c r="D96" s="30" t="n">
        <f aca="false">COUNTIF(Gov_Map!$O$5:$O$700,"&lt;&gt;—")-COUNTIF(Gov_Map!$O$5:$O$700,"")</f>
        <v>54</v>
      </c>
      <c r="E96" s="42" t="s">
        <v>3624</v>
      </c>
    </row>
    <row r="97" customFormat="false" ht="15" hidden="false" customHeight="true" outlineLevel="0" collapsed="false">
      <c r="B97" s="8" t="s">
        <v>3625</v>
      </c>
      <c r="D97" s="217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3626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3627</v>
      </c>
      <c r="D99" s="30" t="n">
        <f aca="false">D89+D90+D91+D92+D93+D94+D95+D96+D121+D122+D123+D124</f>
        <v>169</v>
      </c>
    </row>
    <row r="100" customFormat="false" ht="15" hidden="false" customHeight="true" outlineLevel="0" collapsed="false">
      <c r="B100" s="52" t="s">
        <v>3628</v>
      </c>
    </row>
    <row r="102" customFormat="false" ht="15" hidden="false" customHeight="true" outlineLevel="0" collapsed="false">
      <c r="A102" s="40" t="s">
        <v>3629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3554</v>
      </c>
      <c r="B103" s="9" t="s">
        <v>3555</v>
      </c>
      <c r="C103" s="9" t="s">
        <v>3556</v>
      </c>
      <c r="D103" s="9" t="s">
        <v>3557</v>
      </c>
      <c r="E103" s="9" t="s">
        <v>3558</v>
      </c>
    </row>
    <row r="104" customFormat="false" ht="15" hidden="false" customHeight="true" outlineLevel="0" collapsed="false">
      <c r="A104" s="28" t="s">
        <v>3630</v>
      </c>
      <c r="B104" s="41" t="s">
        <v>3631</v>
      </c>
      <c r="C104" s="8" t="s">
        <v>3561</v>
      </c>
      <c r="D104" s="30" t="n">
        <f aca="false">IF(ABS(SUM(AL_MixGen)-1)&gt;0.000000001,1,0)</f>
        <v>0</v>
      </c>
      <c r="E104" s="42" t="s">
        <v>3632</v>
      </c>
    </row>
    <row r="105" customFormat="false" ht="15" hidden="false" customHeight="true" outlineLevel="0" collapsed="false">
      <c r="A105" s="28" t="s">
        <v>3633</v>
      </c>
      <c r="B105" s="28" t="s">
        <v>3634</v>
      </c>
      <c r="C105" s="8" t="s">
        <v>3561</v>
      </c>
      <c r="D105" s="30" t="n">
        <f aca="false">SUM(AL_SensCheck)</f>
        <v>0</v>
      </c>
      <c r="E105" s="42" t="s">
        <v>3635</v>
      </c>
    </row>
    <row r="106" customFormat="false" ht="15" hidden="false" customHeight="true" outlineLevel="0" collapsed="false">
      <c r="A106" s="28" t="s">
        <v>3636</v>
      </c>
      <c r="B106" s="28" t="s">
        <v>3637</v>
      </c>
      <c r="C106" s="8" t="s">
        <v>3598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3638</v>
      </c>
    </row>
    <row r="108" customFormat="false" ht="15" hidden="false" customHeight="true" outlineLevel="0" collapsed="false">
      <c r="A108" s="40" t="s">
        <v>3639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3554</v>
      </c>
      <c r="B109" s="9" t="s">
        <v>3555</v>
      </c>
      <c r="C109" s="9" t="s">
        <v>3556</v>
      </c>
      <c r="D109" s="9" t="s">
        <v>3557</v>
      </c>
      <c r="E109" s="9" t="s">
        <v>3558</v>
      </c>
    </row>
    <row r="110" customFormat="false" ht="15" hidden="false" customHeight="true" outlineLevel="0" collapsed="false">
      <c r="A110" s="28" t="s">
        <v>3640</v>
      </c>
      <c r="B110" s="41" t="s">
        <v>3641</v>
      </c>
      <c r="C110" s="8" t="s">
        <v>3561</v>
      </c>
      <c r="D110" s="31" t="n">
        <f aca="false">SUM(Theory_Rev_Prod!C90:Q96)</f>
        <v>0</v>
      </c>
      <c r="E110" s="42" t="s">
        <v>3642</v>
      </c>
    </row>
    <row r="112" customFormat="false" ht="15" hidden="false" customHeight="true" outlineLevel="0" collapsed="false">
      <c r="A112" s="40" t="s">
        <v>3643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3554</v>
      </c>
      <c r="B113" s="9" t="s">
        <v>3555</v>
      </c>
      <c r="C113" s="9" t="s">
        <v>3556</v>
      </c>
      <c r="D113" s="9" t="s">
        <v>3557</v>
      </c>
      <c r="E113" s="9" t="s">
        <v>3558</v>
      </c>
    </row>
    <row r="114" customFormat="false" ht="15" hidden="false" customHeight="true" outlineLevel="0" collapsed="false">
      <c r="A114" s="28" t="s">
        <v>3644</v>
      </c>
      <c r="B114" s="41" t="s">
        <v>3645</v>
      </c>
      <c r="C114" s="8" t="s">
        <v>3561</v>
      </c>
      <c r="D114" s="31" t="n">
        <f aca="false">SUM(Theory_Rev!C96:Q99)</f>
        <v>0</v>
      </c>
      <c r="E114" s="42" t="s">
        <v>3646</v>
      </c>
    </row>
    <row r="116" customFormat="false" ht="15" hidden="false" customHeight="true" outlineLevel="0" collapsed="false">
      <c r="A116" s="40" t="s">
        <v>3647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3554</v>
      </c>
      <c r="B117" s="9" t="s">
        <v>3555</v>
      </c>
      <c r="C117" s="9" t="s">
        <v>3556</v>
      </c>
      <c r="D117" s="9" t="s">
        <v>3557</v>
      </c>
      <c r="E117" s="9" t="s">
        <v>3558</v>
      </c>
    </row>
    <row r="118" customFormat="false" ht="57.75" hidden="false" customHeight="true" outlineLevel="0" collapsed="false">
      <c r="A118" s="28" t="s">
        <v>3648</v>
      </c>
      <c r="B118" s="6" t="s">
        <v>3649</v>
      </c>
      <c r="C118" s="28" t="s">
        <v>3598</v>
      </c>
      <c r="D118" s="30" t="n">
        <f aca="false">COUNTIF(Interface!$R$6:$R$315,"—")</f>
        <v>0</v>
      </c>
      <c r="E118" s="42" t="s">
        <v>3650</v>
      </c>
    </row>
    <row r="119" customFormat="false" ht="72" hidden="false" customHeight="true" outlineLevel="0" collapsed="false">
      <c r="A119" s="28" t="s">
        <v>3651</v>
      </c>
      <c r="B119" s="6" t="s">
        <v>3652</v>
      </c>
      <c r="C119" s="8" t="s">
        <v>3561</v>
      </c>
      <c r="D119" s="30" t="n">
        <f aca="false">SUMPRODUCT((Interface!$R$6:$R$315="A")*(Interface!$Y$6:$Y$315=1)*(Interface!$X$6:$X$315=0))</f>
        <v>0</v>
      </c>
      <c r="E119" s="42" t="s">
        <v>3653</v>
      </c>
    </row>
    <row r="120" customFormat="false" ht="86.25" hidden="false" customHeight="true" outlineLevel="0" collapsed="false">
      <c r="A120" s="28" t="s">
        <v>3654</v>
      </c>
      <c r="B120" s="5" t="s">
        <v>3655</v>
      </c>
      <c r="C120" s="8" t="s">
        <v>3561</v>
      </c>
      <c r="D120" s="30" t="n">
        <f aca="false">SUM(Interface!C289:Q310)</f>
        <v>0</v>
      </c>
      <c r="E120" s="42" t="s">
        <v>3656</v>
      </c>
    </row>
    <row r="121" customFormat="false" ht="170.25" hidden="false" customHeight="true" outlineLevel="0" collapsed="false">
      <c r="A121" s="28" t="s">
        <v>3657</v>
      </c>
      <c r="B121" s="6" t="s">
        <v>3658</v>
      </c>
      <c r="C121" s="28" t="s">
        <v>3605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3659</v>
      </c>
    </row>
    <row r="122" customFormat="false" ht="108.75" hidden="false" customHeight="true" outlineLevel="0" collapsed="false">
      <c r="A122" s="28" t="s">
        <v>3660</v>
      </c>
      <c r="B122" s="6" t="s">
        <v>3661</v>
      </c>
      <c r="C122" s="28" t="s">
        <v>3605</v>
      </c>
      <c r="D122" s="30" t="n">
        <f aca="false">LB_LiveCount</f>
        <v>50</v>
      </c>
      <c r="E122" s="42" t="s">
        <v>3662</v>
      </c>
    </row>
    <row r="123" customFormat="false" ht="54.75" hidden="false" customHeight="true" outlineLevel="0" collapsed="false">
      <c r="A123" s="28" t="s">
        <v>3663</v>
      </c>
      <c r="B123" s="6" t="s">
        <v>3664</v>
      </c>
      <c r="C123" s="28" t="s">
        <v>3605</v>
      </c>
      <c r="D123" s="30" t="n">
        <f aca="false">COUNTIF(LB_Days,"&gt;90")</f>
        <v>0</v>
      </c>
      <c r="E123" s="42" t="s">
        <v>3665</v>
      </c>
    </row>
    <row r="124" customFormat="false" ht="69" hidden="false" customHeight="true" outlineLevel="0" collapsed="false">
      <c r="A124" s="28" t="s">
        <v>3666</v>
      </c>
      <c r="B124" s="6" t="s">
        <v>3667</v>
      </c>
      <c r="C124" s="28" t="s">
        <v>3605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3668</v>
      </c>
    </row>
    <row r="126" customFormat="false" ht="15" hidden="false" customHeight="true" outlineLevel="0" collapsed="false">
      <c r="A126" s="40" t="s">
        <v>3669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3554</v>
      </c>
      <c r="B127" s="9" t="s">
        <v>3555</v>
      </c>
      <c r="C127" s="9" t="s">
        <v>3556</v>
      </c>
      <c r="D127" s="9" t="s">
        <v>3557</v>
      </c>
      <c r="E127" s="9" t="s">
        <v>3558</v>
      </c>
    </row>
    <row r="128" customFormat="false" ht="111.75" hidden="false" customHeight="true" outlineLevel="0" collapsed="false">
      <c r="A128" s="28" t="s">
        <v>3670</v>
      </c>
      <c r="B128" s="6" t="s">
        <v>3671</v>
      </c>
      <c r="C128" s="28" t="s">
        <v>3598</v>
      </c>
      <c r="D128" s="30" t="n">
        <f aca="false">IF(ISNUMBER(L1_MImplied),IF(OR(L1_MImplied&lt;Gov_Map!$K$598,L1_MImplied&gt;Gov_Map!$L$598),1,0),0)</f>
        <v>1</v>
      </c>
      <c r="E128" s="42" t="s">
        <v>3672</v>
      </c>
    </row>
    <row r="129" customFormat="false" ht="97.5" hidden="false" customHeight="true" outlineLevel="0" collapsed="false">
      <c r="A129" s="28" t="s">
        <v>3673</v>
      </c>
      <c r="B129" s="5" t="s">
        <v>3674</v>
      </c>
      <c r="C129" s="28" t="s">
        <v>3598</v>
      </c>
      <c r="D129" s="30" t="n">
        <f aca="false">IF(AND(ISNUMBER(AL_DPaid),ISNUMBER(L1_TokCeiling)),IF(AL_DPaid&gt;L1_TokCeiling,1,0),0)</f>
        <v>0</v>
      </c>
      <c r="E129" s="42" t="s">
        <v>3675</v>
      </c>
    </row>
    <row r="130" customFormat="false" ht="97.5" hidden="false" customHeight="true" outlineLevel="0" collapsed="false">
      <c r="A130" s="28" t="s">
        <v>3676</v>
      </c>
      <c r="B130" s="6" t="s">
        <v>3677</v>
      </c>
      <c r="C130" s="28" t="s">
        <v>3598</v>
      </c>
      <c r="D130" s="30" t="n">
        <f aca="false">IF(ISNUMBER(L1_MFleet),IF(OR(L1_MFleet&lt;Gov_Map!$K$598,L1_MFleet&gt;Gov_Map!$L$598),1,0),0)</f>
        <v>0</v>
      </c>
      <c r="E130" s="42" t="s">
        <v>3678</v>
      </c>
    </row>
    <row r="131" customFormat="false" ht="86.25" hidden="false" customHeight="true" outlineLevel="0" collapsed="false">
      <c r="A131" s="28" t="s">
        <v>3679</v>
      </c>
      <c r="B131" s="5" t="s">
        <v>3680</v>
      </c>
      <c r="C131" s="28" t="s">
        <v>3598</v>
      </c>
      <c r="D131" s="30" t="n">
        <f aca="false">IF(ISNUMBER(Cap_In!$C$174),IF(OR(Cap_In!$C$174&lt;0.5,Cap_In!$C$174&gt;2),1,0),0)</f>
        <v>1</v>
      </c>
      <c r="E131" s="42" t="s">
        <v>3681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8" t="s">
        <v>3682</v>
      </c>
    </row>
    <row r="2" customFormat="false" ht="15" hidden="false" customHeight="true" outlineLevel="0" collapsed="false">
      <c r="A2" s="42" t="s">
        <v>3683</v>
      </c>
    </row>
    <row r="4" customFormat="false" ht="43.5" hidden="false" customHeight="true" outlineLevel="0" collapsed="false">
      <c r="A4" s="82" t="s">
        <v>3226</v>
      </c>
      <c r="B4" s="219" t="s">
        <v>3684</v>
      </c>
      <c r="C4" s="219" t="s">
        <v>12</v>
      </c>
      <c r="D4" s="219" t="s">
        <v>3227</v>
      </c>
      <c r="E4" s="219" t="s">
        <v>3228</v>
      </c>
      <c r="F4" s="219" t="s">
        <v>3229</v>
      </c>
      <c r="G4" s="219" t="s">
        <v>3685</v>
      </c>
      <c r="H4" s="82" t="s">
        <v>3686</v>
      </c>
      <c r="I4" s="219" t="s">
        <v>3687</v>
      </c>
      <c r="J4" s="219" t="s">
        <v>3688</v>
      </c>
      <c r="K4" s="219" t="s">
        <v>1133</v>
      </c>
      <c r="L4" s="219" t="s">
        <v>1134</v>
      </c>
      <c r="M4" s="219" t="s">
        <v>3689</v>
      </c>
      <c r="N4" s="219" t="s">
        <v>3690</v>
      </c>
      <c r="O4" s="219" t="s">
        <v>3691</v>
      </c>
      <c r="P4" s="82" t="s">
        <v>3230</v>
      </c>
      <c r="Q4" s="219" t="s">
        <v>3692</v>
      </c>
      <c r="R4" s="82" t="s">
        <v>3693</v>
      </c>
      <c r="S4" s="82" t="s">
        <v>3694</v>
      </c>
      <c r="T4" s="82" t="s">
        <v>3231</v>
      </c>
      <c r="U4" s="219" t="s">
        <v>3695</v>
      </c>
      <c r="V4" s="82" t="s">
        <v>3696</v>
      </c>
      <c r="W4" s="82" t="s">
        <v>3697</v>
      </c>
      <c r="X4" s="82" t="s">
        <v>3698</v>
      </c>
      <c r="Y4" s="82" t="s">
        <v>3699</v>
      </c>
      <c r="Z4" s="82" t="s">
        <v>3700</v>
      </c>
      <c r="AA4" s="82" t="s">
        <v>3701</v>
      </c>
      <c r="AB4" s="82" t="s">
        <v>3702</v>
      </c>
      <c r="AC4" s="82" t="s">
        <v>3703</v>
      </c>
      <c r="AD4" s="82" t="s">
        <v>3704</v>
      </c>
      <c r="AE4" s="82" t="s">
        <v>3705</v>
      </c>
      <c r="AF4" s="82" t="s">
        <v>3706</v>
      </c>
      <c r="AG4" s="82" t="s">
        <v>3707</v>
      </c>
      <c r="AH4" s="82" t="s">
        <v>3708</v>
      </c>
      <c r="AI4" s="82" t="s">
        <v>3709</v>
      </c>
      <c r="AJ4" s="82" t="s">
        <v>3710</v>
      </c>
      <c r="AK4" s="220" t="s">
        <v>3711</v>
      </c>
    </row>
    <row r="5" customFormat="false" ht="15" hidden="false" customHeight="true" outlineLevel="0" collapsed="false">
      <c r="A5" s="28" t="s">
        <v>3712</v>
      </c>
      <c r="B5" s="221" t="s">
        <v>3713</v>
      </c>
      <c r="C5" s="28" t="s">
        <v>3714</v>
      </c>
      <c r="D5" s="28" t="s">
        <v>3571</v>
      </c>
      <c r="E5" s="6" t="s">
        <v>80</v>
      </c>
      <c r="F5" s="28" t="s">
        <v>82</v>
      </c>
      <c r="G5" s="221" t="s">
        <v>3715</v>
      </c>
      <c r="H5" s="28" t="s">
        <v>604</v>
      </c>
      <c r="I5" s="6" t="s">
        <v>604</v>
      </c>
      <c r="J5" s="28" t="s">
        <v>3716</v>
      </c>
      <c r="K5" s="221"/>
      <c r="L5" s="221"/>
      <c r="M5" s="28" t="s">
        <v>604</v>
      </c>
      <c r="N5" s="6" t="s">
        <v>3717</v>
      </c>
      <c r="O5" s="6" t="s">
        <v>604</v>
      </c>
      <c r="P5" s="221" t="s">
        <v>3718</v>
      </c>
      <c r="Q5" s="46" t="n">
        <f aca="false">Inputs!E5</f>
        <v>1</v>
      </c>
      <c r="R5" s="28" t="s">
        <v>604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3719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3720</v>
      </c>
      <c r="B6" s="221" t="s">
        <v>3713</v>
      </c>
      <c r="C6" s="28" t="s">
        <v>3714</v>
      </c>
      <c r="D6" s="28" t="s">
        <v>3573</v>
      </c>
      <c r="E6" s="19" t="s">
        <v>84</v>
      </c>
      <c r="F6" s="28" t="s">
        <v>82</v>
      </c>
      <c r="G6" s="221" t="s">
        <v>3715</v>
      </c>
      <c r="H6" s="28" t="s">
        <v>604</v>
      </c>
      <c r="I6" s="6" t="s">
        <v>604</v>
      </c>
      <c r="J6" s="28" t="s">
        <v>3721</v>
      </c>
      <c r="K6" s="221"/>
      <c r="L6" s="221"/>
      <c r="M6" s="28" t="s">
        <v>604</v>
      </c>
      <c r="N6" s="6" t="s">
        <v>3722</v>
      </c>
      <c r="O6" s="6" t="s">
        <v>604</v>
      </c>
      <c r="P6" s="221" t="s">
        <v>3718</v>
      </c>
      <c r="Q6" s="46" t="n">
        <f aca="false">Inputs!E6</f>
        <v>2</v>
      </c>
      <c r="R6" s="28" t="s">
        <v>604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3719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3723</v>
      </c>
      <c r="B7" s="221" t="s">
        <v>3713</v>
      </c>
      <c r="C7" s="28" t="s">
        <v>3714</v>
      </c>
      <c r="D7" s="28" t="s">
        <v>3579</v>
      </c>
      <c r="E7" s="19" t="s">
        <v>88</v>
      </c>
      <c r="F7" s="28" t="s">
        <v>90</v>
      </c>
      <c r="G7" s="221" t="s">
        <v>75</v>
      </c>
      <c r="H7" s="28" t="s">
        <v>604</v>
      </c>
      <c r="I7" s="6" t="s">
        <v>604</v>
      </c>
      <c r="J7" s="28" t="s">
        <v>604</v>
      </c>
      <c r="K7" s="186" t="n">
        <f aca="false">Sensitivity!$X$8</f>
        <v>0.05</v>
      </c>
      <c r="L7" s="186" t="n">
        <f aca="false">Sensitivity!$Y$8</f>
        <v>0.12</v>
      </c>
      <c r="M7" s="28" t="s">
        <v>3724</v>
      </c>
      <c r="N7" s="22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604</v>
      </c>
      <c r="P7" s="221" t="s">
        <v>1133</v>
      </c>
      <c r="Q7" s="186" t="n">
        <f aca="false">Inputs!E8</f>
        <v>0.08</v>
      </c>
      <c r="R7" s="28" t="s">
        <v>604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3719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3725</v>
      </c>
      <c r="B8" s="221" t="s">
        <v>3713</v>
      </c>
      <c r="C8" s="28" t="s">
        <v>3714</v>
      </c>
      <c r="D8" s="28" t="s">
        <v>3582</v>
      </c>
      <c r="E8" s="6" t="s">
        <v>92</v>
      </c>
      <c r="F8" s="28" t="s">
        <v>90</v>
      </c>
      <c r="G8" s="221" t="s">
        <v>75</v>
      </c>
      <c r="H8" s="28" t="s">
        <v>604</v>
      </c>
      <c r="I8" s="6" t="s">
        <v>604</v>
      </c>
      <c r="J8" s="28" t="s">
        <v>604</v>
      </c>
      <c r="K8" s="182" t="n">
        <f aca="false">Inputs!$D$9</f>
        <v>1.1</v>
      </c>
      <c r="L8" s="182" t="n">
        <f aca="false">Inputs!$F$9</f>
        <v>1.3</v>
      </c>
      <c r="M8" s="28" t="s">
        <v>604</v>
      </c>
      <c r="N8" s="22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3726</v>
      </c>
      <c r="P8" s="221" t="s">
        <v>1133</v>
      </c>
      <c r="Q8" s="182" t="n">
        <f aca="false">Inputs!E9</f>
        <v>1.2</v>
      </c>
      <c r="R8" s="28" t="s">
        <v>604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3719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3727</v>
      </c>
      <c r="B9" s="221" t="s">
        <v>3713</v>
      </c>
      <c r="C9" s="28" t="s">
        <v>3714</v>
      </c>
      <c r="D9" s="28" t="s">
        <v>3728</v>
      </c>
      <c r="E9" s="6" t="s">
        <v>92</v>
      </c>
      <c r="F9" s="28" t="s">
        <v>90</v>
      </c>
      <c r="G9" s="221" t="s">
        <v>1133</v>
      </c>
      <c r="H9" s="28" t="s">
        <v>604</v>
      </c>
      <c r="I9" s="6" t="s">
        <v>604</v>
      </c>
      <c r="J9" s="28" t="s">
        <v>604</v>
      </c>
      <c r="K9" s="221"/>
      <c r="L9" s="221"/>
      <c r="M9" s="28" t="s">
        <v>604</v>
      </c>
      <c r="N9" s="22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3726</v>
      </c>
      <c r="P9" s="221" t="s">
        <v>1133</v>
      </c>
      <c r="Q9" s="182" t="n">
        <f aca="false">Inputs!D9</f>
        <v>1.1</v>
      </c>
      <c r="R9" s="28" t="s">
        <v>604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3719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3729</v>
      </c>
      <c r="B10" s="221" t="s">
        <v>3713</v>
      </c>
      <c r="C10" s="28" t="s">
        <v>3714</v>
      </c>
      <c r="D10" s="28" t="s">
        <v>3730</v>
      </c>
      <c r="E10" s="6" t="s">
        <v>92</v>
      </c>
      <c r="F10" s="28" t="s">
        <v>90</v>
      </c>
      <c r="G10" s="221" t="s">
        <v>1134</v>
      </c>
      <c r="H10" s="28" t="s">
        <v>604</v>
      </c>
      <c r="I10" s="6" t="s">
        <v>604</v>
      </c>
      <c r="J10" s="28" t="s">
        <v>604</v>
      </c>
      <c r="K10" s="221"/>
      <c r="L10" s="221"/>
      <c r="M10" s="28" t="s">
        <v>604</v>
      </c>
      <c r="N10" s="22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3726</v>
      </c>
      <c r="P10" s="221" t="s">
        <v>1133</v>
      </c>
      <c r="Q10" s="182" t="n">
        <f aca="false">Inputs!F9</f>
        <v>1.3</v>
      </c>
      <c r="R10" s="28" t="s">
        <v>604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3719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3731</v>
      </c>
      <c r="B11" s="221" t="s">
        <v>3713</v>
      </c>
      <c r="C11" s="28" t="s">
        <v>3714</v>
      </c>
      <c r="D11" s="28" t="s">
        <v>3585</v>
      </c>
      <c r="E11" s="19" t="s">
        <v>96</v>
      </c>
      <c r="F11" s="28" t="s">
        <v>90</v>
      </c>
      <c r="G11" s="221" t="s">
        <v>75</v>
      </c>
      <c r="H11" s="28" t="s">
        <v>604</v>
      </c>
      <c r="I11" s="6" t="s">
        <v>604</v>
      </c>
      <c r="J11" s="28" t="s">
        <v>604</v>
      </c>
      <c r="K11" s="186" t="n">
        <f aca="false">Inputs!$D$10</f>
        <v>0.7</v>
      </c>
      <c r="L11" s="186" t="n">
        <f aca="false">Inputs!$F$10</f>
        <v>0.9</v>
      </c>
      <c r="M11" s="28" t="s">
        <v>604</v>
      </c>
      <c r="N11" s="22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604</v>
      </c>
      <c r="P11" s="221" t="s">
        <v>1133</v>
      </c>
      <c r="Q11" s="186" t="n">
        <f aca="false">Inputs!E10</f>
        <v>0.8</v>
      </c>
      <c r="R11" s="28" t="s">
        <v>604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3719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3732</v>
      </c>
      <c r="B12" s="221" t="s">
        <v>3713</v>
      </c>
      <c r="C12" s="28" t="s">
        <v>3714</v>
      </c>
      <c r="D12" s="28" t="s">
        <v>3733</v>
      </c>
      <c r="E12" s="19" t="s">
        <v>96</v>
      </c>
      <c r="F12" s="28" t="s">
        <v>90</v>
      </c>
      <c r="G12" s="221" t="s">
        <v>1133</v>
      </c>
      <c r="H12" s="28" t="s">
        <v>604</v>
      </c>
      <c r="I12" s="6" t="s">
        <v>604</v>
      </c>
      <c r="J12" s="28" t="s">
        <v>604</v>
      </c>
      <c r="K12" s="221"/>
      <c r="L12" s="221"/>
      <c r="M12" s="28" t="s">
        <v>604</v>
      </c>
      <c r="N12" s="22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604</v>
      </c>
      <c r="P12" s="221" t="s">
        <v>1133</v>
      </c>
      <c r="Q12" s="186" t="n">
        <f aca="false">Inputs!D10</f>
        <v>0.7</v>
      </c>
      <c r="R12" s="28" t="s">
        <v>604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3719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3734</v>
      </c>
      <c r="B13" s="221" t="s">
        <v>3713</v>
      </c>
      <c r="C13" s="28" t="s">
        <v>3714</v>
      </c>
      <c r="D13" s="28" t="s">
        <v>3735</v>
      </c>
      <c r="E13" s="19" t="s">
        <v>96</v>
      </c>
      <c r="F13" s="28" t="s">
        <v>90</v>
      </c>
      <c r="G13" s="221" t="s">
        <v>1134</v>
      </c>
      <c r="H13" s="28" t="s">
        <v>604</v>
      </c>
      <c r="I13" s="6" t="s">
        <v>604</v>
      </c>
      <c r="J13" s="28" t="s">
        <v>604</v>
      </c>
      <c r="K13" s="221"/>
      <c r="L13" s="221"/>
      <c r="M13" s="28" t="s">
        <v>604</v>
      </c>
      <c r="N13" s="22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604</v>
      </c>
      <c r="P13" s="221" t="s">
        <v>1133</v>
      </c>
      <c r="Q13" s="186" t="n">
        <f aca="false">Inputs!F10</f>
        <v>0.9</v>
      </c>
      <c r="R13" s="28" t="s">
        <v>604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3719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3736</v>
      </c>
      <c r="B14" s="221" t="s">
        <v>3713</v>
      </c>
      <c r="C14" s="28" t="s">
        <v>3714</v>
      </c>
      <c r="D14" s="28" t="s">
        <v>3588</v>
      </c>
      <c r="E14" s="19" t="s">
        <v>98</v>
      </c>
      <c r="F14" s="28" t="s">
        <v>94</v>
      </c>
      <c r="G14" s="221" t="s">
        <v>75</v>
      </c>
      <c r="H14" s="28" t="s">
        <v>3737</v>
      </c>
      <c r="I14" s="19" t="s">
        <v>3738</v>
      </c>
      <c r="J14" s="28" t="s">
        <v>604</v>
      </c>
      <c r="K14" s="182" t="n">
        <f aca="false">Inputs!$D$11</f>
        <v>0.06</v>
      </c>
      <c r="L14" s="182" t="n">
        <f aca="false">Inputs!$F$11</f>
        <v>0.1</v>
      </c>
      <c r="M14" s="28" t="s">
        <v>604</v>
      </c>
      <c r="N14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604</v>
      </c>
      <c r="P14" s="221" t="s">
        <v>1133</v>
      </c>
      <c r="Q14" s="182" t="n">
        <f aca="false">Inputs!E11</f>
        <v>0.08</v>
      </c>
      <c r="R14" s="174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3719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3739</v>
      </c>
      <c r="B15" s="221" t="s">
        <v>3713</v>
      </c>
      <c r="C15" s="28" t="s">
        <v>3714</v>
      </c>
      <c r="D15" s="28" t="s">
        <v>3740</v>
      </c>
      <c r="E15" s="19" t="s">
        <v>98</v>
      </c>
      <c r="F15" s="28" t="s">
        <v>94</v>
      </c>
      <c r="G15" s="221" t="s">
        <v>1133</v>
      </c>
      <c r="H15" s="28" t="s">
        <v>3737</v>
      </c>
      <c r="I15" s="19" t="s">
        <v>3738</v>
      </c>
      <c r="J15" s="28" t="s">
        <v>604</v>
      </c>
      <c r="K15" s="221"/>
      <c r="L15" s="221"/>
      <c r="M15" s="28" t="s">
        <v>604</v>
      </c>
      <c r="N15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604</v>
      </c>
      <c r="P15" s="221" t="s">
        <v>1133</v>
      </c>
      <c r="Q15" s="182" t="n">
        <f aca="false">Inputs!D11</f>
        <v>0.06</v>
      </c>
      <c r="R15" s="174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3719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3741</v>
      </c>
      <c r="B16" s="221" t="s">
        <v>3713</v>
      </c>
      <c r="C16" s="28" t="s">
        <v>3714</v>
      </c>
      <c r="D16" s="28" t="s">
        <v>3742</v>
      </c>
      <c r="E16" s="19" t="s">
        <v>98</v>
      </c>
      <c r="F16" s="28" t="s">
        <v>94</v>
      </c>
      <c r="G16" s="221" t="s">
        <v>1134</v>
      </c>
      <c r="H16" s="28" t="s">
        <v>3737</v>
      </c>
      <c r="I16" s="19" t="s">
        <v>3738</v>
      </c>
      <c r="J16" s="28" t="s">
        <v>604</v>
      </c>
      <c r="K16" s="221"/>
      <c r="L16" s="221"/>
      <c r="M16" s="28" t="s">
        <v>604</v>
      </c>
      <c r="N16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604</v>
      </c>
      <c r="P16" s="221" t="s">
        <v>1133</v>
      </c>
      <c r="Q16" s="182" t="n">
        <f aca="false">Inputs!F11</f>
        <v>0.1</v>
      </c>
      <c r="R16" s="174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3719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3743</v>
      </c>
      <c r="B17" s="221" t="s">
        <v>3713</v>
      </c>
      <c r="C17" s="28" t="s">
        <v>3714</v>
      </c>
      <c r="D17" s="28" t="s">
        <v>3593</v>
      </c>
      <c r="E17" s="6" t="s">
        <v>103</v>
      </c>
      <c r="F17" s="28" t="s">
        <v>94</v>
      </c>
      <c r="G17" s="221" t="s">
        <v>75</v>
      </c>
      <c r="H17" s="28" t="s">
        <v>3744</v>
      </c>
      <c r="I17" s="19" t="s">
        <v>3738</v>
      </c>
      <c r="J17" s="28" t="s">
        <v>604</v>
      </c>
      <c r="K17" s="186" t="n">
        <f aca="false">Inputs!$D$13</f>
        <v>0.05</v>
      </c>
      <c r="L17" s="186" t="n">
        <f aca="false">Inputs!$F$13</f>
        <v>0.15</v>
      </c>
      <c r="M17" s="28" t="s">
        <v>604</v>
      </c>
      <c r="N17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604</v>
      </c>
      <c r="P17" s="221" t="s">
        <v>1133</v>
      </c>
      <c r="Q17" s="186" t="n">
        <f aca="false">Inputs!E13</f>
        <v>0.1</v>
      </c>
      <c r="R17" s="174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3719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3745</v>
      </c>
      <c r="B18" s="221" t="s">
        <v>3713</v>
      </c>
      <c r="C18" s="28" t="s">
        <v>3714</v>
      </c>
      <c r="D18" s="28" t="s">
        <v>3746</v>
      </c>
      <c r="E18" s="6" t="s">
        <v>103</v>
      </c>
      <c r="F18" s="28" t="s">
        <v>94</v>
      </c>
      <c r="G18" s="221" t="s">
        <v>1133</v>
      </c>
      <c r="H18" s="28" t="s">
        <v>3744</v>
      </c>
      <c r="I18" s="19" t="s">
        <v>3738</v>
      </c>
      <c r="J18" s="28" t="s">
        <v>604</v>
      </c>
      <c r="K18" s="221"/>
      <c r="L18" s="221"/>
      <c r="M18" s="28" t="s">
        <v>604</v>
      </c>
      <c r="N18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604</v>
      </c>
      <c r="P18" s="221" t="s">
        <v>1133</v>
      </c>
      <c r="Q18" s="186" t="n">
        <f aca="false">Inputs!D13</f>
        <v>0.05</v>
      </c>
      <c r="R18" s="174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3719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3747</v>
      </c>
      <c r="B19" s="221" t="s">
        <v>3713</v>
      </c>
      <c r="C19" s="28" t="s">
        <v>3714</v>
      </c>
      <c r="D19" s="28" t="s">
        <v>3748</v>
      </c>
      <c r="E19" s="6" t="s">
        <v>103</v>
      </c>
      <c r="F19" s="221" t="s">
        <v>315</v>
      </c>
      <c r="G19" s="221" t="s">
        <v>3715</v>
      </c>
      <c r="H19" s="28" t="s">
        <v>3749</v>
      </c>
      <c r="I19" s="19" t="s">
        <v>3750</v>
      </c>
      <c r="J19" s="28" t="s">
        <v>604</v>
      </c>
      <c r="K19" s="221"/>
      <c r="L19" s="221"/>
      <c r="M19" s="28" t="s">
        <v>604</v>
      </c>
      <c r="N19" s="19" t="s">
        <v>3751</v>
      </c>
      <c r="O19" s="6" t="s">
        <v>604</v>
      </c>
      <c r="P19" s="221" t="s">
        <v>1133</v>
      </c>
      <c r="Q19" s="186" t="n">
        <f aca="false">Inputs!F13</f>
        <v>0.15</v>
      </c>
      <c r="R19" s="174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3752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3753</v>
      </c>
      <c r="B20" s="221" t="s">
        <v>3713</v>
      </c>
      <c r="C20" s="28" t="s">
        <v>3714</v>
      </c>
      <c r="D20" s="28" t="s">
        <v>3754</v>
      </c>
      <c r="E20" s="19" t="s">
        <v>105</v>
      </c>
      <c r="F20" s="28" t="s">
        <v>90</v>
      </c>
      <c r="G20" s="221" t="s">
        <v>75</v>
      </c>
      <c r="H20" s="28" t="s">
        <v>604</v>
      </c>
      <c r="I20" s="6" t="s">
        <v>604</v>
      </c>
      <c r="J20" s="28" t="s">
        <v>604</v>
      </c>
      <c r="K20" s="46" t="n">
        <f aca="false">Inputs!$D$14</f>
        <v>300</v>
      </c>
      <c r="L20" s="46" t="n">
        <f aca="false">Inputs!$F$14</f>
        <v>800</v>
      </c>
      <c r="M20" s="28" t="s">
        <v>604</v>
      </c>
      <c r="N20" s="222" t="str">
        <f aca="false">Inputs!$H$14</f>
        <v>v4 約 $350/GPU（$25K/架）</v>
      </c>
      <c r="O20" s="6" t="s">
        <v>604</v>
      </c>
      <c r="P20" s="221" t="s">
        <v>1133</v>
      </c>
      <c r="Q20" s="46" t="n">
        <f aca="false">Inputs!E14</f>
        <v>500</v>
      </c>
      <c r="R20" s="28" t="s">
        <v>604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3719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3755</v>
      </c>
      <c r="B21" s="221" t="s">
        <v>3713</v>
      </c>
      <c r="C21" s="28" t="s">
        <v>3714</v>
      </c>
      <c r="D21" s="28" t="s">
        <v>3756</v>
      </c>
      <c r="E21" s="19" t="s">
        <v>105</v>
      </c>
      <c r="F21" s="28" t="s">
        <v>90</v>
      </c>
      <c r="G21" s="221" t="s">
        <v>1133</v>
      </c>
      <c r="H21" s="28" t="s">
        <v>604</v>
      </c>
      <c r="I21" s="6" t="s">
        <v>604</v>
      </c>
      <c r="J21" s="28" t="s">
        <v>604</v>
      </c>
      <c r="K21" s="221"/>
      <c r="L21" s="221"/>
      <c r="M21" s="28" t="s">
        <v>604</v>
      </c>
      <c r="N21" s="222" t="str">
        <f aca="false">Inputs!$H$14</f>
        <v>v4 約 $350/GPU（$25K/架）</v>
      </c>
      <c r="O21" s="6" t="s">
        <v>604</v>
      </c>
      <c r="P21" s="221" t="s">
        <v>1133</v>
      </c>
      <c r="Q21" s="46" t="n">
        <f aca="false">Inputs!D14</f>
        <v>300</v>
      </c>
      <c r="R21" s="28" t="s">
        <v>604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3719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3757</v>
      </c>
      <c r="B22" s="221" t="s">
        <v>3713</v>
      </c>
      <c r="C22" s="28" t="s">
        <v>3714</v>
      </c>
      <c r="D22" s="28" t="s">
        <v>3758</v>
      </c>
      <c r="E22" s="19" t="s">
        <v>105</v>
      </c>
      <c r="F22" s="28" t="s">
        <v>90</v>
      </c>
      <c r="G22" s="221" t="s">
        <v>1134</v>
      </c>
      <c r="H22" s="28" t="s">
        <v>604</v>
      </c>
      <c r="I22" s="6" t="s">
        <v>604</v>
      </c>
      <c r="J22" s="28" t="s">
        <v>604</v>
      </c>
      <c r="K22" s="221"/>
      <c r="L22" s="221"/>
      <c r="M22" s="28" t="s">
        <v>604</v>
      </c>
      <c r="N22" s="222" t="str">
        <f aca="false">Inputs!$H$14</f>
        <v>v4 約 $350/GPU（$25K/架）</v>
      </c>
      <c r="O22" s="6" t="s">
        <v>604</v>
      </c>
      <c r="P22" s="221" t="s">
        <v>1133</v>
      </c>
      <c r="Q22" s="46" t="n">
        <f aca="false">Inputs!F14</f>
        <v>800</v>
      </c>
      <c r="R22" s="28" t="s">
        <v>604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3719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3759</v>
      </c>
      <c r="B23" s="221" t="s">
        <v>3713</v>
      </c>
      <c r="C23" s="28" t="s">
        <v>3714</v>
      </c>
      <c r="D23" s="28" t="s">
        <v>3760</v>
      </c>
      <c r="E23" s="19" t="s">
        <v>109</v>
      </c>
      <c r="F23" s="28" t="s">
        <v>90</v>
      </c>
      <c r="G23" s="221" t="s">
        <v>75</v>
      </c>
      <c r="H23" s="28" t="s">
        <v>604</v>
      </c>
      <c r="I23" s="6" t="s">
        <v>604</v>
      </c>
      <c r="J23" s="28" t="s">
        <v>604</v>
      </c>
      <c r="K23" s="182" t="n">
        <f aca="false">Inputs!$D$16</f>
        <v>0.02</v>
      </c>
      <c r="L23" s="182" t="n">
        <f aca="false">Inputs!$F$16</f>
        <v>0.02</v>
      </c>
      <c r="M23" s="28" t="s">
        <v>604</v>
      </c>
      <c r="N23" s="222" t="str">
        <f aca="false">Inputs!$H$16</f>
        <v>v4：100 英畝 × $200K／GW</v>
      </c>
      <c r="O23" s="6" t="s">
        <v>604</v>
      </c>
      <c r="P23" s="221" t="s">
        <v>1133</v>
      </c>
      <c r="Q23" s="182" t="n">
        <f aca="false">Inputs!E16</f>
        <v>0.02</v>
      </c>
      <c r="R23" s="28" t="s">
        <v>604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3719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3761</v>
      </c>
      <c r="B24" s="221" t="s">
        <v>3713</v>
      </c>
      <c r="C24" s="28" t="s">
        <v>3714</v>
      </c>
      <c r="D24" s="28" t="s">
        <v>3762</v>
      </c>
      <c r="E24" s="19" t="s">
        <v>109</v>
      </c>
      <c r="F24" s="28" t="s">
        <v>90</v>
      </c>
      <c r="G24" s="221" t="s">
        <v>1133</v>
      </c>
      <c r="H24" s="28" t="s">
        <v>604</v>
      </c>
      <c r="I24" s="6" t="s">
        <v>604</v>
      </c>
      <c r="J24" s="28" t="s">
        <v>604</v>
      </c>
      <c r="K24" s="221"/>
      <c r="L24" s="221"/>
      <c r="M24" s="28" t="s">
        <v>604</v>
      </c>
      <c r="N24" s="222" t="str">
        <f aca="false">Inputs!$H$16</f>
        <v>v4：100 英畝 × $200K／GW</v>
      </c>
      <c r="O24" s="6" t="s">
        <v>604</v>
      </c>
      <c r="P24" s="221" t="s">
        <v>1133</v>
      </c>
      <c r="Q24" s="182" t="n">
        <f aca="false">Inputs!D16</f>
        <v>0.02</v>
      </c>
      <c r="R24" s="28" t="s">
        <v>604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3719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3763</v>
      </c>
      <c r="B25" s="221" t="s">
        <v>3713</v>
      </c>
      <c r="C25" s="28" t="s">
        <v>3714</v>
      </c>
      <c r="D25" s="28" t="s">
        <v>3764</v>
      </c>
      <c r="E25" s="19" t="s">
        <v>109</v>
      </c>
      <c r="F25" s="28" t="s">
        <v>90</v>
      </c>
      <c r="G25" s="221" t="s">
        <v>1134</v>
      </c>
      <c r="H25" s="28" t="s">
        <v>604</v>
      </c>
      <c r="I25" s="6" t="s">
        <v>604</v>
      </c>
      <c r="J25" s="28" t="s">
        <v>604</v>
      </c>
      <c r="K25" s="221"/>
      <c r="L25" s="221"/>
      <c r="M25" s="28" t="s">
        <v>604</v>
      </c>
      <c r="N25" s="222" t="str">
        <f aca="false">Inputs!$H$16</f>
        <v>v4：100 英畝 × $200K／GW</v>
      </c>
      <c r="O25" s="6" t="s">
        <v>604</v>
      </c>
      <c r="P25" s="221" t="s">
        <v>1133</v>
      </c>
      <c r="Q25" s="182" t="n">
        <f aca="false">Inputs!F16</f>
        <v>0.02</v>
      </c>
      <c r="R25" s="28" t="s">
        <v>604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3719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3765</v>
      </c>
      <c r="B26" s="221" t="s">
        <v>3713</v>
      </c>
      <c r="C26" s="28" t="s">
        <v>3714</v>
      </c>
      <c r="D26" s="28" t="s">
        <v>3766</v>
      </c>
      <c r="E26" s="19" t="s">
        <v>112</v>
      </c>
      <c r="F26" s="28" t="s">
        <v>90</v>
      </c>
      <c r="G26" s="221" t="s">
        <v>75</v>
      </c>
      <c r="H26" s="28" t="s">
        <v>604</v>
      </c>
      <c r="I26" s="6" t="s">
        <v>604</v>
      </c>
      <c r="J26" s="28" t="s">
        <v>604</v>
      </c>
      <c r="K26" s="182" t="n">
        <f aca="false">Inputs!$D$17</f>
        <v>3</v>
      </c>
      <c r="L26" s="182" t="n">
        <f aca="false">Inputs!$F$17</f>
        <v>4.5</v>
      </c>
      <c r="M26" s="28" t="s">
        <v>604</v>
      </c>
      <c r="N26" s="22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604</v>
      </c>
      <c r="P26" s="221" t="s">
        <v>1133</v>
      </c>
      <c r="Q26" s="182" t="n">
        <f aca="false">Inputs!E17</f>
        <v>3.6</v>
      </c>
      <c r="R26" s="28" t="s">
        <v>604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3719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3767</v>
      </c>
      <c r="B27" s="221" t="s">
        <v>3713</v>
      </c>
      <c r="C27" s="28" t="s">
        <v>3714</v>
      </c>
      <c r="D27" s="28" t="s">
        <v>3768</v>
      </c>
      <c r="E27" s="19" t="s">
        <v>112</v>
      </c>
      <c r="F27" s="28" t="s">
        <v>90</v>
      </c>
      <c r="G27" s="221" t="s">
        <v>1133</v>
      </c>
      <c r="H27" s="28" t="s">
        <v>604</v>
      </c>
      <c r="I27" s="6" t="s">
        <v>604</v>
      </c>
      <c r="J27" s="28" t="s">
        <v>604</v>
      </c>
      <c r="K27" s="221"/>
      <c r="L27" s="221"/>
      <c r="M27" s="28" t="s">
        <v>604</v>
      </c>
      <c r="N27" s="22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604</v>
      </c>
      <c r="P27" s="221" t="s">
        <v>1133</v>
      </c>
      <c r="Q27" s="182" t="n">
        <f aca="false">Inputs!D17</f>
        <v>3</v>
      </c>
      <c r="R27" s="28" t="s">
        <v>604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3719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3769</v>
      </c>
      <c r="B28" s="221" t="s">
        <v>3713</v>
      </c>
      <c r="C28" s="28" t="s">
        <v>3714</v>
      </c>
      <c r="D28" s="28" t="s">
        <v>3770</v>
      </c>
      <c r="E28" s="19" t="s">
        <v>112</v>
      </c>
      <c r="F28" s="28" t="s">
        <v>90</v>
      </c>
      <c r="G28" s="221" t="s">
        <v>1134</v>
      </c>
      <c r="H28" s="28" t="s">
        <v>604</v>
      </c>
      <c r="I28" s="6" t="s">
        <v>604</v>
      </c>
      <c r="J28" s="28" t="s">
        <v>604</v>
      </c>
      <c r="K28" s="221"/>
      <c r="L28" s="221"/>
      <c r="M28" s="28" t="s">
        <v>604</v>
      </c>
      <c r="N28" s="22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604</v>
      </c>
      <c r="P28" s="221" t="s">
        <v>1133</v>
      </c>
      <c r="Q28" s="182" t="n">
        <f aca="false">Inputs!F17</f>
        <v>4.5</v>
      </c>
      <c r="R28" s="28" t="s">
        <v>604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3719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3771</v>
      </c>
      <c r="B29" s="221" t="s">
        <v>3713</v>
      </c>
      <c r="C29" s="28" t="s">
        <v>3714</v>
      </c>
      <c r="D29" s="28" t="s">
        <v>3772</v>
      </c>
      <c r="E29" s="19" t="s">
        <v>114</v>
      </c>
      <c r="F29" s="28" t="s">
        <v>90</v>
      </c>
      <c r="G29" s="221" t="s">
        <v>75</v>
      </c>
      <c r="H29" s="28" t="s">
        <v>604</v>
      </c>
      <c r="I29" s="6" t="s">
        <v>604</v>
      </c>
      <c r="J29" s="28" t="s">
        <v>604</v>
      </c>
      <c r="K29" s="182" t="n">
        <f aca="false">Inputs!$D$18</f>
        <v>3.8</v>
      </c>
      <c r="L29" s="182" t="n">
        <f aca="false">Inputs!$F$18</f>
        <v>5.5</v>
      </c>
      <c r="M29" s="28" t="s">
        <v>604</v>
      </c>
      <c r="N29" s="19" t="s">
        <v>3773</v>
      </c>
      <c r="O29" s="6" t="s">
        <v>604</v>
      </c>
      <c r="P29" s="221" t="s">
        <v>3774</v>
      </c>
      <c r="Q29" s="182" t="n">
        <f aca="false">Inputs!E18</f>
        <v>4.5</v>
      </c>
      <c r="R29" s="28" t="s">
        <v>604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3719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3775</v>
      </c>
      <c r="B30" s="221" t="s">
        <v>3713</v>
      </c>
      <c r="C30" s="28" t="s">
        <v>3714</v>
      </c>
      <c r="D30" s="28" t="s">
        <v>3776</v>
      </c>
      <c r="E30" s="19" t="s">
        <v>114</v>
      </c>
      <c r="F30" s="28" t="s">
        <v>90</v>
      </c>
      <c r="G30" s="221" t="s">
        <v>1133</v>
      </c>
      <c r="H30" s="28" t="s">
        <v>604</v>
      </c>
      <c r="I30" s="6" t="s">
        <v>604</v>
      </c>
      <c r="J30" s="28" t="s">
        <v>604</v>
      </c>
      <c r="K30" s="221"/>
      <c r="L30" s="221"/>
      <c r="M30" s="28" t="s">
        <v>604</v>
      </c>
      <c r="N30" s="19" t="s">
        <v>3773</v>
      </c>
      <c r="O30" s="6" t="s">
        <v>604</v>
      </c>
      <c r="P30" s="221" t="s">
        <v>3774</v>
      </c>
      <c r="Q30" s="182" t="n">
        <f aca="false">Inputs!D18</f>
        <v>3.8</v>
      </c>
      <c r="R30" s="28" t="s">
        <v>604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3719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3777</v>
      </c>
      <c r="B31" s="221" t="s">
        <v>3713</v>
      </c>
      <c r="C31" s="28" t="s">
        <v>3714</v>
      </c>
      <c r="D31" s="28" t="s">
        <v>3778</v>
      </c>
      <c r="E31" s="19" t="s">
        <v>114</v>
      </c>
      <c r="F31" s="28" t="s">
        <v>90</v>
      </c>
      <c r="G31" s="221" t="s">
        <v>1134</v>
      </c>
      <c r="H31" s="28" t="s">
        <v>604</v>
      </c>
      <c r="I31" s="6" t="s">
        <v>604</v>
      </c>
      <c r="J31" s="28" t="s">
        <v>604</v>
      </c>
      <c r="K31" s="221"/>
      <c r="L31" s="221"/>
      <c r="M31" s="28" t="s">
        <v>604</v>
      </c>
      <c r="N31" s="19" t="s">
        <v>3773</v>
      </c>
      <c r="O31" s="6" t="s">
        <v>604</v>
      </c>
      <c r="P31" s="221" t="s">
        <v>3774</v>
      </c>
      <c r="Q31" s="182" t="n">
        <f aca="false">Inputs!F18</f>
        <v>5.5</v>
      </c>
      <c r="R31" s="28" t="s">
        <v>604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3719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3779</v>
      </c>
      <c r="B32" s="221" t="s">
        <v>3713</v>
      </c>
      <c r="C32" s="28" t="s">
        <v>3714</v>
      </c>
      <c r="D32" s="28" t="s">
        <v>3780</v>
      </c>
      <c r="E32" s="19" t="s">
        <v>116</v>
      </c>
      <c r="F32" s="28" t="s">
        <v>90</v>
      </c>
      <c r="G32" s="221" t="s">
        <v>75</v>
      </c>
      <c r="H32" s="28" t="s">
        <v>604</v>
      </c>
      <c r="I32" s="6" t="s">
        <v>604</v>
      </c>
      <c r="J32" s="28" t="s">
        <v>604</v>
      </c>
      <c r="K32" s="182" t="n">
        <f aca="false">Inputs!$D$19</f>
        <v>2</v>
      </c>
      <c r="L32" s="182" t="n">
        <f aca="false">Inputs!$F$19</f>
        <v>3.2</v>
      </c>
      <c r="M32" s="28" t="s">
        <v>604</v>
      </c>
      <c r="N32" s="22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604</v>
      </c>
      <c r="P32" s="221" t="s">
        <v>1133</v>
      </c>
      <c r="Q32" s="182" t="n">
        <f aca="false">Inputs!E19</f>
        <v>2.5</v>
      </c>
      <c r="R32" s="28" t="s">
        <v>604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3719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3781</v>
      </c>
      <c r="B33" s="221" t="s">
        <v>3713</v>
      </c>
      <c r="C33" s="28" t="s">
        <v>3714</v>
      </c>
      <c r="D33" s="28" t="s">
        <v>3782</v>
      </c>
      <c r="E33" s="19" t="s">
        <v>116</v>
      </c>
      <c r="F33" s="28" t="s">
        <v>90</v>
      </c>
      <c r="G33" s="221" t="s">
        <v>1133</v>
      </c>
      <c r="H33" s="28" t="s">
        <v>604</v>
      </c>
      <c r="I33" s="6" t="s">
        <v>604</v>
      </c>
      <c r="J33" s="28" t="s">
        <v>604</v>
      </c>
      <c r="K33" s="221"/>
      <c r="L33" s="221"/>
      <c r="M33" s="28" t="s">
        <v>604</v>
      </c>
      <c r="N33" s="22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604</v>
      </c>
      <c r="P33" s="221" t="s">
        <v>1133</v>
      </c>
      <c r="Q33" s="182" t="n">
        <f aca="false">Inputs!D19</f>
        <v>2</v>
      </c>
      <c r="R33" s="28" t="s">
        <v>604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3719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3783</v>
      </c>
      <c r="B34" s="221" t="s">
        <v>3713</v>
      </c>
      <c r="C34" s="28" t="s">
        <v>3714</v>
      </c>
      <c r="D34" s="28" t="s">
        <v>3784</v>
      </c>
      <c r="E34" s="19" t="s">
        <v>116</v>
      </c>
      <c r="F34" s="28" t="s">
        <v>90</v>
      </c>
      <c r="G34" s="221" t="s">
        <v>1134</v>
      </c>
      <c r="H34" s="28" t="s">
        <v>604</v>
      </c>
      <c r="I34" s="6" t="s">
        <v>604</v>
      </c>
      <c r="J34" s="28" t="s">
        <v>604</v>
      </c>
      <c r="K34" s="221"/>
      <c r="L34" s="221"/>
      <c r="M34" s="28" t="s">
        <v>604</v>
      </c>
      <c r="N34" s="22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604</v>
      </c>
      <c r="P34" s="221" t="s">
        <v>1133</v>
      </c>
      <c r="Q34" s="182" t="n">
        <f aca="false">Inputs!F19</f>
        <v>3.2</v>
      </c>
      <c r="R34" s="28" t="s">
        <v>604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3719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3785</v>
      </c>
      <c r="B35" s="221" t="s">
        <v>3713</v>
      </c>
      <c r="C35" s="28" t="s">
        <v>3714</v>
      </c>
      <c r="D35" s="28" t="s">
        <v>3786</v>
      </c>
      <c r="E35" s="19" t="s">
        <v>118</v>
      </c>
      <c r="F35" s="28" t="s">
        <v>90</v>
      </c>
      <c r="G35" s="221" t="s">
        <v>75</v>
      </c>
      <c r="H35" s="28" t="s">
        <v>604</v>
      </c>
      <c r="I35" s="6" t="s">
        <v>604</v>
      </c>
      <c r="J35" s="28" t="s">
        <v>604</v>
      </c>
      <c r="K35" s="182" t="n">
        <f aca="false">Inputs!$D$20</f>
        <v>0.3</v>
      </c>
      <c r="L35" s="182" t="n">
        <f aca="false">Inputs!$F$20</f>
        <v>0.5</v>
      </c>
      <c r="M35" s="28" t="s">
        <v>604</v>
      </c>
      <c r="N35" s="19" t="s">
        <v>3787</v>
      </c>
      <c r="O35" s="6" t="s">
        <v>604</v>
      </c>
      <c r="P35" s="221" t="s">
        <v>1133</v>
      </c>
      <c r="Q35" s="182" t="n">
        <f aca="false">Inputs!E20</f>
        <v>0.4</v>
      </c>
      <c r="R35" s="28" t="s">
        <v>604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3719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3788</v>
      </c>
      <c r="B36" s="221" t="s">
        <v>3713</v>
      </c>
      <c r="C36" s="28" t="s">
        <v>3714</v>
      </c>
      <c r="D36" s="28" t="s">
        <v>3789</v>
      </c>
      <c r="E36" s="19" t="s">
        <v>118</v>
      </c>
      <c r="F36" s="28" t="s">
        <v>90</v>
      </c>
      <c r="G36" s="221" t="s">
        <v>1133</v>
      </c>
      <c r="H36" s="28" t="s">
        <v>604</v>
      </c>
      <c r="I36" s="6" t="s">
        <v>604</v>
      </c>
      <c r="J36" s="28" t="s">
        <v>604</v>
      </c>
      <c r="K36" s="221"/>
      <c r="L36" s="221"/>
      <c r="M36" s="28" t="s">
        <v>604</v>
      </c>
      <c r="N36" s="19" t="s">
        <v>3787</v>
      </c>
      <c r="O36" s="6" t="s">
        <v>604</v>
      </c>
      <c r="P36" s="221" t="s">
        <v>1133</v>
      </c>
      <c r="Q36" s="182" t="n">
        <f aca="false">Inputs!D20</f>
        <v>0.3</v>
      </c>
      <c r="R36" s="28" t="s">
        <v>604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3719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3790</v>
      </c>
      <c r="B37" s="221" t="s">
        <v>3713</v>
      </c>
      <c r="C37" s="28" t="s">
        <v>3714</v>
      </c>
      <c r="D37" s="28" t="s">
        <v>3791</v>
      </c>
      <c r="E37" s="19" t="s">
        <v>118</v>
      </c>
      <c r="F37" s="28" t="s">
        <v>90</v>
      </c>
      <c r="G37" s="221" t="s">
        <v>1134</v>
      </c>
      <c r="H37" s="28" t="s">
        <v>604</v>
      </c>
      <c r="I37" s="6" t="s">
        <v>604</v>
      </c>
      <c r="J37" s="28" t="s">
        <v>604</v>
      </c>
      <c r="K37" s="221"/>
      <c r="L37" s="221"/>
      <c r="M37" s="28" t="s">
        <v>604</v>
      </c>
      <c r="N37" s="19" t="s">
        <v>3787</v>
      </c>
      <c r="O37" s="6" t="s">
        <v>604</v>
      </c>
      <c r="P37" s="221" t="s">
        <v>1133</v>
      </c>
      <c r="Q37" s="182" t="n">
        <f aca="false">Inputs!F20</f>
        <v>0.5</v>
      </c>
      <c r="R37" s="28" t="s">
        <v>604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3719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3792</v>
      </c>
      <c r="B38" s="221" t="s">
        <v>3713</v>
      </c>
      <c r="C38" s="28" t="s">
        <v>3714</v>
      </c>
      <c r="D38" s="28" t="s">
        <v>3793</v>
      </c>
      <c r="E38" s="19" t="s">
        <v>119</v>
      </c>
      <c r="F38" s="28" t="s">
        <v>90</v>
      </c>
      <c r="G38" s="221" t="s">
        <v>75</v>
      </c>
      <c r="H38" s="28" t="s">
        <v>604</v>
      </c>
      <c r="I38" s="6" t="s">
        <v>604</v>
      </c>
      <c r="J38" s="28" t="s">
        <v>604</v>
      </c>
      <c r="K38" s="186" t="n">
        <f aca="false">Inputs!$D$21</f>
        <v>0.12</v>
      </c>
      <c r="L38" s="186" t="n">
        <f aca="false">Inputs!$F$21</f>
        <v>0.18</v>
      </c>
      <c r="M38" s="28" t="s">
        <v>604</v>
      </c>
      <c r="N38" s="6" t="s">
        <v>3794</v>
      </c>
      <c r="O38" s="6" t="s">
        <v>604</v>
      </c>
      <c r="P38" s="221" t="s">
        <v>1133</v>
      </c>
      <c r="Q38" s="186" t="n">
        <f aca="false">Inputs!E21</f>
        <v>0.15</v>
      </c>
      <c r="R38" s="28" t="s">
        <v>604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3719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3795</v>
      </c>
      <c r="B39" s="221" t="s">
        <v>3713</v>
      </c>
      <c r="C39" s="28" t="s">
        <v>3714</v>
      </c>
      <c r="D39" s="28" t="s">
        <v>3796</v>
      </c>
      <c r="E39" s="19" t="s">
        <v>119</v>
      </c>
      <c r="F39" s="28" t="s">
        <v>90</v>
      </c>
      <c r="G39" s="221" t="s">
        <v>1133</v>
      </c>
      <c r="H39" s="28" t="s">
        <v>604</v>
      </c>
      <c r="I39" s="6" t="s">
        <v>604</v>
      </c>
      <c r="J39" s="28" t="s">
        <v>604</v>
      </c>
      <c r="K39" s="221"/>
      <c r="L39" s="221"/>
      <c r="M39" s="28" t="s">
        <v>604</v>
      </c>
      <c r="N39" s="6" t="s">
        <v>3794</v>
      </c>
      <c r="O39" s="6" t="s">
        <v>604</v>
      </c>
      <c r="P39" s="221" t="s">
        <v>1133</v>
      </c>
      <c r="Q39" s="186" t="n">
        <f aca="false">Inputs!D21</f>
        <v>0.12</v>
      </c>
      <c r="R39" s="28" t="s">
        <v>604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3719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3797</v>
      </c>
      <c r="B40" s="221" t="s">
        <v>3713</v>
      </c>
      <c r="C40" s="28" t="s">
        <v>3714</v>
      </c>
      <c r="D40" s="28" t="s">
        <v>3798</v>
      </c>
      <c r="E40" s="19" t="s">
        <v>119</v>
      </c>
      <c r="F40" s="28" t="s">
        <v>90</v>
      </c>
      <c r="G40" s="221" t="s">
        <v>1134</v>
      </c>
      <c r="H40" s="28" t="s">
        <v>604</v>
      </c>
      <c r="I40" s="6" t="s">
        <v>604</v>
      </c>
      <c r="J40" s="28" t="s">
        <v>604</v>
      </c>
      <c r="K40" s="221"/>
      <c r="L40" s="221"/>
      <c r="M40" s="28" t="s">
        <v>604</v>
      </c>
      <c r="N40" s="6" t="s">
        <v>3794</v>
      </c>
      <c r="O40" s="6" t="s">
        <v>604</v>
      </c>
      <c r="P40" s="221" t="s">
        <v>1133</v>
      </c>
      <c r="Q40" s="186" t="n">
        <f aca="false">Inputs!F21</f>
        <v>0.18</v>
      </c>
      <c r="R40" s="28" t="s">
        <v>604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3719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3799</v>
      </c>
      <c r="B41" s="221" t="s">
        <v>3713</v>
      </c>
      <c r="C41" s="28" t="s">
        <v>3714</v>
      </c>
      <c r="D41" s="28" t="s">
        <v>3800</v>
      </c>
      <c r="E41" s="6" t="s">
        <v>132</v>
      </c>
      <c r="F41" s="28" t="s">
        <v>90</v>
      </c>
      <c r="G41" s="221" t="s">
        <v>75</v>
      </c>
      <c r="H41" s="28" t="s">
        <v>604</v>
      </c>
      <c r="I41" s="6" t="s">
        <v>604</v>
      </c>
      <c r="J41" s="28" t="s">
        <v>3733</v>
      </c>
      <c r="K41" s="186" t="n">
        <f aca="false">Inputs!$D$28</f>
        <v>0.08</v>
      </c>
      <c r="L41" s="186" t="n">
        <f aca="false">Inputs!$F$28</f>
        <v>0.13</v>
      </c>
      <c r="M41" s="28" t="s">
        <v>604</v>
      </c>
      <c r="N41" s="222" t="str">
        <f aca="false">Inputs!$H$28</f>
        <v>與擁有者無關的單一假設；下游公司模型以自身 WACC 覆寫（Andy 2026-09-30 決定）</v>
      </c>
      <c r="O41" s="6" t="s">
        <v>604</v>
      </c>
      <c r="P41" s="221" t="s">
        <v>3774</v>
      </c>
      <c r="Q41" s="186" t="n">
        <f aca="false">Inputs!E28</f>
        <v>0.1</v>
      </c>
      <c r="R41" s="28" t="s">
        <v>604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3719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3801</v>
      </c>
      <c r="B42" s="221" t="s">
        <v>3713</v>
      </c>
      <c r="C42" s="28" t="s">
        <v>3714</v>
      </c>
      <c r="D42" s="28" t="s">
        <v>3802</v>
      </c>
      <c r="E42" s="6" t="s">
        <v>132</v>
      </c>
      <c r="F42" s="28" t="s">
        <v>90</v>
      </c>
      <c r="G42" s="221" t="s">
        <v>1133</v>
      </c>
      <c r="H42" s="28" t="s">
        <v>604</v>
      </c>
      <c r="I42" s="6" t="s">
        <v>604</v>
      </c>
      <c r="J42" s="28" t="s">
        <v>604</v>
      </c>
      <c r="K42" s="221"/>
      <c r="L42" s="221"/>
      <c r="M42" s="28" t="s">
        <v>604</v>
      </c>
      <c r="N42" s="222" t="str">
        <f aca="false">Inputs!$H$28</f>
        <v>與擁有者無關的單一假設；下游公司模型以自身 WACC 覆寫（Andy 2026-09-30 決定）</v>
      </c>
      <c r="O42" s="6" t="s">
        <v>604</v>
      </c>
      <c r="P42" s="221" t="s">
        <v>3774</v>
      </c>
      <c r="Q42" s="186" t="n">
        <f aca="false">Inputs!D28</f>
        <v>0.08</v>
      </c>
      <c r="R42" s="28" t="s">
        <v>604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3719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3803</v>
      </c>
      <c r="B43" s="221" t="s">
        <v>3713</v>
      </c>
      <c r="C43" s="28" t="s">
        <v>3714</v>
      </c>
      <c r="D43" s="28" t="s">
        <v>3804</v>
      </c>
      <c r="E43" s="6" t="s">
        <v>132</v>
      </c>
      <c r="F43" s="28" t="s">
        <v>90</v>
      </c>
      <c r="G43" s="221" t="s">
        <v>1134</v>
      </c>
      <c r="H43" s="28" t="s">
        <v>604</v>
      </c>
      <c r="I43" s="6" t="s">
        <v>604</v>
      </c>
      <c r="J43" s="28" t="s">
        <v>604</v>
      </c>
      <c r="K43" s="221"/>
      <c r="L43" s="221"/>
      <c r="M43" s="28" t="s">
        <v>604</v>
      </c>
      <c r="N43" s="222" t="str">
        <f aca="false">Inputs!$H$28</f>
        <v>與擁有者無關的單一假設；下游公司模型以自身 WACC 覆寫（Andy 2026-09-30 決定）</v>
      </c>
      <c r="O43" s="6" t="s">
        <v>604</v>
      </c>
      <c r="P43" s="221" t="s">
        <v>3774</v>
      </c>
      <c r="Q43" s="186" t="n">
        <f aca="false">Inputs!F28</f>
        <v>0.13</v>
      </c>
      <c r="R43" s="28" t="s">
        <v>604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3719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3805</v>
      </c>
      <c r="B44" s="221" t="s">
        <v>3713</v>
      </c>
      <c r="C44" s="28" t="s">
        <v>3714</v>
      </c>
      <c r="D44" s="28" t="s">
        <v>3806</v>
      </c>
      <c r="E44" s="6" t="s">
        <v>135</v>
      </c>
      <c r="F44" s="28" t="s">
        <v>3807</v>
      </c>
      <c r="G44" s="221" t="s">
        <v>75</v>
      </c>
      <c r="H44" s="28" t="s">
        <v>604</v>
      </c>
      <c r="I44" s="6" t="s">
        <v>604</v>
      </c>
      <c r="J44" s="28" t="s">
        <v>3808</v>
      </c>
      <c r="K44" s="186" t="n">
        <f aca="false">Inputs!$D$30</f>
        <v>0.0102443497224425</v>
      </c>
      <c r="L44" s="186" t="n">
        <f aca="false">Inputs!$F$30</f>
        <v>0.0182477678962645</v>
      </c>
      <c r="M44" s="28" t="s">
        <v>604</v>
      </c>
      <c r="N44" s="6" t="s">
        <v>3809</v>
      </c>
      <c r="O44" s="6" t="s">
        <v>3810</v>
      </c>
      <c r="P44" s="221" t="s">
        <v>1133</v>
      </c>
      <c r="Q44" s="186" t="n">
        <f aca="false">Inputs!E30</f>
        <v>0.0157250107250107</v>
      </c>
      <c r="R44" s="28" t="s">
        <v>604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3811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3812</v>
      </c>
      <c r="B45" s="221" t="s">
        <v>3713</v>
      </c>
      <c r="C45" s="28" t="s">
        <v>3714</v>
      </c>
      <c r="D45" s="28" t="s">
        <v>3813</v>
      </c>
      <c r="E45" s="6" t="s">
        <v>135</v>
      </c>
      <c r="F45" s="28" t="s">
        <v>3807</v>
      </c>
      <c r="G45" s="221" t="s">
        <v>1133</v>
      </c>
      <c r="H45" s="28" t="s">
        <v>604</v>
      </c>
      <c r="I45" s="6" t="s">
        <v>604</v>
      </c>
      <c r="J45" s="28" t="s">
        <v>3808</v>
      </c>
      <c r="K45" s="221"/>
      <c r="L45" s="221"/>
      <c r="M45" s="28" t="s">
        <v>604</v>
      </c>
      <c r="N45" s="6" t="s">
        <v>3814</v>
      </c>
      <c r="O45" s="6" t="s">
        <v>3810</v>
      </c>
      <c r="P45" s="221" t="s">
        <v>1133</v>
      </c>
      <c r="Q45" s="186" t="n">
        <f aca="false">Inputs!D30</f>
        <v>0.0102443497224425</v>
      </c>
      <c r="R45" s="28" t="s">
        <v>604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3811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3815</v>
      </c>
      <c r="B46" s="221" t="s">
        <v>3713</v>
      </c>
      <c r="C46" s="28" t="s">
        <v>3714</v>
      </c>
      <c r="D46" s="28" t="s">
        <v>3816</v>
      </c>
      <c r="E46" s="6" t="s">
        <v>135</v>
      </c>
      <c r="F46" s="28" t="s">
        <v>3807</v>
      </c>
      <c r="G46" s="221" t="s">
        <v>1134</v>
      </c>
      <c r="H46" s="28" t="s">
        <v>604</v>
      </c>
      <c r="I46" s="6" t="s">
        <v>604</v>
      </c>
      <c r="J46" s="28" t="s">
        <v>3808</v>
      </c>
      <c r="K46" s="221"/>
      <c r="L46" s="221"/>
      <c r="M46" s="28" t="s">
        <v>604</v>
      </c>
      <c r="N46" s="6" t="s">
        <v>3817</v>
      </c>
      <c r="O46" s="6" t="s">
        <v>3810</v>
      </c>
      <c r="P46" s="221" t="s">
        <v>1133</v>
      </c>
      <c r="Q46" s="186" t="n">
        <f aca="false">Inputs!F30</f>
        <v>0.0182477678962645</v>
      </c>
      <c r="R46" s="28" t="s">
        <v>604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3811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3818</v>
      </c>
      <c r="B47" s="221" t="s">
        <v>3713</v>
      </c>
      <c r="C47" s="28" t="s">
        <v>3714</v>
      </c>
      <c r="D47" s="28" t="s">
        <v>3819</v>
      </c>
      <c r="E47" s="19" t="s">
        <v>139</v>
      </c>
      <c r="F47" s="28" t="s">
        <v>90</v>
      </c>
      <c r="G47" s="221" t="s">
        <v>75</v>
      </c>
      <c r="H47" s="28" t="s">
        <v>604</v>
      </c>
      <c r="I47" s="6" t="s">
        <v>604</v>
      </c>
      <c r="J47" s="28" t="s">
        <v>604</v>
      </c>
      <c r="K47" s="186" t="n">
        <f aca="false">Inputs!$D$31</f>
        <v>0.015</v>
      </c>
      <c r="L47" s="186" t="n">
        <f aca="false">Inputs!$F$31</f>
        <v>0.025</v>
      </c>
      <c r="M47" s="28" t="s">
        <v>604</v>
      </c>
      <c r="N47" s="6" t="s">
        <v>141</v>
      </c>
      <c r="O47" s="6" t="s">
        <v>3820</v>
      </c>
      <c r="P47" s="221" t="s">
        <v>1133</v>
      </c>
      <c r="Q47" s="186" t="n">
        <f aca="false">Inputs!E31</f>
        <v>0.02</v>
      </c>
      <c r="R47" s="28" t="s">
        <v>604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3719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3821</v>
      </c>
      <c r="B48" s="221" t="s">
        <v>3713</v>
      </c>
      <c r="C48" s="28" t="s">
        <v>3714</v>
      </c>
      <c r="D48" s="28" t="s">
        <v>3822</v>
      </c>
      <c r="E48" s="19" t="s">
        <v>139</v>
      </c>
      <c r="F48" s="28" t="s">
        <v>90</v>
      </c>
      <c r="G48" s="221" t="s">
        <v>1133</v>
      </c>
      <c r="H48" s="28" t="s">
        <v>604</v>
      </c>
      <c r="I48" s="6" t="s">
        <v>604</v>
      </c>
      <c r="J48" s="28" t="s">
        <v>604</v>
      </c>
      <c r="K48" s="221"/>
      <c r="L48" s="221"/>
      <c r="M48" s="28" t="s">
        <v>604</v>
      </c>
      <c r="N48" s="6" t="s">
        <v>141</v>
      </c>
      <c r="O48" s="6" t="s">
        <v>3820</v>
      </c>
      <c r="P48" s="221" t="s">
        <v>1133</v>
      </c>
      <c r="Q48" s="186" t="n">
        <f aca="false">Inputs!D31</f>
        <v>0.015</v>
      </c>
      <c r="R48" s="28" t="s">
        <v>604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3719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3823</v>
      </c>
      <c r="B49" s="221" t="s">
        <v>3713</v>
      </c>
      <c r="C49" s="28" t="s">
        <v>3714</v>
      </c>
      <c r="D49" s="28" t="s">
        <v>3824</v>
      </c>
      <c r="E49" s="19" t="s">
        <v>139</v>
      </c>
      <c r="F49" s="28" t="s">
        <v>90</v>
      </c>
      <c r="G49" s="221" t="s">
        <v>1134</v>
      </c>
      <c r="H49" s="28" t="s">
        <v>604</v>
      </c>
      <c r="I49" s="6" t="s">
        <v>604</v>
      </c>
      <c r="J49" s="28" t="s">
        <v>604</v>
      </c>
      <c r="K49" s="221"/>
      <c r="L49" s="221"/>
      <c r="M49" s="28" t="s">
        <v>604</v>
      </c>
      <c r="N49" s="6" t="s">
        <v>141</v>
      </c>
      <c r="O49" s="6" t="s">
        <v>3820</v>
      </c>
      <c r="P49" s="221" t="s">
        <v>1133</v>
      </c>
      <c r="Q49" s="186" t="n">
        <f aca="false">Inputs!F31</f>
        <v>0.025</v>
      </c>
      <c r="R49" s="28" t="s">
        <v>604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3719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3825</v>
      </c>
      <c r="B50" s="221" t="s">
        <v>3713</v>
      </c>
      <c r="C50" s="28" t="s">
        <v>3714</v>
      </c>
      <c r="D50" s="28" t="s">
        <v>3826</v>
      </c>
      <c r="E50" s="19" t="s">
        <v>142</v>
      </c>
      <c r="F50" s="28" t="s">
        <v>90</v>
      </c>
      <c r="G50" s="221" t="s">
        <v>75</v>
      </c>
      <c r="H50" s="28" t="s">
        <v>604</v>
      </c>
      <c r="I50" s="6" t="s">
        <v>604</v>
      </c>
      <c r="J50" s="28" t="s">
        <v>604</v>
      </c>
      <c r="K50" s="46" t="n">
        <f aca="false">Inputs!$D$32</f>
        <v>50</v>
      </c>
      <c r="L50" s="46" t="n">
        <f aca="false">Inputs!$F$32</f>
        <v>100</v>
      </c>
      <c r="M50" s="28" t="s">
        <v>604</v>
      </c>
      <c r="N50" s="222" t="str">
        <f aca="false">Inputs!$H$32</f>
        <v>v4：500 FTE × $150K</v>
      </c>
      <c r="O50" s="6" t="s">
        <v>604</v>
      </c>
      <c r="P50" s="221" t="s">
        <v>1133</v>
      </c>
      <c r="Q50" s="46" t="n">
        <f aca="false">Inputs!E32</f>
        <v>75</v>
      </c>
      <c r="R50" s="28" t="s">
        <v>604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3719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3827</v>
      </c>
      <c r="B51" s="221" t="s">
        <v>3713</v>
      </c>
      <c r="C51" s="28" t="s">
        <v>3714</v>
      </c>
      <c r="D51" s="28" t="s">
        <v>3828</v>
      </c>
      <c r="E51" s="19" t="s">
        <v>142</v>
      </c>
      <c r="F51" s="28" t="s">
        <v>90</v>
      </c>
      <c r="G51" s="221" t="s">
        <v>1133</v>
      </c>
      <c r="H51" s="28" t="s">
        <v>604</v>
      </c>
      <c r="I51" s="6" t="s">
        <v>604</v>
      </c>
      <c r="J51" s="28" t="s">
        <v>604</v>
      </c>
      <c r="K51" s="221"/>
      <c r="L51" s="221"/>
      <c r="M51" s="28" t="s">
        <v>604</v>
      </c>
      <c r="N51" s="222" t="str">
        <f aca="false">Inputs!$H$32</f>
        <v>v4：500 FTE × $150K</v>
      </c>
      <c r="O51" s="6" t="s">
        <v>604</v>
      </c>
      <c r="P51" s="221" t="s">
        <v>1133</v>
      </c>
      <c r="Q51" s="46" t="n">
        <f aca="false">Inputs!D32</f>
        <v>50</v>
      </c>
      <c r="R51" s="28" t="s">
        <v>604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3719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3829</v>
      </c>
      <c r="B52" s="221" t="s">
        <v>3713</v>
      </c>
      <c r="C52" s="28" t="s">
        <v>3714</v>
      </c>
      <c r="D52" s="28" t="s">
        <v>3830</v>
      </c>
      <c r="E52" s="19" t="s">
        <v>142</v>
      </c>
      <c r="F52" s="28" t="s">
        <v>90</v>
      </c>
      <c r="G52" s="221" t="s">
        <v>1134</v>
      </c>
      <c r="H52" s="28" t="s">
        <v>604</v>
      </c>
      <c r="I52" s="6" t="s">
        <v>604</v>
      </c>
      <c r="J52" s="28" t="s">
        <v>604</v>
      </c>
      <c r="K52" s="221"/>
      <c r="L52" s="221"/>
      <c r="M52" s="28" t="s">
        <v>604</v>
      </c>
      <c r="N52" s="222" t="str">
        <f aca="false">Inputs!$H$32</f>
        <v>v4：500 FTE × $150K</v>
      </c>
      <c r="O52" s="6" t="s">
        <v>604</v>
      </c>
      <c r="P52" s="221" t="s">
        <v>1133</v>
      </c>
      <c r="Q52" s="46" t="n">
        <f aca="false">Inputs!F32</f>
        <v>100</v>
      </c>
      <c r="R52" s="28" t="s">
        <v>604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3719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3831</v>
      </c>
      <c r="B53" s="221" t="s">
        <v>3713</v>
      </c>
      <c r="C53" s="28" t="s">
        <v>3714</v>
      </c>
      <c r="D53" s="28" t="s">
        <v>3832</v>
      </c>
      <c r="E53" s="19" t="s">
        <v>145</v>
      </c>
      <c r="F53" s="28" t="s">
        <v>90</v>
      </c>
      <c r="G53" s="221" t="s">
        <v>75</v>
      </c>
      <c r="H53" s="28" t="s">
        <v>604</v>
      </c>
      <c r="I53" s="6" t="s">
        <v>604</v>
      </c>
      <c r="J53" s="28" t="s">
        <v>604</v>
      </c>
      <c r="K53" s="46" t="n">
        <f aca="false">Inputs!$D$33</f>
        <v>150</v>
      </c>
      <c r="L53" s="46" t="n">
        <f aca="false">Inputs!$F$33</f>
        <v>250</v>
      </c>
      <c r="M53" s="28" t="s">
        <v>604</v>
      </c>
      <c r="N53" s="222" t="str">
        <f aca="false">Inputs!$H$33</f>
        <v>v4＝$200M</v>
      </c>
      <c r="O53" s="6" t="s">
        <v>604</v>
      </c>
      <c r="P53" s="221" t="s">
        <v>1133</v>
      </c>
      <c r="Q53" s="46" t="n">
        <f aca="false">Inputs!E33</f>
        <v>200</v>
      </c>
      <c r="R53" s="28" t="s">
        <v>604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3719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3833</v>
      </c>
      <c r="B54" s="221" t="s">
        <v>3713</v>
      </c>
      <c r="C54" s="28" t="s">
        <v>3714</v>
      </c>
      <c r="D54" s="28" t="s">
        <v>3834</v>
      </c>
      <c r="E54" s="19" t="s">
        <v>145</v>
      </c>
      <c r="F54" s="28" t="s">
        <v>90</v>
      </c>
      <c r="G54" s="221" t="s">
        <v>1133</v>
      </c>
      <c r="H54" s="28" t="s">
        <v>604</v>
      </c>
      <c r="I54" s="6" t="s">
        <v>604</v>
      </c>
      <c r="J54" s="28" t="s">
        <v>604</v>
      </c>
      <c r="K54" s="221"/>
      <c r="L54" s="221"/>
      <c r="M54" s="28" t="s">
        <v>604</v>
      </c>
      <c r="N54" s="222" t="str">
        <f aca="false">Inputs!$H$33</f>
        <v>v4＝$200M</v>
      </c>
      <c r="O54" s="6" t="s">
        <v>604</v>
      </c>
      <c r="P54" s="221" t="s">
        <v>1133</v>
      </c>
      <c r="Q54" s="46" t="n">
        <f aca="false">Inputs!D33</f>
        <v>150</v>
      </c>
      <c r="R54" s="28" t="s">
        <v>604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3719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3835</v>
      </c>
      <c r="B55" s="221" t="s">
        <v>3713</v>
      </c>
      <c r="C55" s="28" t="s">
        <v>3714</v>
      </c>
      <c r="D55" s="28" t="s">
        <v>3836</v>
      </c>
      <c r="E55" s="19" t="s">
        <v>145</v>
      </c>
      <c r="F55" s="28" t="s">
        <v>90</v>
      </c>
      <c r="G55" s="221" t="s">
        <v>1134</v>
      </c>
      <c r="H55" s="28" t="s">
        <v>604</v>
      </c>
      <c r="I55" s="6" t="s">
        <v>604</v>
      </c>
      <c r="J55" s="28" t="s">
        <v>604</v>
      </c>
      <c r="K55" s="221"/>
      <c r="L55" s="221"/>
      <c r="M55" s="28" t="s">
        <v>604</v>
      </c>
      <c r="N55" s="222" t="str">
        <f aca="false">Inputs!$H$33</f>
        <v>v4＝$200M</v>
      </c>
      <c r="O55" s="6" t="s">
        <v>604</v>
      </c>
      <c r="P55" s="221" t="s">
        <v>1133</v>
      </c>
      <c r="Q55" s="46" t="n">
        <f aca="false">Inputs!F33</f>
        <v>250</v>
      </c>
      <c r="R55" s="28" t="s">
        <v>604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3719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3837</v>
      </c>
      <c r="B56" s="221" t="s">
        <v>3713</v>
      </c>
      <c r="C56" s="28" t="s">
        <v>3714</v>
      </c>
      <c r="D56" s="28" t="s">
        <v>3838</v>
      </c>
      <c r="E56" s="19" t="s">
        <v>147</v>
      </c>
      <c r="F56" s="28" t="s">
        <v>90</v>
      </c>
      <c r="G56" s="221" t="s">
        <v>75</v>
      </c>
      <c r="H56" s="28" t="s">
        <v>604</v>
      </c>
      <c r="I56" s="6" t="s">
        <v>604</v>
      </c>
      <c r="J56" s="28" t="s">
        <v>604</v>
      </c>
      <c r="K56" s="182" t="n">
        <f aca="false">Inputs!$D$34</f>
        <v>0.04</v>
      </c>
      <c r="L56" s="182" t="n">
        <f aca="false">Inputs!$F$34</f>
        <v>0.06</v>
      </c>
      <c r="M56" s="28" t="s">
        <v>604</v>
      </c>
      <c r="N56" s="222" t="str">
        <f aca="false">Inputs!$H$34</f>
        <v>v4＝$50K/MW</v>
      </c>
      <c r="O56" s="6" t="s">
        <v>604</v>
      </c>
      <c r="P56" s="221" t="s">
        <v>1133</v>
      </c>
      <c r="Q56" s="182" t="n">
        <f aca="false">Inputs!E34</f>
        <v>0.05</v>
      </c>
      <c r="R56" s="28" t="s">
        <v>604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3719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3839</v>
      </c>
      <c r="B57" s="221" t="s">
        <v>3713</v>
      </c>
      <c r="C57" s="28" t="s">
        <v>3714</v>
      </c>
      <c r="D57" s="28" t="s">
        <v>3840</v>
      </c>
      <c r="E57" s="19" t="s">
        <v>147</v>
      </c>
      <c r="F57" s="28" t="s">
        <v>90</v>
      </c>
      <c r="G57" s="221" t="s">
        <v>1133</v>
      </c>
      <c r="H57" s="28" t="s">
        <v>604</v>
      </c>
      <c r="I57" s="6" t="s">
        <v>604</v>
      </c>
      <c r="J57" s="28" t="s">
        <v>604</v>
      </c>
      <c r="K57" s="221"/>
      <c r="L57" s="221"/>
      <c r="M57" s="28" t="s">
        <v>604</v>
      </c>
      <c r="N57" s="222" t="str">
        <f aca="false">Inputs!$H$34</f>
        <v>v4＝$50K/MW</v>
      </c>
      <c r="O57" s="6" t="s">
        <v>604</v>
      </c>
      <c r="P57" s="221" t="s">
        <v>1133</v>
      </c>
      <c r="Q57" s="182" t="n">
        <f aca="false">Inputs!D34</f>
        <v>0.04</v>
      </c>
      <c r="R57" s="28" t="s">
        <v>604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3719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3841</v>
      </c>
      <c r="B58" s="221" t="s">
        <v>3713</v>
      </c>
      <c r="C58" s="28" t="s">
        <v>3714</v>
      </c>
      <c r="D58" s="28" t="s">
        <v>3842</v>
      </c>
      <c r="E58" s="19" t="s">
        <v>147</v>
      </c>
      <c r="F58" s="28" t="s">
        <v>90</v>
      </c>
      <c r="G58" s="221" t="s">
        <v>1134</v>
      </c>
      <c r="H58" s="28" t="s">
        <v>604</v>
      </c>
      <c r="I58" s="6" t="s">
        <v>604</v>
      </c>
      <c r="J58" s="28" t="s">
        <v>604</v>
      </c>
      <c r="K58" s="221"/>
      <c r="L58" s="221"/>
      <c r="M58" s="28" t="s">
        <v>604</v>
      </c>
      <c r="N58" s="222" t="str">
        <f aca="false">Inputs!$H$34</f>
        <v>v4＝$50K/MW</v>
      </c>
      <c r="O58" s="6" t="s">
        <v>604</v>
      </c>
      <c r="P58" s="221" t="s">
        <v>1133</v>
      </c>
      <c r="Q58" s="182" t="n">
        <f aca="false">Inputs!F34</f>
        <v>0.06</v>
      </c>
      <c r="R58" s="28" t="s">
        <v>604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3719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3843</v>
      </c>
      <c r="B59" s="221" t="s">
        <v>3713</v>
      </c>
      <c r="C59" s="28" t="s">
        <v>3714</v>
      </c>
      <c r="D59" s="28" t="s">
        <v>3844</v>
      </c>
      <c r="E59" s="19" t="s">
        <v>150</v>
      </c>
      <c r="F59" s="28" t="s">
        <v>90</v>
      </c>
      <c r="G59" s="221" t="s">
        <v>75</v>
      </c>
      <c r="H59" s="28" t="s">
        <v>604</v>
      </c>
      <c r="I59" s="6" t="s">
        <v>604</v>
      </c>
      <c r="J59" s="28" t="s">
        <v>604</v>
      </c>
      <c r="K59" s="186" t="n">
        <f aca="false">Inputs!$D$35</f>
        <v>0.003</v>
      </c>
      <c r="L59" s="186" t="n">
        <f aca="false">Inputs!$F$35</f>
        <v>0.008</v>
      </c>
      <c r="M59" s="28" t="s">
        <v>604</v>
      </c>
      <c r="N59" s="222" t="str">
        <f aca="false">Inputs!$H$35</f>
        <v>v4＝0.5%</v>
      </c>
      <c r="O59" s="6" t="s">
        <v>3820</v>
      </c>
      <c r="P59" s="221" t="s">
        <v>1133</v>
      </c>
      <c r="Q59" s="186" t="n">
        <f aca="false">Inputs!E35</f>
        <v>0.005</v>
      </c>
      <c r="R59" s="28" t="s">
        <v>604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3719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3845</v>
      </c>
      <c r="B60" s="221" t="s">
        <v>3713</v>
      </c>
      <c r="C60" s="28" t="s">
        <v>3714</v>
      </c>
      <c r="D60" s="28" t="s">
        <v>3846</v>
      </c>
      <c r="E60" s="19" t="s">
        <v>150</v>
      </c>
      <c r="F60" s="28" t="s">
        <v>90</v>
      </c>
      <c r="G60" s="221" t="s">
        <v>1133</v>
      </c>
      <c r="H60" s="28" t="s">
        <v>604</v>
      </c>
      <c r="I60" s="6" t="s">
        <v>604</v>
      </c>
      <c r="J60" s="28" t="s">
        <v>604</v>
      </c>
      <c r="K60" s="221"/>
      <c r="L60" s="221"/>
      <c r="M60" s="28" t="s">
        <v>604</v>
      </c>
      <c r="N60" s="222" t="str">
        <f aca="false">Inputs!$H$35</f>
        <v>v4＝0.5%</v>
      </c>
      <c r="O60" s="6" t="s">
        <v>3820</v>
      </c>
      <c r="P60" s="221" t="s">
        <v>1133</v>
      </c>
      <c r="Q60" s="186" t="n">
        <f aca="false">Inputs!D35</f>
        <v>0.003</v>
      </c>
      <c r="R60" s="28" t="s">
        <v>604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3719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3847</v>
      </c>
      <c r="B61" s="221" t="s">
        <v>3713</v>
      </c>
      <c r="C61" s="28" t="s">
        <v>3714</v>
      </c>
      <c r="D61" s="28" t="s">
        <v>3848</v>
      </c>
      <c r="E61" s="19" t="s">
        <v>150</v>
      </c>
      <c r="F61" s="28" t="s">
        <v>90</v>
      </c>
      <c r="G61" s="221" t="s">
        <v>1134</v>
      </c>
      <c r="H61" s="28" t="s">
        <v>604</v>
      </c>
      <c r="I61" s="6" t="s">
        <v>604</v>
      </c>
      <c r="J61" s="28" t="s">
        <v>604</v>
      </c>
      <c r="K61" s="221"/>
      <c r="L61" s="221"/>
      <c r="M61" s="28" t="s">
        <v>604</v>
      </c>
      <c r="N61" s="222" t="str">
        <f aca="false">Inputs!$H$35</f>
        <v>v4＝0.5%</v>
      </c>
      <c r="O61" s="6" t="s">
        <v>3820</v>
      </c>
      <c r="P61" s="221" t="s">
        <v>1133</v>
      </c>
      <c r="Q61" s="186" t="n">
        <f aca="false">Inputs!F35</f>
        <v>0.008</v>
      </c>
      <c r="R61" s="28" t="s">
        <v>604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3719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3849</v>
      </c>
      <c r="B62" s="221" t="s">
        <v>3713</v>
      </c>
      <c r="C62" s="28" t="s">
        <v>3714</v>
      </c>
      <c r="D62" s="28" t="s">
        <v>3850</v>
      </c>
      <c r="E62" s="6" t="s">
        <v>123</v>
      </c>
      <c r="F62" s="221" t="s">
        <v>315</v>
      </c>
      <c r="G62" s="221" t="s">
        <v>3715</v>
      </c>
      <c r="H62" s="28" t="s">
        <v>3851</v>
      </c>
      <c r="I62" s="19" t="s">
        <v>3750</v>
      </c>
      <c r="J62" s="28" t="s">
        <v>3852</v>
      </c>
      <c r="K62" s="221"/>
      <c r="L62" s="221"/>
      <c r="M62" s="28" t="s">
        <v>604</v>
      </c>
      <c r="N62" s="19" t="s">
        <v>3853</v>
      </c>
      <c r="O62" s="6" t="s">
        <v>604</v>
      </c>
      <c r="P62" s="221" t="s">
        <v>1134</v>
      </c>
      <c r="Q62" s="46" t="n">
        <f aca="false">Inputs!D23</f>
        <v>6</v>
      </c>
      <c r="R62" s="174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3752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3854</v>
      </c>
      <c r="B63" s="221" t="s">
        <v>3713</v>
      </c>
      <c r="C63" s="28" t="s">
        <v>3714</v>
      </c>
      <c r="D63" s="28" t="s">
        <v>3855</v>
      </c>
      <c r="E63" s="6" t="s">
        <v>123</v>
      </c>
      <c r="F63" s="221" t="s">
        <v>315</v>
      </c>
      <c r="G63" s="221" t="s">
        <v>3715</v>
      </c>
      <c r="H63" s="28" t="s">
        <v>3851</v>
      </c>
      <c r="I63" s="19" t="s">
        <v>3750</v>
      </c>
      <c r="J63" s="28" t="s">
        <v>3852</v>
      </c>
      <c r="K63" s="221"/>
      <c r="L63" s="221"/>
      <c r="M63" s="28" t="s">
        <v>604</v>
      </c>
      <c r="N63" s="19" t="s">
        <v>3853</v>
      </c>
      <c r="O63" s="6" t="s">
        <v>604</v>
      </c>
      <c r="P63" s="221" t="s">
        <v>1134</v>
      </c>
      <c r="Q63" s="46" t="n">
        <f aca="false">Inputs!E23</f>
        <v>6</v>
      </c>
      <c r="R63" s="174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3752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3856</v>
      </c>
      <c r="B64" s="221" t="s">
        <v>3713</v>
      </c>
      <c r="C64" s="28" t="s">
        <v>3714</v>
      </c>
      <c r="D64" s="28" t="s">
        <v>3857</v>
      </c>
      <c r="E64" s="6" t="s">
        <v>123</v>
      </c>
      <c r="F64" s="221" t="s">
        <v>315</v>
      </c>
      <c r="G64" s="221" t="s">
        <v>3715</v>
      </c>
      <c r="H64" s="28" t="s">
        <v>3858</v>
      </c>
      <c r="I64" s="19" t="s">
        <v>3750</v>
      </c>
      <c r="J64" s="28" t="s">
        <v>3852</v>
      </c>
      <c r="K64" s="221"/>
      <c r="L64" s="221"/>
      <c r="M64" s="28" t="s">
        <v>604</v>
      </c>
      <c r="N64" s="19" t="s">
        <v>3853</v>
      </c>
      <c r="O64" s="6" t="s">
        <v>604</v>
      </c>
      <c r="P64" s="221" t="s">
        <v>1134</v>
      </c>
      <c r="Q64" s="46" t="n">
        <f aca="false">Inputs!F23</f>
        <v>4</v>
      </c>
      <c r="R64" s="174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3752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3859</v>
      </c>
      <c r="B65" s="221" t="s">
        <v>3713</v>
      </c>
      <c r="C65" s="28" t="s">
        <v>3714</v>
      </c>
      <c r="D65" s="28" t="s">
        <v>3860</v>
      </c>
      <c r="E65" s="19" t="s">
        <v>127</v>
      </c>
      <c r="F65" s="28" t="s">
        <v>90</v>
      </c>
      <c r="G65" s="221" t="s">
        <v>75</v>
      </c>
      <c r="H65" s="28" t="s">
        <v>604</v>
      </c>
      <c r="I65" s="6" t="s">
        <v>604</v>
      </c>
      <c r="J65" s="28" t="s">
        <v>604</v>
      </c>
      <c r="K65" s="223" t="n">
        <v>25</v>
      </c>
      <c r="L65" s="223" t="n">
        <v>40</v>
      </c>
      <c r="M65" s="28" t="s">
        <v>3861</v>
      </c>
      <c r="N65" s="19" t="s">
        <v>3862</v>
      </c>
      <c r="O65" s="6" t="s">
        <v>3863</v>
      </c>
      <c r="P65" s="221" t="s">
        <v>1133</v>
      </c>
      <c r="Q65" s="46" t="n">
        <f aca="false">Inputs!E24</f>
        <v>30</v>
      </c>
      <c r="R65" s="28" t="s">
        <v>604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3719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3864</v>
      </c>
      <c r="B66" s="221" t="s">
        <v>3713</v>
      </c>
      <c r="C66" s="28" t="s">
        <v>3714</v>
      </c>
      <c r="D66" s="28" t="s">
        <v>3865</v>
      </c>
      <c r="E66" s="19" t="s">
        <v>129</v>
      </c>
      <c r="F66" s="28" t="s">
        <v>90</v>
      </c>
      <c r="G66" s="221" t="s">
        <v>75</v>
      </c>
      <c r="H66" s="28" t="s">
        <v>604</v>
      </c>
      <c r="I66" s="6" t="s">
        <v>604</v>
      </c>
      <c r="J66" s="28" t="s">
        <v>604</v>
      </c>
      <c r="K66" s="223" t="n">
        <v>15</v>
      </c>
      <c r="L66" s="223" t="n">
        <v>25</v>
      </c>
      <c r="M66" s="28" t="s">
        <v>3866</v>
      </c>
      <c r="N66" s="19" t="s">
        <v>3867</v>
      </c>
      <c r="O66" s="6" t="s">
        <v>3863</v>
      </c>
      <c r="P66" s="221" t="s">
        <v>1133</v>
      </c>
      <c r="Q66" s="46" t="n">
        <f aca="false">Inputs!E25</f>
        <v>20</v>
      </c>
      <c r="R66" s="28" t="s">
        <v>604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3719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3868</v>
      </c>
      <c r="B67" s="221" t="s">
        <v>3713</v>
      </c>
      <c r="C67" s="28" t="s">
        <v>3714</v>
      </c>
      <c r="D67" s="28" t="s">
        <v>3869</v>
      </c>
      <c r="E67" s="19" t="s">
        <v>130</v>
      </c>
      <c r="F67" s="28" t="s">
        <v>90</v>
      </c>
      <c r="G67" s="221" t="s">
        <v>75</v>
      </c>
      <c r="H67" s="28" t="s">
        <v>604</v>
      </c>
      <c r="I67" s="6" t="s">
        <v>604</v>
      </c>
      <c r="J67" s="28" t="s">
        <v>604</v>
      </c>
      <c r="K67" s="223" t="n">
        <v>10</v>
      </c>
      <c r="L67" s="223" t="n">
        <v>20</v>
      </c>
      <c r="M67" s="28" t="s">
        <v>3870</v>
      </c>
      <c r="N67" s="19" t="s">
        <v>3871</v>
      </c>
      <c r="O67" s="6" t="s">
        <v>3863</v>
      </c>
      <c r="P67" s="221" t="s">
        <v>1133</v>
      </c>
      <c r="Q67" s="46" t="n">
        <f aca="false">Inputs!E26</f>
        <v>15</v>
      </c>
      <c r="R67" s="28" t="s">
        <v>604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3719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3872</v>
      </c>
      <c r="B68" s="221" t="s">
        <v>3713</v>
      </c>
      <c r="C68" s="28" t="s">
        <v>3714</v>
      </c>
      <c r="D68" s="28" t="s">
        <v>3873</v>
      </c>
      <c r="E68" s="19" t="s">
        <v>131</v>
      </c>
      <c r="F68" s="28" t="s">
        <v>90</v>
      </c>
      <c r="G68" s="221" t="s">
        <v>75</v>
      </c>
      <c r="H68" s="28" t="s">
        <v>604</v>
      </c>
      <c r="I68" s="6" t="s">
        <v>604</v>
      </c>
      <c r="J68" s="28" t="s">
        <v>604</v>
      </c>
      <c r="K68" s="223" t="n">
        <v>7</v>
      </c>
      <c r="L68" s="223" t="n">
        <v>15</v>
      </c>
      <c r="M68" s="28" t="s">
        <v>3874</v>
      </c>
      <c r="N68" s="19" t="s">
        <v>3875</v>
      </c>
      <c r="O68" s="6" t="s">
        <v>3863</v>
      </c>
      <c r="P68" s="221" t="s">
        <v>1133</v>
      </c>
      <c r="Q68" s="46" t="n">
        <f aca="false">Inputs!E27</f>
        <v>10</v>
      </c>
      <c r="R68" s="28" t="s">
        <v>604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3719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3876</v>
      </c>
      <c r="B69" s="221" t="s">
        <v>3713</v>
      </c>
      <c r="C69" s="28" t="s">
        <v>3877</v>
      </c>
      <c r="D69" s="28" t="s">
        <v>3878</v>
      </c>
      <c r="E69" s="6" t="s">
        <v>174</v>
      </c>
      <c r="F69" s="28" t="s">
        <v>82</v>
      </c>
      <c r="G69" s="221" t="s">
        <v>3715</v>
      </c>
      <c r="H69" s="28" t="s">
        <v>604</v>
      </c>
      <c r="I69" s="6" t="s">
        <v>604</v>
      </c>
      <c r="J69" s="28" t="s">
        <v>3879</v>
      </c>
      <c r="K69" s="221"/>
      <c r="L69" s="221"/>
      <c r="M69" s="28" t="s">
        <v>604</v>
      </c>
      <c r="N69" s="6" t="s">
        <v>3880</v>
      </c>
      <c r="O69" s="6" t="s">
        <v>604</v>
      </c>
      <c r="P69" s="221" t="s">
        <v>1134</v>
      </c>
      <c r="Q69" s="46" t="n">
        <f aca="false">Spec_Rack!C6</f>
        <v>32</v>
      </c>
      <c r="R69" s="28" t="s">
        <v>604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3719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3881</v>
      </c>
      <c r="B70" s="221" t="s">
        <v>3713</v>
      </c>
      <c r="C70" s="28" t="s">
        <v>3877</v>
      </c>
      <c r="D70" s="28" t="s">
        <v>3882</v>
      </c>
      <c r="E70" s="6" t="s">
        <v>174</v>
      </c>
      <c r="F70" s="221" t="s">
        <v>315</v>
      </c>
      <c r="G70" s="221" t="s">
        <v>3715</v>
      </c>
      <c r="H70" s="28" t="s">
        <v>3883</v>
      </c>
      <c r="I70" s="19" t="s">
        <v>3750</v>
      </c>
      <c r="J70" s="28" t="s">
        <v>604</v>
      </c>
      <c r="K70" s="221"/>
      <c r="L70" s="221"/>
      <c r="M70" s="28" t="s">
        <v>604</v>
      </c>
      <c r="N70" s="19" t="s">
        <v>3853</v>
      </c>
      <c r="O70" s="6" t="s">
        <v>604</v>
      </c>
      <c r="P70" s="221" t="s">
        <v>1134</v>
      </c>
      <c r="Q70" s="46" t="n">
        <f aca="false">Spec_Rack!D6</f>
        <v>72</v>
      </c>
      <c r="R70" s="174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3752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3884</v>
      </c>
      <c r="B71" s="221" t="s">
        <v>3713</v>
      </c>
      <c r="C71" s="28" t="s">
        <v>3877</v>
      </c>
      <c r="D71" s="28" t="s">
        <v>3573</v>
      </c>
      <c r="E71" s="6" t="s">
        <v>174</v>
      </c>
      <c r="F71" s="221" t="s">
        <v>315</v>
      </c>
      <c r="G71" s="221" t="s">
        <v>3715</v>
      </c>
      <c r="H71" s="28" t="s">
        <v>3883</v>
      </c>
      <c r="I71" s="19" t="s">
        <v>3750</v>
      </c>
      <c r="J71" s="28" t="s">
        <v>604</v>
      </c>
      <c r="K71" s="221"/>
      <c r="L71" s="221"/>
      <c r="M71" s="28" t="s">
        <v>604</v>
      </c>
      <c r="N71" s="19" t="s">
        <v>3853</v>
      </c>
      <c r="O71" s="6" t="s">
        <v>604</v>
      </c>
      <c r="P71" s="221" t="s">
        <v>1134</v>
      </c>
      <c r="Q71" s="46" t="n">
        <f aca="false">Spec_Rack!E6</f>
        <v>72</v>
      </c>
      <c r="R71" s="174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3752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3885</v>
      </c>
      <c r="B72" s="221" t="s">
        <v>3713</v>
      </c>
      <c r="C72" s="28" t="s">
        <v>3877</v>
      </c>
      <c r="D72" s="28" t="s">
        <v>3886</v>
      </c>
      <c r="E72" s="6" t="s">
        <v>174</v>
      </c>
      <c r="F72" s="221" t="s">
        <v>315</v>
      </c>
      <c r="G72" s="221" t="s">
        <v>3715</v>
      </c>
      <c r="H72" s="28" t="s">
        <v>3883</v>
      </c>
      <c r="I72" s="19" t="s">
        <v>3750</v>
      </c>
      <c r="J72" s="28" t="s">
        <v>604</v>
      </c>
      <c r="K72" s="221"/>
      <c r="L72" s="221"/>
      <c r="M72" s="28" t="s">
        <v>604</v>
      </c>
      <c r="N72" s="19" t="s">
        <v>3853</v>
      </c>
      <c r="O72" s="6" t="s">
        <v>604</v>
      </c>
      <c r="P72" s="221" t="s">
        <v>1134</v>
      </c>
      <c r="Q72" s="46" t="n">
        <f aca="false">Spec_Rack!F6</f>
        <v>72</v>
      </c>
      <c r="R72" s="174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3752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3887</v>
      </c>
      <c r="B73" s="221" t="s">
        <v>3713</v>
      </c>
      <c r="C73" s="28" t="s">
        <v>3877</v>
      </c>
      <c r="D73" s="28" t="s">
        <v>3888</v>
      </c>
      <c r="E73" s="6" t="s">
        <v>174</v>
      </c>
      <c r="F73" s="221" t="s">
        <v>315</v>
      </c>
      <c r="G73" s="221" t="s">
        <v>3715</v>
      </c>
      <c r="H73" s="28" t="s">
        <v>3889</v>
      </c>
      <c r="I73" s="19" t="s">
        <v>3750</v>
      </c>
      <c r="J73" s="28" t="s">
        <v>604</v>
      </c>
      <c r="K73" s="221"/>
      <c r="L73" s="221"/>
      <c r="M73" s="28" t="s">
        <v>604</v>
      </c>
      <c r="N73" s="19" t="s">
        <v>3853</v>
      </c>
      <c r="O73" s="6" t="s">
        <v>604</v>
      </c>
      <c r="P73" s="221" t="s">
        <v>1134</v>
      </c>
      <c r="Q73" s="46" t="n">
        <f aca="false">Spec_Rack!G6</f>
        <v>72</v>
      </c>
      <c r="R73" s="174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3752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3890</v>
      </c>
      <c r="B74" s="221" t="s">
        <v>3713</v>
      </c>
      <c r="C74" s="28" t="s">
        <v>3877</v>
      </c>
      <c r="D74" s="28" t="s">
        <v>3891</v>
      </c>
      <c r="E74" s="19" t="s">
        <v>179</v>
      </c>
      <c r="F74" s="28" t="s">
        <v>90</v>
      </c>
      <c r="G74" s="221" t="s">
        <v>1133</v>
      </c>
      <c r="H74" s="28" t="s">
        <v>604</v>
      </c>
      <c r="I74" s="6" t="s">
        <v>604</v>
      </c>
      <c r="J74" s="28" t="s">
        <v>604</v>
      </c>
      <c r="K74" s="221"/>
      <c r="L74" s="221"/>
      <c r="M74" s="28" t="s">
        <v>604</v>
      </c>
      <c r="N74" s="6" t="s">
        <v>3892</v>
      </c>
      <c r="O74" s="6" t="s">
        <v>604</v>
      </c>
      <c r="P74" s="221" t="s">
        <v>3718</v>
      </c>
      <c r="Q74" s="46" t="n">
        <f aca="false">Spec_Rack!C8</f>
        <v>38</v>
      </c>
      <c r="R74" s="28" t="s">
        <v>604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3719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3893</v>
      </c>
      <c r="B75" s="221" t="s">
        <v>3713</v>
      </c>
      <c r="C75" s="28" t="s">
        <v>3877</v>
      </c>
      <c r="D75" s="28" t="s">
        <v>3894</v>
      </c>
      <c r="E75" s="19" t="s">
        <v>179</v>
      </c>
      <c r="F75" s="221" t="s">
        <v>315</v>
      </c>
      <c r="G75" s="221" t="s">
        <v>3715</v>
      </c>
      <c r="H75" s="28" t="s">
        <v>3895</v>
      </c>
      <c r="I75" s="19" t="s">
        <v>3750</v>
      </c>
      <c r="J75" s="28" t="s">
        <v>604</v>
      </c>
      <c r="K75" s="221"/>
      <c r="L75" s="221"/>
      <c r="M75" s="28" t="s">
        <v>604</v>
      </c>
      <c r="N75" s="19" t="s">
        <v>3853</v>
      </c>
      <c r="O75" s="6" t="s">
        <v>604</v>
      </c>
      <c r="P75" s="221" t="s">
        <v>3718</v>
      </c>
      <c r="Q75" s="46" t="n">
        <f aca="false">Spec_Rack!D8</f>
        <v>120</v>
      </c>
      <c r="R75" s="174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3752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3896</v>
      </c>
      <c r="B76" s="221" t="s">
        <v>3713</v>
      </c>
      <c r="C76" s="28" t="s">
        <v>3877</v>
      </c>
      <c r="D76" s="28" t="s">
        <v>3579</v>
      </c>
      <c r="E76" s="19" t="s">
        <v>179</v>
      </c>
      <c r="F76" s="221" t="s">
        <v>315</v>
      </c>
      <c r="G76" s="221" t="s">
        <v>3715</v>
      </c>
      <c r="H76" s="28" t="s">
        <v>3897</v>
      </c>
      <c r="I76" s="19" t="s">
        <v>3750</v>
      </c>
      <c r="J76" s="28" t="s">
        <v>604</v>
      </c>
      <c r="K76" s="221"/>
      <c r="L76" s="221"/>
      <c r="M76" s="28" t="s">
        <v>604</v>
      </c>
      <c r="N76" s="19" t="s">
        <v>3853</v>
      </c>
      <c r="O76" s="6" t="s">
        <v>604</v>
      </c>
      <c r="P76" s="221" t="s">
        <v>3718</v>
      </c>
      <c r="Q76" s="46" t="n">
        <f aca="false">Spec_Rack!E8</f>
        <v>132</v>
      </c>
      <c r="R76" s="174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3752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3898</v>
      </c>
      <c r="B77" s="221" t="s">
        <v>3713</v>
      </c>
      <c r="C77" s="28" t="s">
        <v>3877</v>
      </c>
      <c r="D77" s="28" t="s">
        <v>3899</v>
      </c>
      <c r="E77" s="19" t="s">
        <v>179</v>
      </c>
      <c r="F77" s="221" t="s">
        <v>315</v>
      </c>
      <c r="G77" s="221" t="s">
        <v>3715</v>
      </c>
      <c r="H77" s="28" t="s">
        <v>3900</v>
      </c>
      <c r="I77" s="19" t="s">
        <v>3750</v>
      </c>
      <c r="J77" s="28" t="s">
        <v>604</v>
      </c>
      <c r="K77" s="221"/>
      <c r="L77" s="221"/>
      <c r="M77" s="28" t="s">
        <v>604</v>
      </c>
      <c r="N77" s="19" t="s">
        <v>3853</v>
      </c>
      <c r="O77" s="6" t="s">
        <v>604</v>
      </c>
      <c r="P77" s="221" t="s">
        <v>3718</v>
      </c>
      <c r="Q77" s="46" t="n">
        <f aca="false">Spec_Rack!F8</f>
        <v>188</v>
      </c>
      <c r="R77" s="174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3752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3901</v>
      </c>
      <c r="B78" s="221" t="s">
        <v>3713</v>
      </c>
      <c r="C78" s="28" t="s">
        <v>3877</v>
      </c>
      <c r="D78" s="28" t="s">
        <v>3902</v>
      </c>
      <c r="E78" s="19" t="s">
        <v>179</v>
      </c>
      <c r="F78" s="28" t="s">
        <v>137</v>
      </c>
      <c r="G78" s="221" t="s">
        <v>1133</v>
      </c>
      <c r="H78" s="28" t="s">
        <v>604</v>
      </c>
      <c r="I78" s="6" t="s">
        <v>604</v>
      </c>
      <c r="J78" s="28" t="s">
        <v>604</v>
      </c>
      <c r="K78" s="221"/>
      <c r="L78" s="221"/>
      <c r="M78" s="28" t="s">
        <v>604</v>
      </c>
      <c r="N78" s="6" t="s">
        <v>3903</v>
      </c>
      <c r="O78" s="6" t="s">
        <v>604</v>
      </c>
      <c r="P78" s="221" t="s">
        <v>3718</v>
      </c>
      <c r="Q78" s="46" t="n">
        <f aca="false">Spec_Rack!G8</f>
        <v>300</v>
      </c>
      <c r="R78" s="28" t="s">
        <v>604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3719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3904</v>
      </c>
      <c r="B79" s="221" t="s">
        <v>3713</v>
      </c>
      <c r="C79" s="28" t="s">
        <v>3877</v>
      </c>
      <c r="D79" s="28" t="s">
        <v>3905</v>
      </c>
      <c r="E79" s="19" t="s">
        <v>180</v>
      </c>
      <c r="F79" s="221" t="s">
        <v>3906</v>
      </c>
      <c r="G79" s="221" t="s">
        <v>75</v>
      </c>
      <c r="H79" s="28" t="s">
        <v>3907</v>
      </c>
      <c r="I79" s="19" t="s">
        <v>3908</v>
      </c>
      <c r="J79" s="28" t="s">
        <v>604</v>
      </c>
      <c r="K79" s="46" t="n">
        <f aca="false">Spec_Rack!C8</f>
        <v>38</v>
      </c>
      <c r="L79" s="46" t="n">
        <f aca="false">Spec_Rack!C10</f>
        <v>44</v>
      </c>
      <c r="M79" s="28" t="s">
        <v>604</v>
      </c>
      <c r="N79" s="19" t="s">
        <v>3909</v>
      </c>
      <c r="O79" s="6" t="s">
        <v>604</v>
      </c>
      <c r="P79" s="221" t="s">
        <v>1134</v>
      </c>
      <c r="Q79" s="46" t="n">
        <f aca="false">Spec_Rack!C9</f>
        <v>41</v>
      </c>
      <c r="R79" s="174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3719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3910</v>
      </c>
      <c r="B80" s="221" t="s">
        <v>3713</v>
      </c>
      <c r="C80" s="28" t="s">
        <v>3877</v>
      </c>
      <c r="D80" s="28" t="s">
        <v>3728</v>
      </c>
      <c r="E80" s="19" t="s">
        <v>180</v>
      </c>
      <c r="F80" s="221" t="s">
        <v>315</v>
      </c>
      <c r="G80" s="221" t="s">
        <v>75</v>
      </c>
      <c r="H80" s="28" t="s">
        <v>3895</v>
      </c>
      <c r="I80" s="19" t="s">
        <v>3911</v>
      </c>
      <c r="J80" s="28" t="s">
        <v>604</v>
      </c>
      <c r="K80" s="46" t="n">
        <f aca="false">Spec_Rack!D8</f>
        <v>120</v>
      </c>
      <c r="L80" s="46" t="n">
        <f aca="false">Spec_Rack!D10</f>
        <v>140</v>
      </c>
      <c r="M80" s="28" t="s">
        <v>604</v>
      </c>
      <c r="N80" s="19" t="s">
        <v>3912</v>
      </c>
      <c r="O80" s="6" t="s">
        <v>604</v>
      </c>
      <c r="P80" s="221" t="s">
        <v>1134</v>
      </c>
      <c r="Q80" s="46" t="n">
        <f aca="false">Spec_Rack!D9</f>
        <v>132</v>
      </c>
      <c r="R80" s="174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3752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3913</v>
      </c>
      <c r="B81" s="221" t="s">
        <v>3713</v>
      </c>
      <c r="C81" s="28" t="s">
        <v>3877</v>
      </c>
      <c r="D81" s="28" t="s">
        <v>3582</v>
      </c>
      <c r="E81" s="19" t="s">
        <v>180</v>
      </c>
      <c r="F81" s="221" t="s">
        <v>137</v>
      </c>
      <c r="G81" s="221" t="s">
        <v>75</v>
      </c>
      <c r="H81" s="28" t="s">
        <v>3897</v>
      </c>
      <c r="I81" s="19" t="s">
        <v>3914</v>
      </c>
      <c r="J81" s="28" t="s">
        <v>604</v>
      </c>
      <c r="K81" s="46" t="n">
        <f aca="false">Spec_Rack!E8</f>
        <v>132</v>
      </c>
      <c r="L81" s="46" t="n">
        <f aca="false">Spec_Rack!E10</f>
        <v>140</v>
      </c>
      <c r="M81" s="28" t="s">
        <v>604</v>
      </c>
      <c r="N81" s="19" t="s">
        <v>3915</v>
      </c>
      <c r="O81" s="19" t="s">
        <v>3916</v>
      </c>
      <c r="P81" s="221" t="s">
        <v>1134</v>
      </c>
      <c r="Q81" s="46" t="n">
        <f aca="false">Spec_Rack!E9</f>
        <v>136</v>
      </c>
      <c r="R81" s="174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3719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3917</v>
      </c>
      <c r="B82" s="221" t="s">
        <v>3713</v>
      </c>
      <c r="C82" s="28" t="s">
        <v>3877</v>
      </c>
      <c r="D82" s="28" t="s">
        <v>3730</v>
      </c>
      <c r="E82" s="19" t="s">
        <v>180</v>
      </c>
      <c r="F82" s="221" t="s">
        <v>315</v>
      </c>
      <c r="G82" s="221" t="s">
        <v>3715</v>
      </c>
      <c r="H82" s="28" t="s">
        <v>3918</v>
      </c>
      <c r="I82" s="19" t="s">
        <v>3750</v>
      </c>
      <c r="J82" s="28" t="s">
        <v>604</v>
      </c>
      <c r="K82" s="221"/>
      <c r="L82" s="221"/>
      <c r="M82" s="28" t="s">
        <v>604</v>
      </c>
      <c r="N82" s="19" t="s">
        <v>3853</v>
      </c>
      <c r="O82" s="6" t="s">
        <v>604</v>
      </c>
      <c r="P82" s="221" t="s">
        <v>1134</v>
      </c>
      <c r="Q82" s="46" t="n">
        <f aca="false">Spec_Rack!F9</f>
        <v>227</v>
      </c>
      <c r="R82" s="174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3752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3919</v>
      </c>
      <c r="B83" s="221" t="s">
        <v>3713</v>
      </c>
      <c r="C83" s="28" t="s">
        <v>3877</v>
      </c>
      <c r="D83" s="28" t="s">
        <v>3920</v>
      </c>
      <c r="E83" s="19" t="s">
        <v>180</v>
      </c>
      <c r="F83" s="221" t="s">
        <v>137</v>
      </c>
      <c r="G83" s="221" t="s">
        <v>75</v>
      </c>
      <c r="H83" s="28" t="s">
        <v>604</v>
      </c>
      <c r="I83" s="19" t="s">
        <v>3921</v>
      </c>
      <c r="J83" s="28" t="s">
        <v>604</v>
      </c>
      <c r="K83" s="224" t="n">
        <f aca="false">Spec_Rack!G8</f>
        <v>300</v>
      </c>
      <c r="L83" s="224" t="n">
        <f aca="false">Spec_Rack!G10</f>
        <v>454</v>
      </c>
      <c r="M83" s="28" t="s">
        <v>604</v>
      </c>
      <c r="N83" s="19" t="s">
        <v>3922</v>
      </c>
      <c r="O83" s="19" t="s">
        <v>3923</v>
      </c>
      <c r="P83" s="221" t="s">
        <v>1134</v>
      </c>
      <c r="Q83" s="46" t="n">
        <f aca="false">Spec_Rack!G9</f>
        <v>340</v>
      </c>
      <c r="R83" s="28" t="s">
        <v>604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3719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3924</v>
      </c>
      <c r="B84" s="221" t="s">
        <v>3713</v>
      </c>
      <c r="C84" s="28" t="s">
        <v>3877</v>
      </c>
      <c r="D84" s="28" t="s">
        <v>3925</v>
      </c>
      <c r="E84" s="19" t="s">
        <v>181</v>
      </c>
      <c r="F84" s="28" t="s">
        <v>90</v>
      </c>
      <c r="G84" s="221" t="s">
        <v>1134</v>
      </c>
      <c r="H84" s="28" t="s">
        <v>604</v>
      </c>
      <c r="I84" s="6" t="s">
        <v>604</v>
      </c>
      <c r="J84" s="28" t="s">
        <v>604</v>
      </c>
      <c r="K84" s="221"/>
      <c r="L84" s="221"/>
      <c r="M84" s="28" t="s">
        <v>604</v>
      </c>
      <c r="N84" s="6" t="s">
        <v>3926</v>
      </c>
      <c r="O84" s="6" t="s">
        <v>604</v>
      </c>
      <c r="P84" s="221" t="s">
        <v>3718</v>
      </c>
      <c r="Q84" s="46" t="n">
        <f aca="false">Spec_Rack!C10</f>
        <v>44</v>
      </c>
      <c r="R84" s="28" t="s">
        <v>604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3719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3927</v>
      </c>
      <c r="B85" s="221" t="s">
        <v>3713</v>
      </c>
      <c r="C85" s="28" t="s">
        <v>3877</v>
      </c>
      <c r="D85" s="28" t="s">
        <v>3733</v>
      </c>
      <c r="E85" s="19" t="s">
        <v>181</v>
      </c>
      <c r="F85" s="28" t="s">
        <v>90</v>
      </c>
      <c r="G85" s="221" t="s">
        <v>1134</v>
      </c>
      <c r="H85" s="28" t="s">
        <v>604</v>
      </c>
      <c r="I85" s="6" t="s">
        <v>604</v>
      </c>
      <c r="J85" s="28" t="s">
        <v>604</v>
      </c>
      <c r="K85" s="221"/>
      <c r="L85" s="221"/>
      <c r="M85" s="28" t="s">
        <v>604</v>
      </c>
      <c r="N85" s="6" t="s">
        <v>3928</v>
      </c>
      <c r="O85" s="6" t="s">
        <v>604</v>
      </c>
      <c r="P85" s="221" t="s">
        <v>3718</v>
      </c>
      <c r="Q85" s="46" t="n">
        <f aca="false">Spec_Rack!D10</f>
        <v>140</v>
      </c>
      <c r="R85" s="28" t="s">
        <v>604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3719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3929</v>
      </c>
      <c r="B86" s="221" t="s">
        <v>3713</v>
      </c>
      <c r="C86" s="28" t="s">
        <v>3877</v>
      </c>
      <c r="D86" s="28" t="s">
        <v>3585</v>
      </c>
      <c r="E86" s="19" t="s">
        <v>181</v>
      </c>
      <c r="F86" s="221" t="s">
        <v>315</v>
      </c>
      <c r="G86" s="221" t="s">
        <v>3715</v>
      </c>
      <c r="H86" s="28" t="s">
        <v>3897</v>
      </c>
      <c r="I86" s="19" t="s">
        <v>3750</v>
      </c>
      <c r="J86" s="28" t="s">
        <v>604</v>
      </c>
      <c r="K86" s="221"/>
      <c r="L86" s="221"/>
      <c r="M86" s="28" t="s">
        <v>604</v>
      </c>
      <c r="N86" s="19" t="s">
        <v>3853</v>
      </c>
      <c r="O86" s="6" t="s">
        <v>604</v>
      </c>
      <c r="P86" s="221" t="s">
        <v>3718</v>
      </c>
      <c r="Q86" s="46" t="n">
        <f aca="false">Spec_Rack!E10</f>
        <v>140</v>
      </c>
      <c r="R86" s="174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3752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3930</v>
      </c>
      <c r="B87" s="221" t="s">
        <v>3713</v>
      </c>
      <c r="C87" s="28" t="s">
        <v>3877</v>
      </c>
      <c r="D87" s="28" t="s">
        <v>3735</v>
      </c>
      <c r="E87" s="19" t="s">
        <v>181</v>
      </c>
      <c r="F87" s="221" t="s">
        <v>315</v>
      </c>
      <c r="G87" s="221" t="s">
        <v>3715</v>
      </c>
      <c r="H87" s="28" t="s">
        <v>3931</v>
      </c>
      <c r="I87" s="19" t="s">
        <v>3750</v>
      </c>
      <c r="J87" s="28" t="s">
        <v>604</v>
      </c>
      <c r="K87" s="221"/>
      <c r="L87" s="221"/>
      <c r="M87" s="28" t="s">
        <v>604</v>
      </c>
      <c r="N87" s="19" t="s">
        <v>3853</v>
      </c>
      <c r="O87" s="6" t="s">
        <v>604</v>
      </c>
      <c r="P87" s="221" t="s">
        <v>3718</v>
      </c>
      <c r="Q87" s="46" t="n">
        <f aca="false">Spec_Rack!F10</f>
        <v>230</v>
      </c>
      <c r="R87" s="174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3752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3932</v>
      </c>
      <c r="B88" s="221" t="s">
        <v>3713</v>
      </c>
      <c r="C88" s="28" t="s">
        <v>3877</v>
      </c>
      <c r="D88" s="28" t="s">
        <v>3933</v>
      </c>
      <c r="E88" s="19" t="s">
        <v>181</v>
      </c>
      <c r="F88" s="28" t="s">
        <v>137</v>
      </c>
      <c r="G88" s="221" t="s">
        <v>1134</v>
      </c>
      <c r="H88" s="28" t="s">
        <v>604</v>
      </c>
      <c r="I88" s="6" t="s">
        <v>604</v>
      </c>
      <c r="J88" s="28" t="s">
        <v>604</v>
      </c>
      <c r="K88" s="221"/>
      <c r="L88" s="221"/>
      <c r="M88" s="28" t="s">
        <v>604</v>
      </c>
      <c r="N88" s="6" t="s">
        <v>3934</v>
      </c>
      <c r="O88" s="6" t="s">
        <v>604</v>
      </c>
      <c r="P88" s="221" t="s">
        <v>3718</v>
      </c>
      <c r="Q88" s="46" t="n">
        <f aca="false">Spec_Rack!G10</f>
        <v>454</v>
      </c>
      <c r="R88" s="28" t="s">
        <v>604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3719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3935</v>
      </c>
      <c r="B89" s="221" t="s">
        <v>3713</v>
      </c>
      <c r="C89" s="28" t="s">
        <v>3877</v>
      </c>
      <c r="D89" s="28" t="s">
        <v>3936</v>
      </c>
      <c r="E89" s="19" t="s">
        <v>182</v>
      </c>
      <c r="F89" s="221" t="s">
        <v>3906</v>
      </c>
      <c r="G89" s="221" t="s">
        <v>1133</v>
      </c>
      <c r="H89" s="28" t="s">
        <v>3937</v>
      </c>
      <c r="I89" s="19" t="s">
        <v>3938</v>
      </c>
      <c r="J89" s="28" t="s">
        <v>604</v>
      </c>
      <c r="K89" s="221"/>
      <c r="L89" s="221"/>
      <c r="M89" s="28" t="s">
        <v>604</v>
      </c>
      <c r="N89" s="19" t="s">
        <v>3939</v>
      </c>
      <c r="O89" s="6" t="s">
        <v>604</v>
      </c>
      <c r="P89" s="221" t="s">
        <v>3718</v>
      </c>
      <c r="Q89" s="185" t="n">
        <f aca="false">Spec_Rack!C11</f>
        <v>0.9</v>
      </c>
      <c r="R89" s="174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3719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3940</v>
      </c>
      <c r="B90" s="221" t="s">
        <v>3713</v>
      </c>
      <c r="C90" s="28" t="s">
        <v>3877</v>
      </c>
      <c r="D90" s="28" t="s">
        <v>3740</v>
      </c>
      <c r="E90" s="19" t="s">
        <v>182</v>
      </c>
      <c r="F90" s="221" t="s">
        <v>315</v>
      </c>
      <c r="G90" s="221" t="s">
        <v>3715</v>
      </c>
      <c r="H90" s="28" t="s">
        <v>3941</v>
      </c>
      <c r="I90" s="19" t="s">
        <v>3750</v>
      </c>
      <c r="J90" s="28" t="s">
        <v>604</v>
      </c>
      <c r="K90" s="221"/>
      <c r="L90" s="221"/>
      <c r="M90" s="28" t="s">
        <v>604</v>
      </c>
      <c r="N90" s="19" t="s">
        <v>3942</v>
      </c>
      <c r="O90" s="6" t="s">
        <v>604</v>
      </c>
      <c r="P90" s="221" t="s">
        <v>3718</v>
      </c>
      <c r="Q90" s="185" t="n">
        <f aca="false">Spec_Rack!D11</f>
        <v>2.8</v>
      </c>
      <c r="R90" s="174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3752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3943</v>
      </c>
      <c r="B91" s="221" t="s">
        <v>3713</v>
      </c>
      <c r="C91" s="28" t="s">
        <v>3877</v>
      </c>
      <c r="D91" s="28" t="s">
        <v>3588</v>
      </c>
      <c r="E91" s="19" t="s">
        <v>182</v>
      </c>
      <c r="F91" s="221" t="s">
        <v>315</v>
      </c>
      <c r="G91" s="221" t="s">
        <v>3715</v>
      </c>
      <c r="H91" s="28" t="s">
        <v>3944</v>
      </c>
      <c r="I91" s="19" t="s">
        <v>3750</v>
      </c>
      <c r="J91" s="28" t="s">
        <v>3945</v>
      </c>
      <c r="K91" s="221"/>
      <c r="L91" s="221"/>
      <c r="M91" s="28" t="s">
        <v>604</v>
      </c>
      <c r="N91" s="19" t="s">
        <v>3946</v>
      </c>
      <c r="O91" s="6" t="s">
        <v>604</v>
      </c>
      <c r="P91" s="221" t="s">
        <v>3718</v>
      </c>
      <c r="Q91" s="185" t="n">
        <f aca="false">Spec_Rack!E11</f>
        <v>4</v>
      </c>
      <c r="R91" s="174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3752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3947</v>
      </c>
      <c r="B92" s="221" t="s">
        <v>3713</v>
      </c>
      <c r="C92" s="28" t="s">
        <v>3877</v>
      </c>
      <c r="D92" s="28" t="s">
        <v>3742</v>
      </c>
      <c r="E92" s="19" t="s">
        <v>182</v>
      </c>
      <c r="F92" s="221" t="s">
        <v>137</v>
      </c>
      <c r="G92" s="221" t="s">
        <v>1133</v>
      </c>
      <c r="H92" s="28" t="s">
        <v>3948</v>
      </c>
      <c r="I92" s="19" t="s">
        <v>3949</v>
      </c>
      <c r="J92" s="28" t="s">
        <v>604</v>
      </c>
      <c r="K92" s="221"/>
      <c r="L92" s="221"/>
      <c r="M92" s="28" t="s">
        <v>604</v>
      </c>
      <c r="N92" s="19" t="s">
        <v>3950</v>
      </c>
      <c r="O92" s="19" t="s">
        <v>3951</v>
      </c>
      <c r="P92" s="221" t="s">
        <v>3718</v>
      </c>
      <c r="Q92" s="185" t="n">
        <f aca="false">Spec_Rack!F11</f>
        <v>7.8</v>
      </c>
      <c r="R92" s="174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3719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3952</v>
      </c>
      <c r="B93" s="221" t="s">
        <v>3713</v>
      </c>
      <c r="C93" s="28" t="s">
        <v>3877</v>
      </c>
      <c r="D93" s="28" t="s">
        <v>3953</v>
      </c>
      <c r="E93" s="19" t="s">
        <v>182</v>
      </c>
      <c r="F93" s="28" t="s">
        <v>90</v>
      </c>
      <c r="G93" s="221" t="s">
        <v>1133</v>
      </c>
      <c r="H93" s="28" t="s">
        <v>604</v>
      </c>
      <c r="I93" s="6" t="s">
        <v>604</v>
      </c>
      <c r="J93" s="28" t="s">
        <v>604</v>
      </c>
      <c r="K93" s="221"/>
      <c r="L93" s="221"/>
      <c r="M93" s="28" t="s">
        <v>604</v>
      </c>
      <c r="N93" s="6" t="s">
        <v>3954</v>
      </c>
      <c r="O93" s="6" t="s">
        <v>3955</v>
      </c>
      <c r="P93" s="221" t="s">
        <v>3718</v>
      </c>
      <c r="Q93" s="185" t="n">
        <f aca="false">Spec_Rack!G11</f>
        <v>12.6</v>
      </c>
      <c r="R93" s="28" t="s">
        <v>604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3811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3956</v>
      </c>
      <c r="B94" s="221" t="s">
        <v>3713</v>
      </c>
      <c r="C94" s="28" t="s">
        <v>3877</v>
      </c>
      <c r="D94" s="28" t="s">
        <v>3957</v>
      </c>
      <c r="E94" s="19" t="s">
        <v>183</v>
      </c>
      <c r="F94" s="221" t="s">
        <v>3906</v>
      </c>
      <c r="G94" s="221" t="s">
        <v>75</v>
      </c>
      <c r="H94" s="28" t="s">
        <v>3937</v>
      </c>
      <c r="I94" s="19" t="s">
        <v>3958</v>
      </c>
      <c r="J94" s="28" t="s">
        <v>604</v>
      </c>
      <c r="K94" s="185" t="n">
        <f aca="false">Spec_Rack!C11</f>
        <v>0.9</v>
      </c>
      <c r="L94" s="185" t="n">
        <f aca="false">Spec_Rack!C13</f>
        <v>1.3</v>
      </c>
      <c r="M94" s="28" t="s">
        <v>604</v>
      </c>
      <c r="N94" s="19" t="s">
        <v>3959</v>
      </c>
      <c r="O94" s="6" t="s">
        <v>604</v>
      </c>
      <c r="P94" s="221" t="s">
        <v>1134</v>
      </c>
      <c r="Q94" s="185" t="n">
        <f aca="false">Spec_Rack!C12</f>
        <v>1.1</v>
      </c>
      <c r="R94" s="174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3719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3960</v>
      </c>
      <c r="B95" s="221" t="s">
        <v>3713</v>
      </c>
      <c r="C95" s="28" t="s">
        <v>3877</v>
      </c>
      <c r="D95" s="28" t="s">
        <v>3961</v>
      </c>
      <c r="E95" s="19" t="s">
        <v>183</v>
      </c>
      <c r="F95" s="221" t="s">
        <v>3906</v>
      </c>
      <c r="G95" s="221" t="s">
        <v>75</v>
      </c>
      <c r="H95" s="28" t="s">
        <v>3941</v>
      </c>
      <c r="I95" s="19" t="s">
        <v>3962</v>
      </c>
      <c r="J95" s="28" t="s">
        <v>604</v>
      </c>
      <c r="K95" s="185" t="n">
        <f aca="false">Spec_Rack!D11</f>
        <v>2.8</v>
      </c>
      <c r="L95" s="185" t="n">
        <f aca="false">Spec_Rack!D13</f>
        <v>3.4</v>
      </c>
      <c r="M95" s="28" t="s">
        <v>604</v>
      </c>
      <c r="N95" s="19" t="s">
        <v>3963</v>
      </c>
      <c r="O95" s="6" t="s">
        <v>604</v>
      </c>
      <c r="P95" s="221" t="s">
        <v>1134</v>
      </c>
      <c r="Q95" s="185" t="n">
        <f aca="false">Spec_Rack!D12</f>
        <v>3.1</v>
      </c>
      <c r="R95" s="174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3719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3964</v>
      </c>
      <c r="B96" s="221" t="s">
        <v>3713</v>
      </c>
      <c r="C96" s="28" t="s">
        <v>3877</v>
      </c>
      <c r="D96" s="28" t="s">
        <v>3591</v>
      </c>
      <c r="E96" s="19" t="s">
        <v>183</v>
      </c>
      <c r="F96" s="221" t="s">
        <v>137</v>
      </c>
      <c r="G96" s="221" t="s">
        <v>75</v>
      </c>
      <c r="H96" s="28" t="s">
        <v>3944</v>
      </c>
      <c r="I96" s="19" t="s">
        <v>3965</v>
      </c>
      <c r="J96" s="28" t="s">
        <v>3945</v>
      </c>
      <c r="K96" s="185" t="n">
        <f aca="false">Spec_Rack!E11</f>
        <v>4</v>
      </c>
      <c r="L96" s="185" t="n">
        <f aca="false">Spec_Rack!E13</f>
        <v>5</v>
      </c>
      <c r="M96" s="28" t="s">
        <v>604</v>
      </c>
      <c r="N96" s="19" t="s">
        <v>3966</v>
      </c>
      <c r="O96" s="225" t="s">
        <v>3967</v>
      </c>
      <c r="P96" s="221" t="s">
        <v>1134</v>
      </c>
      <c r="Q96" s="185" t="n">
        <f aca="false">Spec_Rack!E12</f>
        <v>4.3</v>
      </c>
      <c r="R96" s="174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3719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3968</v>
      </c>
      <c r="B97" s="221" t="s">
        <v>3713</v>
      </c>
      <c r="C97" s="28" t="s">
        <v>3877</v>
      </c>
      <c r="D97" s="28" t="s">
        <v>3969</v>
      </c>
      <c r="E97" s="19" t="s">
        <v>183</v>
      </c>
      <c r="F97" s="221" t="s">
        <v>137</v>
      </c>
      <c r="G97" s="221" t="s">
        <v>75</v>
      </c>
      <c r="H97" s="28" t="s">
        <v>3948</v>
      </c>
      <c r="I97" s="19" t="s">
        <v>3970</v>
      </c>
      <c r="J97" s="28" t="s">
        <v>604</v>
      </c>
      <c r="K97" s="226" t="n">
        <f aca="false">Spec_Rack!F11</f>
        <v>7.8</v>
      </c>
      <c r="L97" s="226" t="n">
        <f aca="false">Spec_Rack!F13</f>
        <v>9.1</v>
      </c>
      <c r="M97" s="28" t="s">
        <v>604</v>
      </c>
      <c r="N97" s="19" t="s">
        <v>3971</v>
      </c>
      <c r="O97" s="19" t="s">
        <v>3972</v>
      </c>
      <c r="P97" s="221" t="s">
        <v>1134</v>
      </c>
      <c r="Q97" s="185" t="n">
        <f aca="false">Spec_Rack!F12</f>
        <v>8.4</v>
      </c>
      <c r="R97" s="174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3719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3973</v>
      </c>
      <c r="B98" s="221" t="s">
        <v>3713</v>
      </c>
      <c r="C98" s="28" t="s">
        <v>3877</v>
      </c>
      <c r="D98" s="28" t="s">
        <v>3974</v>
      </c>
      <c r="E98" s="19" t="s">
        <v>183</v>
      </c>
      <c r="F98" s="28" t="s">
        <v>90</v>
      </c>
      <c r="G98" s="221" t="s">
        <v>75</v>
      </c>
      <c r="H98" s="28" t="s">
        <v>604</v>
      </c>
      <c r="I98" s="6" t="s">
        <v>604</v>
      </c>
      <c r="J98" s="28" t="s">
        <v>604</v>
      </c>
      <c r="K98" s="185" t="n">
        <f aca="false">Spec_Rack!G11</f>
        <v>12.6</v>
      </c>
      <c r="L98" s="185" t="n">
        <f aca="false">Spec_Rack!G13</f>
        <v>21</v>
      </c>
      <c r="M98" s="28" t="s">
        <v>604</v>
      </c>
      <c r="N98" s="6" t="s">
        <v>3975</v>
      </c>
      <c r="O98" s="6" t="s">
        <v>3955</v>
      </c>
      <c r="P98" s="221" t="s">
        <v>1134</v>
      </c>
      <c r="Q98" s="185" t="n">
        <f aca="false">Spec_Rack!G12</f>
        <v>16.8</v>
      </c>
      <c r="R98" s="28" t="s">
        <v>604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3811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3976</v>
      </c>
      <c r="B99" s="221" t="s">
        <v>3713</v>
      </c>
      <c r="C99" s="28" t="s">
        <v>3877</v>
      </c>
      <c r="D99" s="28" t="s">
        <v>3977</v>
      </c>
      <c r="E99" s="19" t="s">
        <v>184</v>
      </c>
      <c r="F99" s="221" t="s">
        <v>3906</v>
      </c>
      <c r="G99" s="221" t="s">
        <v>1134</v>
      </c>
      <c r="H99" s="28" t="s">
        <v>3937</v>
      </c>
      <c r="I99" s="19" t="s">
        <v>3978</v>
      </c>
      <c r="J99" s="28" t="s">
        <v>604</v>
      </c>
      <c r="K99" s="221"/>
      <c r="L99" s="221"/>
      <c r="M99" s="28" t="s">
        <v>604</v>
      </c>
      <c r="N99" s="19" t="s">
        <v>3979</v>
      </c>
      <c r="O99" s="6" t="s">
        <v>604</v>
      </c>
      <c r="P99" s="221" t="s">
        <v>3718</v>
      </c>
      <c r="Q99" s="185" t="n">
        <f aca="false">Spec_Rack!C13</f>
        <v>1.3</v>
      </c>
      <c r="R99" s="174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3719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3980</v>
      </c>
      <c r="B100" s="221" t="s">
        <v>3713</v>
      </c>
      <c r="C100" s="28" t="s">
        <v>3877</v>
      </c>
      <c r="D100" s="28" t="s">
        <v>3746</v>
      </c>
      <c r="E100" s="19" t="s">
        <v>184</v>
      </c>
      <c r="F100" s="221" t="s">
        <v>315</v>
      </c>
      <c r="G100" s="221" t="s">
        <v>3715</v>
      </c>
      <c r="H100" s="28" t="s">
        <v>3941</v>
      </c>
      <c r="I100" s="19" t="s">
        <v>3750</v>
      </c>
      <c r="J100" s="28" t="s">
        <v>604</v>
      </c>
      <c r="K100" s="221"/>
      <c r="L100" s="221"/>
      <c r="M100" s="28" t="s">
        <v>604</v>
      </c>
      <c r="N100" s="19" t="s">
        <v>3942</v>
      </c>
      <c r="O100" s="6" t="s">
        <v>604</v>
      </c>
      <c r="P100" s="221" t="s">
        <v>3718</v>
      </c>
      <c r="Q100" s="185" t="n">
        <f aca="false">Spec_Rack!D13</f>
        <v>3.4</v>
      </c>
      <c r="R100" s="174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3752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3981</v>
      </c>
      <c r="B101" s="221" t="s">
        <v>3713</v>
      </c>
      <c r="C101" s="28" t="s">
        <v>3877</v>
      </c>
      <c r="D101" s="28" t="s">
        <v>3593</v>
      </c>
      <c r="E101" s="19" t="s">
        <v>184</v>
      </c>
      <c r="F101" s="221" t="s">
        <v>315</v>
      </c>
      <c r="G101" s="221" t="s">
        <v>3715</v>
      </c>
      <c r="H101" s="28" t="s">
        <v>3982</v>
      </c>
      <c r="I101" s="19" t="s">
        <v>3750</v>
      </c>
      <c r="J101" s="28" t="s">
        <v>3945</v>
      </c>
      <c r="K101" s="221"/>
      <c r="L101" s="221"/>
      <c r="M101" s="28" t="s">
        <v>604</v>
      </c>
      <c r="N101" s="19" t="s">
        <v>3983</v>
      </c>
      <c r="O101" s="6" t="s">
        <v>604</v>
      </c>
      <c r="P101" s="221" t="s">
        <v>3718</v>
      </c>
      <c r="Q101" s="185" t="n">
        <f aca="false">Spec_Rack!E13</f>
        <v>5</v>
      </c>
      <c r="R101" s="174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3752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3984</v>
      </c>
      <c r="B102" s="221" t="s">
        <v>3713</v>
      </c>
      <c r="C102" s="28" t="s">
        <v>3877</v>
      </c>
      <c r="D102" s="28" t="s">
        <v>3748</v>
      </c>
      <c r="E102" s="19" t="s">
        <v>184</v>
      </c>
      <c r="F102" s="221" t="s">
        <v>3906</v>
      </c>
      <c r="G102" s="221" t="s">
        <v>1134</v>
      </c>
      <c r="H102" s="28" t="s">
        <v>3985</v>
      </c>
      <c r="I102" s="19" t="s">
        <v>3986</v>
      </c>
      <c r="J102" s="28" t="s">
        <v>604</v>
      </c>
      <c r="K102" s="221"/>
      <c r="L102" s="221"/>
      <c r="M102" s="28" t="s">
        <v>604</v>
      </c>
      <c r="N102" s="19" t="s">
        <v>3987</v>
      </c>
      <c r="O102" s="6" t="s">
        <v>604</v>
      </c>
      <c r="P102" s="221" t="s">
        <v>3718</v>
      </c>
      <c r="Q102" s="185" t="n">
        <f aca="false">Spec_Rack!F13</f>
        <v>9.1</v>
      </c>
      <c r="R102" s="174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3719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3988</v>
      </c>
      <c r="B103" s="221" t="s">
        <v>3713</v>
      </c>
      <c r="C103" s="28" t="s">
        <v>3877</v>
      </c>
      <c r="D103" s="28" t="s">
        <v>3989</v>
      </c>
      <c r="E103" s="19" t="s">
        <v>184</v>
      </c>
      <c r="F103" s="28" t="s">
        <v>90</v>
      </c>
      <c r="G103" s="221" t="s">
        <v>1134</v>
      </c>
      <c r="H103" s="28" t="s">
        <v>604</v>
      </c>
      <c r="I103" s="6" t="s">
        <v>604</v>
      </c>
      <c r="J103" s="28" t="s">
        <v>604</v>
      </c>
      <c r="K103" s="221"/>
      <c r="L103" s="221"/>
      <c r="M103" s="28" t="s">
        <v>604</v>
      </c>
      <c r="N103" s="6" t="s">
        <v>3990</v>
      </c>
      <c r="O103" s="6" t="s">
        <v>3955</v>
      </c>
      <c r="P103" s="221" t="s">
        <v>3718</v>
      </c>
      <c r="Q103" s="185" t="n">
        <f aca="false">Spec_Rack!G13</f>
        <v>21</v>
      </c>
      <c r="R103" s="28" t="s">
        <v>604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3811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3991</v>
      </c>
      <c r="B104" s="221" t="s">
        <v>3713</v>
      </c>
      <c r="C104" s="28" t="s">
        <v>3877</v>
      </c>
      <c r="D104" s="28" t="s">
        <v>3992</v>
      </c>
      <c r="E104" s="19" t="s">
        <v>3993</v>
      </c>
      <c r="F104" s="221" t="s">
        <v>315</v>
      </c>
      <c r="G104" s="221" t="s">
        <v>3715</v>
      </c>
      <c r="H104" s="28" t="s">
        <v>3994</v>
      </c>
      <c r="I104" s="19" t="s">
        <v>3750</v>
      </c>
      <c r="J104" s="28" t="s">
        <v>604</v>
      </c>
      <c r="K104" s="221"/>
      <c r="L104" s="221"/>
      <c r="M104" s="28" t="s">
        <v>604</v>
      </c>
      <c r="N104" s="19" t="s">
        <v>3942</v>
      </c>
      <c r="O104" s="6" t="s">
        <v>604</v>
      </c>
      <c r="P104" s="221" t="s">
        <v>3774</v>
      </c>
      <c r="Q104" s="43" t="n">
        <f aca="false">Spec_Rack!C23</f>
        <v>1.979</v>
      </c>
      <c r="R104" s="174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3752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3995</v>
      </c>
      <c r="B105" s="221" t="s">
        <v>3713</v>
      </c>
      <c r="C105" s="28" t="s">
        <v>3877</v>
      </c>
      <c r="D105" s="28" t="s">
        <v>3850</v>
      </c>
      <c r="E105" s="19" t="s">
        <v>3993</v>
      </c>
      <c r="F105" s="221" t="s">
        <v>315</v>
      </c>
      <c r="G105" s="221" t="s">
        <v>3715</v>
      </c>
      <c r="H105" s="28" t="s">
        <v>3996</v>
      </c>
      <c r="I105" s="19" t="s">
        <v>3750</v>
      </c>
      <c r="J105" s="28" t="s">
        <v>604</v>
      </c>
      <c r="K105" s="221"/>
      <c r="L105" s="221"/>
      <c r="M105" s="28" t="s">
        <v>604</v>
      </c>
      <c r="N105" s="19" t="s">
        <v>3942</v>
      </c>
      <c r="O105" s="6" t="s">
        <v>604</v>
      </c>
      <c r="P105" s="221" t="s">
        <v>3774</v>
      </c>
      <c r="Q105" s="43" t="n">
        <f aca="false">Spec_Rack!D23</f>
        <v>10</v>
      </c>
      <c r="R105" s="174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3752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3997</v>
      </c>
      <c r="B106" s="221" t="s">
        <v>3713</v>
      </c>
      <c r="C106" s="28" t="s">
        <v>3877</v>
      </c>
      <c r="D106" s="28" t="s">
        <v>3855</v>
      </c>
      <c r="E106" s="19" t="s">
        <v>3993</v>
      </c>
      <c r="F106" s="221" t="s">
        <v>315</v>
      </c>
      <c r="G106" s="221" t="s">
        <v>3715</v>
      </c>
      <c r="H106" s="28" t="s">
        <v>3998</v>
      </c>
      <c r="I106" s="19" t="s">
        <v>3750</v>
      </c>
      <c r="J106" s="28" t="s">
        <v>604</v>
      </c>
      <c r="K106" s="221"/>
      <c r="L106" s="221"/>
      <c r="M106" s="28" t="s">
        <v>604</v>
      </c>
      <c r="N106" s="19" t="s">
        <v>3942</v>
      </c>
      <c r="O106" s="6" t="s">
        <v>604</v>
      </c>
      <c r="P106" s="221" t="s">
        <v>3774</v>
      </c>
      <c r="Q106" s="43" t="n">
        <f aca="false">Spec_Rack!E23</f>
        <v>15</v>
      </c>
      <c r="R106" s="174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3752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3999</v>
      </c>
      <c r="B107" s="221" t="s">
        <v>3713</v>
      </c>
      <c r="C107" s="28" t="s">
        <v>3877</v>
      </c>
      <c r="D107" s="28" t="s">
        <v>3857</v>
      </c>
      <c r="E107" s="19" t="s">
        <v>3993</v>
      </c>
      <c r="F107" s="221" t="s">
        <v>315</v>
      </c>
      <c r="G107" s="221" t="s">
        <v>3715</v>
      </c>
      <c r="H107" s="28" t="s">
        <v>4000</v>
      </c>
      <c r="I107" s="19" t="s">
        <v>3750</v>
      </c>
      <c r="J107" s="28" t="s">
        <v>604</v>
      </c>
      <c r="K107" s="221"/>
      <c r="L107" s="221"/>
      <c r="M107" s="28" t="s">
        <v>604</v>
      </c>
      <c r="N107" s="19" t="s">
        <v>3942</v>
      </c>
      <c r="O107" s="6" t="s">
        <v>604</v>
      </c>
      <c r="P107" s="221" t="s">
        <v>3774</v>
      </c>
      <c r="Q107" s="43" t="n">
        <f aca="false">Spec_Rack!F23</f>
        <v>35</v>
      </c>
      <c r="R107" s="174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3752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4001</v>
      </c>
      <c r="B108" s="221" t="s">
        <v>3713</v>
      </c>
      <c r="C108" s="28" t="s">
        <v>3877</v>
      </c>
      <c r="D108" s="28" t="s">
        <v>4002</v>
      </c>
      <c r="E108" s="19" t="s">
        <v>3993</v>
      </c>
      <c r="F108" s="28" t="s">
        <v>137</v>
      </c>
      <c r="G108" s="221" t="s">
        <v>75</v>
      </c>
      <c r="H108" s="28" t="s">
        <v>4003</v>
      </c>
      <c r="I108" s="6" t="s">
        <v>4004</v>
      </c>
      <c r="J108" s="28" t="s">
        <v>604</v>
      </c>
      <c r="K108" s="174" t="n">
        <f aca="false">Spec_Rack!G23*0.7</f>
        <v>49</v>
      </c>
      <c r="L108" s="174" t="n">
        <f aca="false">Spec_Rack!G23*1.3</f>
        <v>91</v>
      </c>
      <c r="M108" s="28" t="s">
        <v>4005</v>
      </c>
      <c r="N108" s="6" t="s">
        <v>4006</v>
      </c>
      <c r="O108" s="6" t="s">
        <v>4007</v>
      </c>
      <c r="P108" s="221" t="s">
        <v>1134</v>
      </c>
      <c r="Q108" s="43" t="n">
        <f aca="false">Spec_Rack!G23</f>
        <v>70</v>
      </c>
      <c r="R108" s="174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3719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4008</v>
      </c>
      <c r="B109" s="221" t="s">
        <v>3713</v>
      </c>
      <c r="C109" s="28" t="s">
        <v>3877</v>
      </c>
      <c r="D109" s="28" t="s">
        <v>4009</v>
      </c>
      <c r="E109" s="19" t="s">
        <v>4010</v>
      </c>
      <c r="F109" s="28" t="s">
        <v>3807</v>
      </c>
      <c r="G109" s="221" t="s">
        <v>3715</v>
      </c>
      <c r="H109" s="28" t="s">
        <v>604</v>
      </c>
      <c r="I109" s="6" t="s">
        <v>604</v>
      </c>
      <c r="J109" s="28" t="s">
        <v>604</v>
      </c>
      <c r="K109" s="221"/>
      <c r="L109" s="221"/>
      <c r="M109" s="28" t="s">
        <v>604</v>
      </c>
      <c r="N109" s="6" t="s">
        <v>4011</v>
      </c>
      <c r="O109" s="6" t="s">
        <v>604</v>
      </c>
      <c r="P109" s="221" t="s">
        <v>1134</v>
      </c>
      <c r="Q109" s="43" t="n">
        <f aca="false">Spec_Rack!C24</f>
        <v>1.979</v>
      </c>
      <c r="R109" s="28" t="s">
        <v>604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3811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4012</v>
      </c>
      <c r="B110" s="221" t="s">
        <v>3713</v>
      </c>
      <c r="C110" s="28" t="s">
        <v>3877</v>
      </c>
      <c r="D110" s="28" t="s">
        <v>4013</v>
      </c>
      <c r="E110" s="19" t="s">
        <v>4010</v>
      </c>
      <c r="F110" s="221" t="s">
        <v>315</v>
      </c>
      <c r="G110" s="221" t="s">
        <v>3715</v>
      </c>
      <c r="H110" s="28" t="s">
        <v>3996</v>
      </c>
      <c r="I110" s="19" t="s">
        <v>3750</v>
      </c>
      <c r="J110" s="28" t="s">
        <v>604</v>
      </c>
      <c r="K110" s="221"/>
      <c r="L110" s="221"/>
      <c r="M110" s="28" t="s">
        <v>604</v>
      </c>
      <c r="N110" s="19" t="s">
        <v>3853</v>
      </c>
      <c r="O110" s="6" t="s">
        <v>604</v>
      </c>
      <c r="P110" s="221" t="s">
        <v>1134</v>
      </c>
      <c r="Q110" s="43" t="n">
        <f aca="false">Spec_Rack!D24</f>
        <v>10</v>
      </c>
      <c r="R110" s="174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3752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4014</v>
      </c>
      <c r="B111" s="221" t="s">
        <v>3713</v>
      </c>
      <c r="C111" s="28" t="s">
        <v>3877</v>
      </c>
      <c r="D111" s="28" t="s">
        <v>3860</v>
      </c>
      <c r="E111" s="19" t="s">
        <v>4010</v>
      </c>
      <c r="F111" s="221" t="s">
        <v>315</v>
      </c>
      <c r="G111" s="221" t="s">
        <v>3715</v>
      </c>
      <c r="H111" s="28" t="s">
        <v>3998</v>
      </c>
      <c r="I111" s="19" t="s">
        <v>3750</v>
      </c>
      <c r="J111" s="28" t="s">
        <v>604</v>
      </c>
      <c r="K111" s="221"/>
      <c r="L111" s="221"/>
      <c r="M111" s="28" t="s">
        <v>604</v>
      </c>
      <c r="N111" s="19" t="s">
        <v>3853</v>
      </c>
      <c r="O111" s="6" t="s">
        <v>604</v>
      </c>
      <c r="P111" s="221" t="s">
        <v>1134</v>
      </c>
      <c r="Q111" s="43" t="n">
        <f aca="false">Spec_Rack!E24</f>
        <v>15</v>
      </c>
      <c r="R111" s="174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3752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4015</v>
      </c>
      <c r="B112" s="221" t="s">
        <v>3713</v>
      </c>
      <c r="C112" s="28" t="s">
        <v>3877</v>
      </c>
      <c r="D112" s="28" t="s">
        <v>4016</v>
      </c>
      <c r="E112" s="19" t="s">
        <v>4010</v>
      </c>
      <c r="F112" s="221" t="s">
        <v>315</v>
      </c>
      <c r="G112" s="221" t="s">
        <v>3715</v>
      </c>
      <c r="H112" s="28" t="s">
        <v>4017</v>
      </c>
      <c r="I112" s="19" t="s">
        <v>3750</v>
      </c>
      <c r="J112" s="28" t="s">
        <v>604</v>
      </c>
      <c r="K112" s="221"/>
      <c r="L112" s="221"/>
      <c r="M112" s="28" t="s">
        <v>604</v>
      </c>
      <c r="N112" s="19" t="s">
        <v>3853</v>
      </c>
      <c r="O112" s="6" t="s">
        <v>604</v>
      </c>
      <c r="P112" s="221" t="s">
        <v>1134</v>
      </c>
      <c r="Q112" s="43" t="n">
        <f aca="false">Spec_Rack!F24</f>
        <v>50</v>
      </c>
      <c r="R112" s="174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3752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4018</v>
      </c>
      <c r="B113" s="221" t="s">
        <v>3713</v>
      </c>
      <c r="C113" s="28" t="s">
        <v>3877</v>
      </c>
      <c r="D113" s="28" t="s">
        <v>4019</v>
      </c>
      <c r="E113" s="19" t="s">
        <v>4010</v>
      </c>
      <c r="F113" s="221" t="s">
        <v>137</v>
      </c>
      <c r="G113" s="221" t="s">
        <v>3715</v>
      </c>
      <c r="H113" s="28" t="s">
        <v>4003</v>
      </c>
      <c r="I113" s="19" t="s">
        <v>4020</v>
      </c>
      <c r="J113" s="28" t="s">
        <v>604</v>
      </c>
      <c r="K113" s="221"/>
      <c r="L113" s="221"/>
      <c r="M113" s="28" t="s">
        <v>604</v>
      </c>
      <c r="N113" s="19" t="s">
        <v>4021</v>
      </c>
      <c r="O113" s="19" t="s">
        <v>4022</v>
      </c>
      <c r="P113" s="221" t="s">
        <v>1134</v>
      </c>
      <c r="Q113" s="43" t="n">
        <f aca="false">Spec_Rack!G24</f>
        <v>100</v>
      </c>
      <c r="R113" s="174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3719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4023</v>
      </c>
      <c r="B114" s="221" t="s">
        <v>3713</v>
      </c>
      <c r="C114" s="28" t="s">
        <v>3877</v>
      </c>
      <c r="D114" s="28" t="s">
        <v>4024</v>
      </c>
      <c r="E114" s="6" t="s">
        <v>215</v>
      </c>
      <c r="F114" s="221" t="s">
        <v>315</v>
      </c>
      <c r="G114" s="221" t="s">
        <v>3715</v>
      </c>
      <c r="H114" s="28" t="s">
        <v>4025</v>
      </c>
      <c r="I114" s="19" t="s">
        <v>3750</v>
      </c>
      <c r="J114" s="28" t="s">
        <v>604</v>
      </c>
      <c r="K114" s="221"/>
      <c r="L114" s="221"/>
      <c r="M114" s="28" t="s">
        <v>604</v>
      </c>
      <c r="N114" s="19" t="s">
        <v>3942</v>
      </c>
      <c r="O114" s="6" t="s">
        <v>604</v>
      </c>
      <c r="P114" s="221" t="s">
        <v>3774</v>
      </c>
      <c r="Q114" s="46" t="n">
        <f aca="false">Spec_Rack!C25</f>
        <v>80</v>
      </c>
      <c r="R114" s="174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3752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4026</v>
      </c>
      <c r="B115" s="221" t="s">
        <v>3713</v>
      </c>
      <c r="C115" s="28" t="s">
        <v>3877</v>
      </c>
      <c r="D115" s="28" t="s">
        <v>4027</v>
      </c>
      <c r="E115" s="6" t="s">
        <v>215</v>
      </c>
      <c r="F115" s="221" t="s">
        <v>3906</v>
      </c>
      <c r="G115" s="221" t="s">
        <v>3715</v>
      </c>
      <c r="H115" s="28" t="s">
        <v>4028</v>
      </c>
      <c r="I115" s="19" t="s">
        <v>4029</v>
      </c>
      <c r="J115" s="28" t="s">
        <v>604</v>
      </c>
      <c r="K115" s="221"/>
      <c r="L115" s="221"/>
      <c r="M115" s="28" t="s">
        <v>604</v>
      </c>
      <c r="N115" s="19" t="s">
        <v>4030</v>
      </c>
      <c r="O115" s="6" t="s">
        <v>604</v>
      </c>
      <c r="P115" s="221" t="s">
        <v>3774</v>
      </c>
      <c r="Q115" s="46" t="n">
        <f aca="false">Spec_Rack!D25</f>
        <v>186</v>
      </c>
      <c r="R115" s="174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3719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4031</v>
      </c>
      <c r="B116" s="221" t="s">
        <v>3713</v>
      </c>
      <c r="C116" s="28" t="s">
        <v>3877</v>
      </c>
      <c r="D116" s="28" t="s">
        <v>3865</v>
      </c>
      <c r="E116" s="6" t="s">
        <v>215</v>
      </c>
      <c r="F116" s="221" t="s">
        <v>315</v>
      </c>
      <c r="G116" s="221" t="s">
        <v>3715</v>
      </c>
      <c r="H116" s="28" t="s">
        <v>4032</v>
      </c>
      <c r="I116" s="19" t="s">
        <v>3750</v>
      </c>
      <c r="J116" s="28" t="s">
        <v>604</v>
      </c>
      <c r="K116" s="221"/>
      <c r="L116" s="221"/>
      <c r="M116" s="28" t="s">
        <v>604</v>
      </c>
      <c r="N116" s="19" t="s">
        <v>3942</v>
      </c>
      <c r="O116" s="6" t="s">
        <v>604</v>
      </c>
      <c r="P116" s="221" t="s">
        <v>3774</v>
      </c>
      <c r="Q116" s="46" t="n">
        <f aca="false">Spec_Rack!E25</f>
        <v>288</v>
      </c>
      <c r="R116" s="174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3752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4033</v>
      </c>
      <c r="B117" s="221" t="s">
        <v>3713</v>
      </c>
      <c r="C117" s="28" t="s">
        <v>3877</v>
      </c>
      <c r="D117" s="28" t="s">
        <v>4034</v>
      </c>
      <c r="E117" s="6" t="s">
        <v>215</v>
      </c>
      <c r="F117" s="221" t="s">
        <v>315</v>
      </c>
      <c r="G117" s="221" t="s">
        <v>3715</v>
      </c>
      <c r="H117" s="28" t="s">
        <v>4035</v>
      </c>
      <c r="I117" s="19" t="s">
        <v>3750</v>
      </c>
      <c r="J117" s="28" t="s">
        <v>604</v>
      </c>
      <c r="K117" s="221"/>
      <c r="L117" s="221"/>
      <c r="M117" s="28" t="s">
        <v>604</v>
      </c>
      <c r="N117" s="19" t="s">
        <v>3942</v>
      </c>
      <c r="O117" s="6" t="s">
        <v>604</v>
      </c>
      <c r="P117" s="221" t="s">
        <v>3774</v>
      </c>
      <c r="Q117" s="46" t="n">
        <f aca="false">Spec_Rack!F25</f>
        <v>288</v>
      </c>
      <c r="R117" s="174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3752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4036</v>
      </c>
      <c r="B118" s="221" t="s">
        <v>3713</v>
      </c>
      <c r="C118" s="28" t="s">
        <v>3877</v>
      </c>
      <c r="D118" s="28" t="s">
        <v>4037</v>
      </c>
      <c r="E118" s="6" t="s">
        <v>215</v>
      </c>
      <c r="F118" s="28" t="s">
        <v>90</v>
      </c>
      <c r="G118" s="221" t="s">
        <v>75</v>
      </c>
      <c r="H118" s="28" t="s">
        <v>604</v>
      </c>
      <c r="I118" s="6" t="s">
        <v>604</v>
      </c>
      <c r="J118" s="28" t="s">
        <v>604</v>
      </c>
      <c r="K118" s="174" t="n">
        <f aca="false">Spec_Rack!G25*0.7</f>
        <v>716.8</v>
      </c>
      <c r="L118" s="174" t="n">
        <f aca="false">Spec_Rack!G25*1.3</f>
        <v>1331.2</v>
      </c>
      <c r="M118" s="28" t="s">
        <v>4005</v>
      </c>
      <c r="N118" s="6" t="s">
        <v>4038</v>
      </c>
      <c r="O118" s="6" t="s">
        <v>604</v>
      </c>
      <c r="P118" s="221" t="s">
        <v>3774</v>
      </c>
      <c r="Q118" s="46" t="n">
        <f aca="false">Spec_Rack!G25</f>
        <v>1024</v>
      </c>
      <c r="R118" s="28" t="s">
        <v>604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3719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4039</v>
      </c>
      <c r="B119" s="221" t="s">
        <v>3713</v>
      </c>
      <c r="C119" s="28" t="s">
        <v>3877</v>
      </c>
      <c r="D119" s="28" t="s">
        <v>4040</v>
      </c>
      <c r="E119" s="6" t="s">
        <v>217</v>
      </c>
      <c r="F119" s="221" t="s">
        <v>315</v>
      </c>
      <c r="G119" s="221" t="s">
        <v>3715</v>
      </c>
      <c r="H119" s="28" t="s">
        <v>4041</v>
      </c>
      <c r="I119" s="19" t="s">
        <v>3750</v>
      </c>
      <c r="J119" s="28" t="s">
        <v>604</v>
      </c>
      <c r="K119" s="221"/>
      <c r="L119" s="221"/>
      <c r="M119" s="28" t="s">
        <v>604</v>
      </c>
      <c r="N119" s="19" t="s">
        <v>3942</v>
      </c>
      <c r="O119" s="6" t="s">
        <v>604</v>
      </c>
      <c r="P119" s="221" t="s">
        <v>3774</v>
      </c>
      <c r="Q119" s="48" t="n">
        <f aca="false">Spec_Rack!C26</f>
        <v>3.35</v>
      </c>
      <c r="R119" s="174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3752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4042</v>
      </c>
      <c r="B120" s="221" t="s">
        <v>3713</v>
      </c>
      <c r="C120" s="28" t="s">
        <v>3877</v>
      </c>
      <c r="D120" s="28" t="s">
        <v>4043</v>
      </c>
      <c r="E120" s="6" t="s">
        <v>217</v>
      </c>
      <c r="F120" s="221" t="s">
        <v>315</v>
      </c>
      <c r="G120" s="221" t="s">
        <v>3715</v>
      </c>
      <c r="H120" s="28" t="s">
        <v>4044</v>
      </c>
      <c r="I120" s="19" t="s">
        <v>3750</v>
      </c>
      <c r="J120" s="28" t="s">
        <v>604</v>
      </c>
      <c r="K120" s="221"/>
      <c r="L120" s="221"/>
      <c r="M120" s="28" t="s">
        <v>604</v>
      </c>
      <c r="N120" s="19" t="s">
        <v>3942</v>
      </c>
      <c r="O120" s="6" t="s">
        <v>604</v>
      </c>
      <c r="P120" s="221" t="s">
        <v>3774</v>
      </c>
      <c r="Q120" s="48" t="n">
        <f aca="false">Spec_Rack!D26</f>
        <v>8</v>
      </c>
      <c r="R120" s="174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3752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4045</v>
      </c>
      <c r="B121" s="221" t="s">
        <v>3713</v>
      </c>
      <c r="C121" s="28" t="s">
        <v>3877</v>
      </c>
      <c r="D121" s="28" t="s">
        <v>3869</v>
      </c>
      <c r="E121" s="6" t="s">
        <v>217</v>
      </c>
      <c r="F121" s="221" t="s">
        <v>315</v>
      </c>
      <c r="G121" s="221" t="s">
        <v>3715</v>
      </c>
      <c r="H121" s="28" t="s">
        <v>4046</v>
      </c>
      <c r="I121" s="19" t="s">
        <v>3750</v>
      </c>
      <c r="J121" s="28" t="s">
        <v>604</v>
      </c>
      <c r="K121" s="221"/>
      <c r="L121" s="221"/>
      <c r="M121" s="28" t="s">
        <v>604</v>
      </c>
      <c r="N121" s="19" t="s">
        <v>3942</v>
      </c>
      <c r="O121" s="6" t="s">
        <v>604</v>
      </c>
      <c r="P121" s="221" t="s">
        <v>3774</v>
      </c>
      <c r="Q121" s="48" t="n">
        <f aca="false">Spec_Rack!E26</f>
        <v>8</v>
      </c>
      <c r="R121" s="174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3752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4047</v>
      </c>
      <c r="B122" s="221" t="s">
        <v>3713</v>
      </c>
      <c r="C122" s="28" t="s">
        <v>3877</v>
      </c>
      <c r="D122" s="28" t="s">
        <v>4048</v>
      </c>
      <c r="E122" s="6" t="s">
        <v>217</v>
      </c>
      <c r="F122" s="221" t="s">
        <v>315</v>
      </c>
      <c r="G122" s="221" t="s">
        <v>3715</v>
      </c>
      <c r="H122" s="28" t="s">
        <v>4049</v>
      </c>
      <c r="I122" s="19" t="s">
        <v>3750</v>
      </c>
      <c r="J122" s="28" t="s">
        <v>604</v>
      </c>
      <c r="K122" s="221"/>
      <c r="L122" s="221"/>
      <c r="M122" s="28" t="s">
        <v>604</v>
      </c>
      <c r="N122" s="19" t="s">
        <v>3942</v>
      </c>
      <c r="O122" s="6" t="s">
        <v>604</v>
      </c>
      <c r="P122" s="221" t="s">
        <v>3774</v>
      </c>
      <c r="Q122" s="48" t="n">
        <f aca="false">Spec_Rack!F26</f>
        <v>22</v>
      </c>
      <c r="R122" s="174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3752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4050</v>
      </c>
      <c r="B123" s="221" t="s">
        <v>3713</v>
      </c>
      <c r="C123" s="28" t="s">
        <v>3877</v>
      </c>
      <c r="D123" s="28" t="s">
        <v>4051</v>
      </c>
      <c r="E123" s="6" t="s">
        <v>217</v>
      </c>
      <c r="F123" s="221" t="s">
        <v>3906</v>
      </c>
      <c r="G123" s="221" t="s">
        <v>3715</v>
      </c>
      <c r="H123" s="28" t="s">
        <v>4052</v>
      </c>
      <c r="I123" s="19" t="s">
        <v>4053</v>
      </c>
      <c r="J123" s="28" t="s">
        <v>604</v>
      </c>
      <c r="K123" s="221"/>
      <c r="L123" s="221"/>
      <c r="M123" s="28" t="s">
        <v>604</v>
      </c>
      <c r="N123" s="19" t="s">
        <v>4054</v>
      </c>
      <c r="O123" s="6" t="s">
        <v>604</v>
      </c>
      <c r="P123" s="221" t="s">
        <v>3774</v>
      </c>
      <c r="Q123" s="48" t="n">
        <f aca="false">Spec_Rack!G26</f>
        <v>32</v>
      </c>
      <c r="R123" s="174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3719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4055</v>
      </c>
      <c r="B124" s="221" t="s">
        <v>3713</v>
      </c>
      <c r="C124" s="28" t="s">
        <v>3877</v>
      </c>
      <c r="D124" s="28" t="s">
        <v>4056</v>
      </c>
      <c r="E124" s="6" t="s">
        <v>219</v>
      </c>
      <c r="F124" s="221" t="s">
        <v>315</v>
      </c>
      <c r="G124" s="221" t="s">
        <v>3715</v>
      </c>
      <c r="H124" s="28" t="s">
        <v>4057</v>
      </c>
      <c r="I124" s="19" t="s">
        <v>4058</v>
      </c>
      <c r="J124" s="28" t="s">
        <v>604</v>
      </c>
      <c r="K124" s="221"/>
      <c r="L124" s="221"/>
      <c r="M124" s="28" t="s">
        <v>604</v>
      </c>
      <c r="N124" s="19" t="s">
        <v>3853</v>
      </c>
      <c r="O124" s="6" t="s">
        <v>604</v>
      </c>
      <c r="P124" s="221" t="s">
        <v>3718</v>
      </c>
      <c r="Q124" s="48" t="n">
        <f aca="false">Spec_Rack!C27</f>
        <v>0.05</v>
      </c>
      <c r="R124" s="174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3752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4059</v>
      </c>
      <c r="B125" s="221" t="s">
        <v>3713</v>
      </c>
      <c r="C125" s="28" t="s">
        <v>3877</v>
      </c>
      <c r="D125" s="28" t="s">
        <v>4060</v>
      </c>
      <c r="E125" s="6" t="s">
        <v>219</v>
      </c>
      <c r="F125" s="221" t="s">
        <v>315</v>
      </c>
      <c r="G125" s="221" t="s">
        <v>3715</v>
      </c>
      <c r="H125" s="28" t="s">
        <v>4061</v>
      </c>
      <c r="I125" s="19" t="s">
        <v>3750</v>
      </c>
      <c r="J125" s="28" t="s">
        <v>604</v>
      </c>
      <c r="K125" s="221"/>
      <c r="L125" s="221"/>
      <c r="M125" s="28" t="s">
        <v>604</v>
      </c>
      <c r="N125" s="19" t="s">
        <v>3853</v>
      </c>
      <c r="O125" s="6" t="s">
        <v>604</v>
      </c>
      <c r="P125" s="221" t="s">
        <v>3718</v>
      </c>
      <c r="Q125" s="48" t="n">
        <f aca="false">Spec_Rack!D27</f>
        <v>0.9</v>
      </c>
      <c r="R125" s="174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3752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4062</v>
      </c>
      <c r="B126" s="221" t="s">
        <v>3713</v>
      </c>
      <c r="C126" s="28" t="s">
        <v>3877</v>
      </c>
      <c r="D126" s="28" t="s">
        <v>3873</v>
      </c>
      <c r="E126" s="6" t="s">
        <v>219</v>
      </c>
      <c r="F126" s="221" t="s">
        <v>315</v>
      </c>
      <c r="G126" s="221" t="s">
        <v>3715</v>
      </c>
      <c r="H126" s="28" t="s">
        <v>4061</v>
      </c>
      <c r="I126" s="19" t="s">
        <v>3750</v>
      </c>
      <c r="J126" s="28" t="s">
        <v>604</v>
      </c>
      <c r="K126" s="221"/>
      <c r="L126" s="221"/>
      <c r="M126" s="28" t="s">
        <v>604</v>
      </c>
      <c r="N126" s="19" t="s">
        <v>3853</v>
      </c>
      <c r="O126" s="6" t="s">
        <v>604</v>
      </c>
      <c r="P126" s="221" t="s">
        <v>3718</v>
      </c>
      <c r="Q126" s="48" t="n">
        <f aca="false">Spec_Rack!E27</f>
        <v>0.9</v>
      </c>
      <c r="R126" s="174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3752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4063</v>
      </c>
      <c r="B127" s="221" t="s">
        <v>3713</v>
      </c>
      <c r="C127" s="28" t="s">
        <v>3877</v>
      </c>
      <c r="D127" s="28" t="s">
        <v>4064</v>
      </c>
      <c r="E127" s="6" t="s">
        <v>219</v>
      </c>
      <c r="F127" s="221" t="s">
        <v>315</v>
      </c>
      <c r="G127" s="221" t="s">
        <v>3715</v>
      </c>
      <c r="H127" s="28" t="s">
        <v>4065</v>
      </c>
      <c r="I127" s="19" t="s">
        <v>3750</v>
      </c>
      <c r="J127" s="28" t="s">
        <v>604</v>
      </c>
      <c r="K127" s="221"/>
      <c r="L127" s="221"/>
      <c r="M127" s="28" t="s">
        <v>604</v>
      </c>
      <c r="N127" s="19" t="s">
        <v>3853</v>
      </c>
      <c r="O127" s="6" t="s">
        <v>604</v>
      </c>
      <c r="P127" s="221" t="s">
        <v>3718</v>
      </c>
      <c r="Q127" s="48" t="n">
        <f aca="false">Spec_Rack!F27</f>
        <v>1.8</v>
      </c>
      <c r="R127" s="174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3752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4066</v>
      </c>
      <c r="B128" s="221" t="s">
        <v>3713</v>
      </c>
      <c r="C128" s="28" t="s">
        <v>3877</v>
      </c>
      <c r="D128" s="28" t="s">
        <v>4067</v>
      </c>
      <c r="E128" s="6" t="s">
        <v>219</v>
      </c>
      <c r="F128" s="28" t="s">
        <v>90</v>
      </c>
      <c r="G128" s="221" t="s">
        <v>3715</v>
      </c>
      <c r="H128" s="28" t="s">
        <v>604</v>
      </c>
      <c r="I128" s="6" t="s">
        <v>604</v>
      </c>
      <c r="J128" s="28" t="s">
        <v>604</v>
      </c>
      <c r="K128" s="223" t="n">
        <v>1.8</v>
      </c>
      <c r="L128" s="223" t="n">
        <v>3.6</v>
      </c>
      <c r="M128" s="28" t="s">
        <v>4068</v>
      </c>
      <c r="N128" s="6" t="s">
        <v>4069</v>
      </c>
      <c r="O128" s="6" t="s">
        <v>604</v>
      </c>
      <c r="P128" s="221" t="s">
        <v>3718</v>
      </c>
      <c r="Q128" s="48" t="n">
        <f aca="false">Spec_Rack!G27</f>
        <v>1.8</v>
      </c>
      <c r="R128" s="28" t="s">
        <v>604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3719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4070</v>
      </c>
      <c r="B129" s="221" t="s">
        <v>3713</v>
      </c>
      <c r="C129" s="28" t="s">
        <v>3877</v>
      </c>
      <c r="D129" s="28" t="s">
        <v>4071</v>
      </c>
      <c r="E129" s="6" t="s">
        <v>221</v>
      </c>
      <c r="F129" s="221" t="s">
        <v>315</v>
      </c>
      <c r="G129" s="221" t="s">
        <v>3715</v>
      </c>
      <c r="H129" s="28" t="s">
        <v>4072</v>
      </c>
      <c r="I129" s="19" t="s">
        <v>3750</v>
      </c>
      <c r="J129" s="28" t="s">
        <v>604</v>
      </c>
      <c r="K129" s="221"/>
      <c r="L129" s="221"/>
      <c r="M129" s="28" t="s">
        <v>604</v>
      </c>
      <c r="N129" s="19" t="s">
        <v>3853</v>
      </c>
      <c r="O129" s="6" t="s">
        <v>604</v>
      </c>
      <c r="P129" s="221" t="s">
        <v>1134</v>
      </c>
      <c r="Q129" s="46" t="n">
        <f aca="false">Spec_Rack!C28</f>
        <v>8</v>
      </c>
      <c r="R129" s="174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3752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4073</v>
      </c>
      <c r="B130" s="221" t="s">
        <v>3713</v>
      </c>
      <c r="C130" s="28" t="s">
        <v>3877</v>
      </c>
      <c r="D130" s="28" t="s">
        <v>3802</v>
      </c>
      <c r="E130" s="6" t="s">
        <v>221</v>
      </c>
      <c r="F130" s="221" t="s">
        <v>315</v>
      </c>
      <c r="G130" s="221" t="s">
        <v>3715</v>
      </c>
      <c r="H130" s="28" t="s">
        <v>3883</v>
      </c>
      <c r="I130" s="19" t="s">
        <v>3750</v>
      </c>
      <c r="J130" s="28" t="s">
        <v>604</v>
      </c>
      <c r="K130" s="221"/>
      <c r="L130" s="221"/>
      <c r="M130" s="28" t="s">
        <v>604</v>
      </c>
      <c r="N130" s="19" t="s">
        <v>3853</v>
      </c>
      <c r="O130" s="6" t="s">
        <v>604</v>
      </c>
      <c r="P130" s="221" t="s">
        <v>1134</v>
      </c>
      <c r="Q130" s="46" t="n">
        <f aca="false">Spec_Rack!D28</f>
        <v>72</v>
      </c>
      <c r="R130" s="174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3752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4074</v>
      </c>
      <c r="B131" s="221" t="s">
        <v>3713</v>
      </c>
      <c r="C131" s="28" t="s">
        <v>3877</v>
      </c>
      <c r="D131" s="28" t="s">
        <v>3800</v>
      </c>
      <c r="E131" s="6" t="s">
        <v>221</v>
      </c>
      <c r="F131" s="221" t="s">
        <v>315</v>
      </c>
      <c r="G131" s="221" t="s">
        <v>3715</v>
      </c>
      <c r="H131" s="28" t="s">
        <v>3883</v>
      </c>
      <c r="I131" s="19" t="s">
        <v>3750</v>
      </c>
      <c r="J131" s="28" t="s">
        <v>604</v>
      </c>
      <c r="K131" s="221"/>
      <c r="L131" s="221"/>
      <c r="M131" s="28" t="s">
        <v>604</v>
      </c>
      <c r="N131" s="19" t="s">
        <v>3853</v>
      </c>
      <c r="O131" s="6" t="s">
        <v>604</v>
      </c>
      <c r="P131" s="221" t="s">
        <v>1134</v>
      </c>
      <c r="Q131" s="46" t="n">
        <f aca="false">Spec_Rack!E28</f>
        <v>72</v>
      </c>
      <c r="R131" s="174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3752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4075</v>
      </c>
      <c r="B132" s="221" t="s">
        <v>3713</v>
      </c>
      <c r="C132" s="28" t="s">
        <v>3877</v>
      </c>
      <c r="D132" s="28" t="s">
        <v>3804</v>
      </c>
      <c r="E132" s="6" t="s">
        <v>221</v>
      </c>
      <c r="F132" s="221" t="s">
        <v>315</v>
      </c>
      <c r="G132" s="221" t="s">
        <v>3715</v>
      </c>
      <c r="H132" s="28" t="s">
        <v>3883</v>
      </c>
      <c r="I132" s="19" t="s">
        <v>3750</v>
      </c>
      <c r="J132" s="28" t="s">
        <v>604</v>
      </c>
      <c r="K132" s="221"/>
      <c r="L132" s="221"/>
      <c r="M132" s="28" t="s">
        <v>604</v>
      </c>
      <c r="N132" s="19" t="s">
        <v>3853</v>
      </c>
      <c r="O132" s="6" t="s">
        <v>604</v>
      </c>
      <c r="P132" s="221" t="s">
        <v>1134</v>
      </c>
      <c r="Q132" s="46" t="n">
        <f aca="false">Spec_Rack!F28</f>
        <v>72</v>
      </c>
      <c r="R132" s="174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3752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4076</v>
      </c>
      <c r="B133" s="221" t="s">
        <v>3713</v>
      </c>
      <c r="C133" s="28" t="s">
        <v>3877</v>
      </c>
      <c r="D133" s="28" t="s">
        <v>4077</v>
      </c>
      <c r="E133" s="6" t="s">
        <v>221</v>
      </c>
      <c r="F133" s="221" t="s">
        <v>315</v>
      </c>
      <c r="G133" s="221" t="s">
        <v>3715</v>
      </c>
      <c r="H133" s="28" t="s">
        <v>4078</v>
      </c>
      <c r="I133" s="19" t="s">
        <v>3750</v>
      </c>
      <c r="J133" s="28" t="s">
        <v>604</v>
      </c>
      <c r="K133" s="221" t="n">
        <v>72</v>
      </c>
      <c r="L133" s="221" t="n">
        <v>576</v>
      </c>
      <c r="M133" s="221" t="s">
        <v>4079</v>
      </c>
      <c r="N133" s="19" t="s">
        <v>3853</v>
      </c>
      <c r="O133" s="6" t="s">
        <v>604</v>
      </c>
      <c r="P133" s="221" t="s">
        <v>1134</v>
      </c>
      <c r="Q133" s="46" t="n">
        <f aca="false">Spec_Rack!G28</f>
        <v>576</v>
      </c>
      <c r="R133" s="174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3752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4080</v>
      </c>
      <c r="B134" s="221" t="s">
        <v>3713</v>
      </c>
      <c r="C134" s="28" t="s">
        <v>3877</v>
      </c>
      <c r="D134" s="28" t="s">
        <v>4081</v>
      </c>
      <c r="E134" s="6" t="s">
        <v>222</v>
      </c>
      <c r="F134" s="28" t="s">
        <v>94</v>
      </c>
      <c r="G134" s="221" t="s">
        <v>3715</v>
      </c>
      <c r="H134" s="28" t="s">
        <v>4082</v>
      </c>
      <c r="I134" s="19" t="s">
        <v>4083</v>
      </c>
      <c r="J134" s="28" t="s">
        <v>604</v>
      </c>
      <c r="K134" s="223" t="n">
        <v>32</v>
      </c>
      <c r="L134" s="223" t="n">
        <v>144</v>
      </c>
      <c r="M134" s="28" t="s">
        <v>4084</v>
      </c>
      <c r="N134" s="6" t="s">
        <v>4085</v>
      </c>
      <c r="O134" s="6" t="s">
        <v>604</v>
      </c>
      <c r="P134" s="221" t="s">
        <v>3774</v>
      </c>
      <c r="Q134" s="46" t="n">
        <f aca="false">Spec_Rack!C29</f>
        <v>64</v>
      </c>
      <c r="R134" s="174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3719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4086</v>
      </c>
      <c r="B135" s="221" t="s">
        <v>3713</v>
      </c>
      <c r="C135" s="28" t="s">
        <v>3877</v>
      </c>
      <c r="D135" s="28" t="s">
        <v>4087</v>
      </c>
      <c r="E135" s="6" t="s">
        <v>222</v>
      </c>
      <c r="F135" s="28" t="s">
        <v>94</v>
      </c>
      <c r="G135" s="221" t="s">
        <v>3715</v>
      </c>
      <c r="H135" s="28" t="s">
        <v>4088</v>
      </c>
      <c r="I135" s="19" t="s">
        <v>4089</v>
      </c>
      <c r="J135" s="28" t="s">
        <v>604</v>
      </c>
      <c r="K135" s="223" t="n">
        <v>16</v>
      </c>
      <c r="L135" s="223" t="n">
        <v>72</v>
      </c>
      <c r="M135" s="28" t="s">
        <v>4090</v>
      </c>
      <c r="N135" s="6" t="s">
        <v>4091</v>
      </c>
      <c r="O135" s="6" t="s">
        <v>604</v>
      </c>
      <c r="P135" s="221" t="s">
        <v>3774</v>
      </c>
      <c r="Q135" s="46" t="n">
        <f aca="false">Spec_Rack!D29</f>
        <v>32</v>
      </c>
      <c r="R135" s="174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3719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4092</v>
      </c>
      <c r="B136" s="221" t="s">
        <v>3713</v>
      </c>
      <c r="C136" s="28" t="s">
        <v>3877</v>
      </c>
      <c r="D136" s="28" t="s">
        <v>4093</v>
      </c>
      <c r="E136" s="6" t="s">
        <v>222</v>
      </c>
      <c r="F136" s="221" t="s">
        <v>315</v>
      </c>
      <c r="G136" s="221" t="s">
        <v>3715</v>
      </c>
      <c r="H136" s="28" t="s">
        <v>4088</v>
      </c>
      <c r="I136" s="19" t="s">
        <v>3750</v>
      </c>
      <c r="J136" s="28" t="s">
        <v>604</v>
      </c>
      <c r="K136" s="221"/>
      <c r="L136" s="221"/>
      <c r="M136" s="28" t="s">
        <v>604</v>
      </c>
      <c r="N136" s="19" t="s">
        <v>3942</v>
      </c>
      <c r="O136" s="6" t="s">
        <v>604</v>
      </c>
      <c r="P136" s="221" t="s">
        <v>3774</v>
      </c>
      <c r="Q136" s="46" t="n">
        <f aca="false">Spec_Rack!E29</f>
        <v>32</v>
      </c>
      <c r="R136" s="174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3752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4094</v>
      </c>
      <c r="B137" s="221" t="s">
        <v>3713</v>
      </c>
      <c r="C137" s="28" t="s">
        <v>3877</v>
      </c>
      <c r="D137" s="28" t="s">
        <v>4095</v>
      </c>
      <c r="E137" s="6" t="s">
        <v>222</v>
      </c>
      <c r="F137" s="28" t="s">
        <v>94</v>
      </c>
      <c r="G137" s="221" t="s">
        <v>3715</v>
      </c>
      <c r="H137" s="28" t="s">
        <v>4088</v>
      </c>
      <c r="I137" s="19" t="s">
        <v>4089</v>
      </c>
      <c r="J137" s="28" t="s">
        <v>604</v>
      </c>
      <c r="K137" s="223" t="n">
        <v>16</v>
      </c>
      <c r="L137" s="223" t="n">
        <v>72</v>
      </c>
      <c r="M137" s="28" t="s">
        <v>4090</v>
      </c>
      <c r="N137" s="6" t="s">
        <v>4091</v>
      </c>
      <c r="O137" s="6" t="s">
        <v>604</v>
      </c>
      <c r="P137" s="221" t="s">
        <v>3774</v>
      </c>
      <c r="Q137" s="46" t="n">
        <f aca="false">Spec_Rack!F29</f>
        <v>32</v>
      </c>
      <c r="R137" s="174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3719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4096</v>
      </c>
      <c r="B138" s="221" t="s">
        <v>3713</v>
      </c>
      <c r="C138" s="28" t="s">
        <v>3877</v>
      </c>
      <c r="D138" s="28" t="s">
        <v>4097</v>
      </c>
      <c r="E138" s="6" t="s">
        <v>222</v>
      </c>
      <c r="F138" s="28" t="s">
        <v>90</v>
      </c>
      <c r="G138" s="221" t="s">
        <v>3715</v>
      </c>
      <c r="H138" s="28" t="s">
        <v>604</v>
      </c>
      <c r="I138" s="6" t="s">
        <v>604</v>
      </c>
      <c r="J138" s="28" t="s">
        <v>604</v>
      </c>
      <c r="K138" s="223" t="n">
        <v>32</v>
      </c>
      <c r="L138" s="223" t="n">
        <v>144</v>
      </c>
      <c r="M138" s="28" t="s">
        <v>4084</v>
      </c>
      <c r="N138" s="6" t="s">
        <v>4038</v>
      </c>
      <c r="O138" s="6" t="s">
        <v>604</v>
      </c>
      <c r="P138" s="221" t="s">
        <v>3774</v>
      </c>
      <c r="Q138" s="46" t="n">
        <f aca="false">Spec_Rack!G29</f>
        <v>64</v>
      </c>
      <c r="R138" s="28" t="s">
        <v>604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3719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4098</v>
      </c>
      <c r="B139" s="221" t="s">
        <v>3713</v>
      </c>
      <c r="C139" s="28" t="s">
        <v>3877</v>
      </c>
      <c r="D139" s="28" t="s">
        <v>4099</v>
      </c>
      <c r="E139" s="19" t="s">
        <v>4100</v>
      </c>
      <c r="F139" s="221" t="s">
        <v>315</v>
      </c>
      <c r="G139" s="221" t="s">
        <v>3715</v>
      </c>
      <c r="H139" s="28" t="s">
        <v>4101</v>
      </c>
      <c r="I139" s="19" t="s">
        <v>3750</v>
      </c>
      <c r="J139" s="28" t="s">
        <v>604</v>
      </c>
      <c r="K139" s="221"/>
      <c r="L139" s="221"/>
      <c r="M139" s="28" t="s">
        <v>604</v>
      </c>
      <c r="N139" s="19" t="s">
        <v>3942</v>
      </c>
      <c r="O139" s="6" t="s">
        <v>604</v>
      </c>
      <c r="P139" s="221" t="s">
        <v>3774</v>
      </c>
      <c r="Q139" s="50" t="n">
        <f aca="false">Spec_Rack!C30</f>
        <v>1</v>
      </c>
      <c r="R139" s="174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3752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4102</v>
      </c>
      <c r="B140" s="221" t="s">
        <v>3713</v>
      </c>
      <c r="C140" s="28" t="s">
        <v>3877</v>
      </c>
      <c r="D140" s="28" t="s">
        <v>3813</v>
      </c>
      <c r="E140" s="19" t="s">
        <v>4100</v>
      </c>
      <c r="F140" s="221" t="s">
        <v>315</v>
      </c>
      <c r="G140" s="221" t="s">
        <v>3715</v>
      </c>
      <c r="H140" s="28" t="s">
        <v>4103</v>
      </c>
      <c r="I140" s="19" t="s">
        <v>3750</v>
      </c>
      <c r="J140" s="28" t="s">
        <v>604</v>
      </c>
      <c r="K140" s="221"/>
      <c r="L140" s="221"/>
      <c r="M140" s="28" t="s">
        <v>604</v>
      </c>
      <c r="N140" s="19" t="s">
        <v>3942</v>
      </c>
      <c r="O140" s="6" t="s">
        <v>604</v>
      </c>
      <c r="P140" s="221" t="s">
        <v>3774</v>
      </c>
      <c r="Q140" s="50" t="n">
        <f aca="false">Spec_Rack!D30</f>
        <v>0.5625</v>
      </c>
      <c r="R140" s="174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3752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4104</v>
      </c>
      <c r="B141" s="221" t="s">
        <v>3713</v>
      </c>
      <c r="C141" s="28" t="s">
        <v>3877</v>
      </c>
      <c r="D141" s="28" t="s">
        <v>3806</v>
      </c>
      <c r="E141" s="19" t="s">
        <v>4100</v>
      </c>
      <c r="F141" s="221" t="s">
        <v>315</v>
      </c>
      <c r="G141" s="221" t="s">
        <v>3715</v>
      </c>
      <c r="H141" s="28" t="s">
        <v>4103</v>
      </c>
      <c r="I141" s="19" t="s">
        <v>3750</v>
      </c>
      <c r="J141" s="28" t="s">
        <v>604</v>
      </c>
      <c r="K141" s="221"/>
      <c r="L141" s="221"/>
      <c r="M141" s="28" t="s">
        <v>604</v>
      </c>
      <c r="N141" s="19" t="s">
        <v>3942</v>
      </c>
      <c r="O141" s="6" t="s">
        <v>604</v>
      </c>
      <c r="P141" s="221" t="s">
        <v>3774</v>
      </c>
      <c r="Q141" s="50" t="n">
        <f aca="false">Spec_Rack!E30</f>
        <v>0.5625</v>
      </c>
      <c r="R141" s="174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3752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4105</v>
      </c>
      <c r="B142" s="221" t="s">
        <v>3713</v>
      </c>
      <c r="C142" s="28" t="s">
        <v>3877</v>
      </c>
      <c r="D142" s="28" t="s">
        <v>3816</v>
      </c>
      <c r="E142" s="19" t="s">
        <v>4100</v>
      </c>
      <c r="F142" s="221" t="s">
        <v>315</v>
      </c>
      <c r="G142" s="221" t="s">
        <v>3715</v>
      </c>
      <c r="H142" s="28" t="s">
        <v>4103</v>
      </c>
      <c r="I142" s="19" t="s">
        <v>3750</v>
      </c>
      <c r="J142" s="28" t="s">
        <v>604</v>
      </c>
      <c r="K142" s="221"/>
      <c r="L142" s="221"/>
      <c r="M142" s="28" t="s">
        <v>604</v>
      </c>
      <c r="N142" s="19" t="s">
        <v>3942</v>
      </c>
      <c r="O142" s="6" t="s">
        <v>604</v>
      </c>
      <c r="P142" s="221" t="s">
        <v>3774</v>
      </c>
      <c r="Q142" s="50" t="n">
        <f aca="false">Spec_Rack!F30</f>
        <v>0.5625</v>
      </c>
      <c r="R142" s="174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3752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4106</v>
      </c>
      <c r="B143" s="221" t="s">
        <v>3713</v>
      </c>
      <c r="C143" s="28" t="s">
        <v>3877</v>
      </c>
      <c r="D143" s="28" t="s">
        <v>4107</v>
      </c>
      <c r="E143" s="19" t="s">
        <v>4100</v>
      </c>
      <c r="F143" s="221" t="s">
        <v>315</v>
      </c>
      <c r="G143" s="221" t="s">
        <v>3715</v>
      </c>
      <c r="H143" s="28" t="s">
        <v>4103</v>
      </c>
      <c r="I143" s="19" t="s">
        <v>3750</v>
      </c>
      <c r="J143" s="28" t="s">
        <v>604</v>
      </c>
      <c r="K143" s="221"/>
      <c r="L143" s="221"/>
      <c r="M143" s="28" t="s">
        <v>604</v>
      </c>
      <c r="N143" s="19" t="s">
        <v>3942</v>
      </c>
      <c r="O143" s="6" t="s">
        <v>604</v>
      </c>
      <c r="P143" s="221" t="s">
        <v>3774</v>
      </c>
      <c r="Q143" s="50" t="n">
        <f aca="false">Spec_Rack!G30</f>
        <v>0.5625</v>
      </c>
      <c r="R143" s="174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3752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4108</v>
      </c>
      <c r="B144" s="221" t="s">
        <v>3713</v>
      </c>
      <c r="C144" s="28" t="s">
        <v>3877</v>
      </c>
      <c r="D144" s="28" t="s">
        <v>4109</v>
      </c>
      <c r="E144" s="19" t="s">
        <v>4110</v>
      </c>
      <c r="F144" s="28" t="s">
        <v>90</v>
      </c>
      <c r="G144" s="221" t="s">
        <v>3715</v>
      </c>
      <c r="H144" s="28" t="s">
        <v>604</v>
      </c>
      <c r="I144" s="6" t="s">
        <v>604</v>
      </c>
      <c r="J144" s="28" t="s">
        <v>604</v>
      </c>
      <c r="K144" s="223" t="n">
        <v>1</v>
      </c>
      <c r="L144" s="223" t="n">
        <v>2</v>
      </c>
      <c r="M144" s="28" t="s">
        <v>4111</v>
      </c>
      <c r="N144" s="19" t="s">
        <v>4112</v>
      </c>
      <c r="O144" s="6" t="s">
        <v>4113</v>
      </c>
      <c r="P144" s="221" t="s">
        <v>3774</v>
      </c>
      <c r="Q144" s="182" t="n">
        <f aca="false">Spec_Rack!C31</f>
        <v>1</v>
      </c>
      <c r="R144" s="28" t="s">
        <v>604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3719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4114</v>
      </c>
      <c r="B145" s="221" t="s">
        <v>3713</v>
      </c>
      <c r="C145" s="28" t="s">
        <v>3877</v>
      </c>
      <c r="D145" s="28" t="s">
        <v>3822</v>
      </c>
      <c r="E145" s="19" t="s">
        <v>4110</v>
      </c>
      <c r="F145" s="28" t="s">
        <v>90</v>
      </c>
      <c r="G145" s="221" t="s">
        <v>3715</v>
      </c>
      <c r="H145" s="28" t="s">
        <v>604</v>
      </c>
      <c r="I145" s="6" t="s">
        <v>604</v>
      </c>
      <c r="J145" s="28" t="s">
        <v>604</v>
      </c>
      <c r="K145" s="223" t="n">
        <v>1</v>
      </c>
      <c r="L145" s="223" t="n">
        <v>2</v>
      </c>
      <c r="M145" s="28" t="s">
        <v>4111</v>
      </c>
      <c r="N145" s="19" t="s">
        <v>4112</v>
      </c>
      <c r="O145" s="6" t="s">
        <v>4113</v>
      </c>
      <c r="P145" s="221" t="s">
        <v>3774</v>
      </c>
      <c r="Q145" s="182" t="n">
        <f aca="false">Spec_Rack!D31</f>
        <v>1</v>
      </c>
      <c r="R145" s="28" t="s">
        <v>604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3719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4115</v>
      </c>
      <c r="B146" s="221" t="s">
        <v>3713</v>
      </c>
      <c r="C146" s="28" t="s">
        <v>3877</v>
      </c>
      <c r="D146" s="28" t="s">
        <v>3819</v>
      </c>
      <c r="E146" s="19" t="s">
        <v>4110</v>
      </c>
      <c r="F146" s="28" t="s">
        <v>90</v>
      </c>
      <c r="G146" s="221" t="s">
        <v>3715</v>
      </c>
      <c r="H146" s="28" t="s">
        <v>604</v>
      </c>
      <c r="I146" s="6" t="s">
        <v>604</v>
      </c>
      <c r="J146" s="28" t="s">
        <v>604</v>
      </c>
      <c r="K146" s="223" t="n">
        <v>1</v>
      </c>
      <c r="L146" s="223" t="n">
        <v>2</v>
      </c>
      <c r="M146" s="28" t="s">
        <v>4111</v>
      </c>
      <c r="N146" s="19" t="s">
        <v>4112</v>
      </c>
      <c r="O146" s="6" t="s">
        <v>4113</v>
      </c>
      <c r="P146" s="221" t="s">
        <v>3774</v>
      </c>
      <c r="Q146" s="182" t="n">
        <f aca="false">Spec_Rack!E31</f>
        <v>1</v>
      </c>
      <c r="R146" s="28" t="s">
        <v>604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3719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4116</v>
      </c>
      <c r="B147" s="221" t="s">
        <v>3713</v>
      </c>
      <c r="C147" s="28" t="s">
        <v>3877</v>
      </c>
      <c r="D147" s="28" t="s">
        <v>3824</v>
      </c>
      <c r="E147" s="19" t="s">
        <v>4110</v>
      </c>
      <c r="F147" s="28" t="s">
        <v>90</v>
      </c>
      <c r="G147" s="221" t="s">
        <v>3715</v>
      </c>
      <c r="H147" s="28" t="s">
        <v>604</v>
      </c>
      <c r="I147" s="6" t="s">
        <v>604</v>
      </c>
      <c r="J147" s="28" t="s">
        <v>604</v>
      </c>
      <c r="K147" s="223" t="n">
        <v>1</v>
      </c>
      <c r="L147" s="223" t="n">
        <v>2</v>
      </c>
      <c r="M147" s="28" t="s">
        <v>4111</v>
      </c>
      <c r="N147" s="19" t="s">
        <v>4112</v>
      </c>
      <c r="O147" s="6" t="s">
        <v>4113</v>
      </c>
      <c r="P147" s="221" t="s">
        <v>3774</v>
      </c>
      <c r="Q147" s="182" t="n">
        <f aca="false">Spec_Rack!F31</f>
        <v>1</v>
      </c>
      <c r="R147" s="28" t="s">
        <v>604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3719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4117</v>
      </c>
      <c r="B148" s="221" t="s">
        <v>3713</v>
      </c>
      <c r="C148" s="28" t="s">
        <v>3877</v>
      </c>
      <c r="D148" s="28" t="s">
        <v>4118</v>
      </c>
      <c r="E148" s="19" t="s">
        <v>4110</v>
      </c>
      <c r="F148" s="28" t="s">
        <v>90</v>
      </c>
      <c r="G148" s="221" t="s">
        <v>3715</v>
      </c>
      <c r="H148" s="28" t="s">
        <v>604</v>
      </c>
      <c r="I148" s="6" t="s">
        <v>604</v>
      </c>
      <c r="J148" s="28" t="s">
        <v>604</v>
      </c>
      <c r="K148" s="223" t="n">
        <v>1</v>
      </c>
      <c r="L148" s="223" t="n">
        <v>2</v>
      </c>
      <c r="M148" s="28" t="s">
        <v>4111</v>
      </c>
      <c r="N148" s="19" t="s">
        <v>4112</v>
      </c>
      <c r="O148" s="6" t="s">
        <v>4113</v>
      </c>
      <c r="P148" s="221" t="s">
        <v>3774</v>
      </c>
      <c r="Q148" s="182" t="n">
        <f aca="false">Spec_Rack!G31</f>
        <v>1</v>
      </c>
      <c r="R148" s="28" t="s">
        <v>604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3719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4119</v>
      </c>
      <c r="B149" s="221" t="s">
        <v>3713</v>
      </c>
      <c r="C149" s="28" t="s">
        <v>3877</v>
      </c>
      <c r="D149" s="28" t="s">
        <v>4120</v>
      </c>
      <c r="E149" s="19" t="s">
        <v>4121</v>
      </c>
      <c r="F149" s="28" t="s">
        <v>90</v>
      </c>
      <c r="G149" s="221" t="s">
        <v>3715</v>
      </c>
      <c r="H149" s="28" t="s">
        <v>604</v>
      </c>
      <c r="I149" s="6" t="s">
        <v>604</v>
      </c>
      <c r="J149" s="28" t="s">
        <v>604</v>
      </c>
      <c r="K149" s="223" t="n">
        <v>4</v>
      </c>
      <c r="L149" s="223" t="n">
        <v>16</v>
      </c>
      <c r="M149" s="28" t="s">
        <v>4122</v>
      </c>
      <c r="N149" s="6" t="s">
        <v>4123</v>
      </c>
      <c r="O149" s="6" t="s">
        <v>604</v>
      </c>
      <c r="P149" s="221" t="s">
        <v>3718</v>
      </c>
      <c r="Q149" s="46" t="n">
        <f aca="false">Spec_Rack!C32</f>
        <v>8</v>
      </c>
      <c r="R149" s="28" t="s">
        <v>604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3719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4124</v>
      </c>
      <c r="B150" s="221" t="s">
        <v>3713</v>
      </c>
      <c r="C150" s="28" t="s">
        <v>3877</v>
      </c>
      <c r="D150" s="28" t="s">
        <v>3828</v>
      </c>
      <c r="E150" s="19" t="s">
        <v>4121</v>
      </c>
      <c r="F150" s="28" t="s">
        <v>94</v>
      </c>
      <c r="G150" s="221" t="s">
        <v>3715</v>
      </c>
      <c r="H150" s="28" t="s">
        <v>4125</v>
      </c>
      <c r="I150" s="19" t="s">
        <v>4126</v>
      </c>
      <c r="J150" s="28" t="s">
        <v>604</v>
      </c>
      <c r="K150" s="223" t="n">
        <v>2</v>
      </c>
      <c r="L150" s="223" t="n">
        <v>8</v>
      </c>
      <c r="M150" s="28" t="s">
        <v>4127</v>
      </c>
      <c r="N150" s="6" t="s">
        <v>4128</v>
      </c>
      <c r="O150" s="6" t="s">
        <v>604</v>
      </c>
      <c r="P150" s="221" t="s">
        <v>3718</v>
      </c>
      <c r="Q150" s="46" t="n">
        <f aca="false">Spec_Rack!D32</f>
        <v>4</v>
      </c>
      <c r="R150" s="174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3719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4129</v>
      </c>
      <c r="B151" s="221" t="s">
        <v>3713</v>
      </c>
      <c r="C151" s="28" t="s">
        <v>3877</v>
      </c>
      <c r="D151" s="28" t="s">
        <v>3826</v>
      </c>
      <c r="E151" s="19" t="s">
        <v>4121</v>
      </c>
      <c r="F151" s="221" t="s">
        <v>315</v>
      </c>
      <c r="G151" s="221" t="s">
        <v>3715</v>
      </c>
      <c r="H151" s="28" t="s">
        <v>4125</v>
      </c>
      <c r="I151" s="19" t="s">
        <v>3750</v>
      </c>
      <c r="J151" s="28" t="s">
        <v>604</v>
      </c>
      <c r="K151" s="221"/>
      <c r="L151" s="221"/>
      <c r="M151" s="28" t="s">
        <v>604</v>
      </c>
      <c r="N151" s="19" t="s">
        <v>3853</v>
      </c>
      <c r="O151" s="6" t="s">
        <v>604</v>
      </c>
      <c r="P151" s="221" t="s">
        <v>3718</v>
      </c>
      <c r="Q151" s="46" t="n">
        <f aca="false">Spec_Rack!E32</f>
        <v>4</v>
      </c>
      <c r="R151" s="174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3752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4130</v>
      </c>
      <c r="B152" s="221" t="s">
        <v>3713</v>
      </c>
      <c r="C152" s="28" t="s">
        <v>3877</v>
      </c>
      <c r="D152" s="28" t="s">
        <v>3830</v>
      </c>
      <c r="E152" s="19" t="s">
        <v>4121</v>
      </c>
      <c r="F152" s="28" t="s">
        <v>94</v>
      </c>
      <c r="G152" s="221" t="s">
        <v>3715</v>
      </c>
      <c r="H152" s="28" t="s">
        <v>4125</v>
      </c>
      <c r="I152" s="19" t="s">
        <v>4126</v>
      </c>
      <c r="J152" s="28" t="s">
        <v>604</v>
      </c>
      <c r="K152" s="223" t="n">
        <v>2</v>
      </c>
      <c r="L152" s="223" t="n">
        <v>8</v>
      </c>
      <c r="M152" s="28" t="s">
        <v>4127</v>
      </c>
      <c r="N152" s="6" t="s">
        <v>4128</v>
      </c>
      <c r="O152" s="6" t="s">
        <v>604</v>
      </c>
      <c r="P152" s="221" t="s">
        <v>3718</v>
      </c>
      <c r="Q152" s="46" t="n">
        <f aca="false">Spec_Rack!F32</f>
        <v>4</v>
      </c>
      <c r="R152" s="174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3719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4131</v>
      </c>
      <c r="B153" s="221" t="s">
        <v>3713</v>
      </c>
      <c r="C153" s="28" t="s">
        <v>3877</v>
      </c>
      <c r="D153" s="28" t="s">
        <v>4132</v>
      </c>
      <c r="E153" s="19" t="s">
        <v>4121</v>
      </c>
      <c r="F153" s="28" t="s">
        <v>90</v>
      </c>
      <c r="G153" s="221" t="s">
        <v>3715</v>
      </c>
      <c r="H153" s="28" t="s">
        <v>604</v>
      </c>
      <c r="I153" s="6" t="s">
        <v>604</v>
      </c>
      <c r="J153" s="28" t="s">
        <v>604</v>
      </c>
      <c r="K153" s="223" t="n">
        <v>4</v>
      </c>
      <c r="L153" s="223" t="n">
        <v>16</v>
      </c>
      <c r="M153" s="28" t="s">
        <v>4122</v>
      </c>
      <c r="N153" s="6" t="s">
        <v>4133</v>
      </c>
      <c r="O153" s="6" t="s">
        <v>604</v>
      </c>
      <c r="P153" s="221" t="s">
        <v>3718</v>
      </c>
      <c r="Q153" s="46" t="n">
        <f aca="false">Spec_Rack!G32</f>
        <v>8</v>
      </c>
      <c r="R153" s="28" t="s">
        <v>604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3719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4134</v>
      </c>
      <c r="B154" s="221" t="s">
        <v>3713</v>
      </c>
      <c r="C154" s="28" t="s">
        <v>3877</v>
      </c>
      <c r="D154" s="28" t="s">
        <v>4135</v>
      </c>
      <c r="E154" s="6" t="s">
        <v>230</v>
      </c>
      <c r="F154" s="221" t="s">
        <v>315</v>
      </c>
      <c r="G154" s="221" t="s">
        <v>3715</v>
      </c>
      <c r="H154" s="28" t="s">
        <v>4136</v>
      </c>
      <c r="I154" s="19" t="s">
        <v>3750</v>
      </c>
      <c r="J154" s="28" t="s">
        <v>604</v>
      </c>
      <c r="K154" s="221"/>
      <c r="L154" s="221"/>
      <c r="M154" s="28" t="s">
        <v>604</v>
      </c>
      <c r="N154" s="19" t="s">
        <v>3853</v>
      </c>
      <c r="O154" s="6" t="s">
        <v>604</v>
      </c>
      <c r="P154" s="221" t="s">
        <v>3718</v>
      </c>
      <c r="Q154" s="46" t="n">
        <f aca="false">Spec_Rack!C33</f>
        <v>700</v>
      </c>
      <c r="R154" s="174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3752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4137</v>
      </c>
      <c r="B155" s="221" t="s">
        <v>3713</v>
      </c>
      <c r="C155" s="28" t="s">
        <v>3877</v>
      </c>
      <c r="D155" s="28" t="s">
        <v>3834</v>
      </c>
      <c r="E155" s="6" t="s">
        <v>230</v>
      </c>
      <c r="F155" s="221" t="s">
        <v>315</v>
      </c>
      <c r="G155" s="221" t="s">
        <v>3715</v>
      </c>
      <c r="H155" s="28" t="s">
        <v>4138</v>
      </c>
      <c r="I155" s="19" t="s">
        <v>3750</v>
      </c>
      <c r="J155" s="28" t="s">
        <v>604</v>
      </c>
      <c r="K155" s="221"/>
      <c r="L155" s="221"/>
      <c r="M155" s="28" t="s">
        <v>604</v>
      </c>
      <c r="N155" s="19" t="s">
        <v>3853</v>
      </c>
      <c r="O155" s="6" t="s">
        <v>604</v>
      </c>
      <c r="P155" s="221" t="s">
        <v>3718</v>
      </c>
      <c r="Q155" s="46" t="n">
        <f aca="false">Spec_Rack!D33</f>
        <v>1200</v>
      </c>
      <c r="R155" s="174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3752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4139</v>
      </c>
      <c r="B156" s="221" t="s">
        <v>3713</v>
      </c>
      <c r="C156" s="28" t="s">
        <v>3877</v>
      </c>
      <c r="D156" s="28" t="s">
        <v>3832</v>
      </c>
      <c r="E156" s="6" t="s">
        <v>230</v>
      </c>
      <c r="F156" s="221" t="s">
        <v>315</v>
      </c>
      <c r="G156" s="221" t="s">
        <v>3715</v>
      </c>
      <c r="H156" s="28" t="s">
        <v>4140</v>
      </c>
      <c r="I156" s="19" t="s">
        <v>3750</v>
      </c>
      <c r="J156" s="28" t="s">
        <v>604</v>
      </c>
      <c r="K156" s="221"/>
      <c r="L156" s="221"/>
      <c r="M156" s="28" t="s">
        <v>604</v>
      </c>
      <c r="N156" s="19" t="s">
        <v>3853</v>
      </c>
      <c r="O156" s="6" t="s">
        <v>604</v>
      </c>
      <c r="P156" s="221" t="s">
        <v>3718</v>
      </c>
      <c r="Q156" s="46" t="n">
        <f aca="false">Spec_Rack!E33</f>
        <v>1400</v>
      </c>
      <c r="R156" s="174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3752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4141</v>
      </c>
      <c r="B157" s="221" t="s">
        <v>3713</v>
      </c>
      <c r="C157" s="28" t="s">
        <v>3877</v>
      </c>
      <c r="D157" s="28" t="s">
        <v>3836</v>
      </c>
      <c r="E157" s="6" t="s">
        <v>230</v>
      </c>
      <c r="F157" s="221" t="s">
        <v>315</v>
      </c>
      <c r="G157" s="221" t="s">
        <v>3715</v>
      </c>
      <c r="H157" s="28" t="s">
        <v>4142</v>
      </c>
      <c r="I157" s="19" t="s">
        <v>4058</v>
      </c>
      <c r="J157" s="28" t="s">
        <v>604</v>
      </c>
      <c r="K157" s="221"/>
      <c r="L157" s="221"/>
      <c r="M157" s="28" t="s">
        <v>604</v>
      </c>
      <c r="N157" s="19" t="s">
        <v>3853</v>
      </c>
      <c r="O157" s="6" t="s">
        <v>604</v>
      </c>
      <c r="P157" s="221" t="s">
        <v>3718</v>
      </c>
      <c r="Q157" s="46" t="n">
        <f aca="false">Spec_Rack!F33</f>
        <v>1800</v>
      </c>
      <c r="R157" s="174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3752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4143</v>
      </c>
      <c r="B158" s="221" t="s">
        <v>3713</v>
      </c>
      <c r="C158" s="28" t="s">
        <v>3877</v>
      </c>
      <c r="D158" s="28" t="s">
        <v>4144</v>
      </c>
      <c r="E158" s="6" t="s">
        <v>230</v>
      </c>
      <c r="F158" s="28" t="s">
        <v>90</v>
      </c>
      <c r="G158" s="221" t="s">
        <v>75</v>
      </c>
      <c r="H158" s="28" t="s">
        <v>604</v>
      </c>
      <c r="I158" s="6" t="s">
        <v>604</v>
      </c>
      <c r="J158" s="28" t="s">
        <v>604</v>
      </c>
      <c r="K158" s="174" t="n">
        <f aca="false">Spec_Rack!G33*0.7</f>
        <v>2520</v>
      </c>
      <c r="L158" s="174" t="n">
        <f aca="false">Spec_Rack!G33*1.3</f>
        <v>4680</v>
      </c>
      <c r="M158" s="28" t="s">
        <v>4005</v>
      </c>
      <c r="N158" s="6" t="s">
        <v>4133</v>
      </c>
      <c r="O158" s="6" t="s">
        <v>604</v>
      </c>
      <c r="P158" s="221" t="s">
        <v>3718</v>
      </c>
      <c r="Q158" s="46" t="n">
        <f aca="false">Spec_Rack!G33</f>
        <v>3600</v>
      </c>
      <c r="R158" s="28" t="s">
        <v>604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3719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4145</v>
      </c>
      <c r="B159" s="221" t="s">
        <v>3713</v>
      </c>
      <c r="C159" s="28" t="s">
        <v>3877</v>
      </c>
      <c r="D159" s="28" t="s">
        <v>4146</v>
      </c>
      <c r="E159" s="6" t="s">
        <v>232</v>
      </c>
      <c r="F159" s="28" t="s">
        <v>94</v>
      </c>
      <c r="G159" s="221" t="s">
        <v>3715</v>
      </c>
      <c r="H159" s="28" t="s">
        <v>4147</v>
      </c>
      <c r="I159" s="19" t="s">
        <v>4148</v>
      </c>
      <c r="J159" s="28" t="s">
        <v>604</v>
      </c>
      <c r="K159" s="174" t="n">
        <f aca="false">Spec_Rack!C34*0.7</f>
        <v>21.7</v>
      </c>
      <c r="L159" s="174" t="n">
        <f aca="false">Spec_Rack!C34*1.3</f>
        <v>40.3</v>
      </c>
      <c r="M159" s="28" t="s">
        <v>4149</v>
      </c>
      <c r="N159" s="222" t="str">
        <f aca="false">Spec_Rack!$H$34</f>
        <v>Analogy：HBM3 約 3.9 pJ/bit、HBM3e 約 3、HBM4 約 2.5；區間 ±30%（S29）</v>
      </c>
      <c r="O159" s="6" t="s">
        <v>604</v>
      </c>
      <c r="P159" s="221" t="s">
        <v>3718</v>
      </c>
      <c r="Q159" s="46" t="n">
        <f aca="false">Spec_Rack!C34</f>
        <v>31</v>
      </c>
      <c r="R159" s="174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3719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4150</v>
      </c>
      <c r="B160" s="221" t="s">
        <v>3713</v>
      </c>
      <c r="C160" s="28" t="s">
        <v>3877</v>
      </c>
      <c r="D160" s="28" t="s">
        <v>3840</v>
      </c>
      <c r="E160" s="6" t="s">
        <v>232</v>
      </c>
      <c r="F160" s="28" t="s">
        <v>94</v>
      </c>
      <c r="G160" s="221" t="s">
        <v>3715</v>
      </c>
      <c r="H160" s="28" t="s">
        <v>4151</v>
      </c>
      <c r="I160" s="19" t="s">
        <v>4148</v>
      </c>
      <c r="J160" s="28" t="s">
        <v>604</v>
      </c>
      <c r="K160" s="174" t="n">
        <f aca="false">Spec_Rack!D34*0.7</f>
        <v>17.5</v>
      </c>
      <c r="L160" s="174" t="n">
        <f aca="false">Spec_Rack!D34*1.3</f>
        <v>32.5</v>
      </c>
      <c r="M160" s="28" t="s">
        <v>4149</v>
      </c>
      <c r="N160" s="222" t="str">
        <f aca="false">Spec_Rack!$H$34</f>
        <v>Analogy：HBM3 約 3.9 pJ/bit、HBM3e 約 3、HBM4 約 2.5；區間 ±30%（S29）</v>
      </c>
      <c r="O160" s="6" t="s">
        <v>604</v>
      </c>
      <c r="P160" s="221" t="s">
        <v>3718</v>
      </c>
      <c r="Q160" s="46" t="n">
        <f aca="false">Spec_Rack!D34</f>
        <v>25</v>
      </c>
      <c r="R160" s="174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3719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4152</v>
      </c>
      <c r="B161" s="221" t="s">
        <v>3713</v>
      </c>
      <c r="C161" s="28" t="s">
        <v>3877</v>
      </c>
      <c r="D161" s="28" t="s">
        <v>3838</v>
      </c>
      <c r="E161" s="6" t="s">
        <v>232</v>
      </c>
      <c r="F161" s="28" t="s">
        <v>94</v>
      </c>
      <c r="G161" s="221" t="s">
        <v>3715</v>
      </c>
      <c r="H161" s="28" t="s">
        <v>4151</v>
      </c>
      <c r="I161" s="19" t="s">
        <v>4148</v>
      </c>
      <c r="J161" s="28" t="s">
        <v>604</v>
      </c>
      <c r="K161" s="174" t="n">
        <f aca="false">Spec_Rack!E34*0.7</f>
        <v>17.5</v>
      </c>
      <c r="L161" s="174" t="n">
        <f aca="false">Spec_Rack!E34*1.3</f>
        <v>32.5</v>
      </c>
      <c r="M161" s="28" t="s">
        <v>4149</v>
      </c>
      <c r="N161" s="222" t="str">
        <f aca="false">Spec_Rack!$H$34</f>
        <v>Analogy：HBM3 約 3.9 pJ/bit、HBM3e 約 3、HBM4 約 2.5；區間 ±30%（S29）</v>
      </c>
      <c r="O161" s="6" t="s">
        <v>604</v>
      </c>
      <c r="P161" s="221" t="s">
        <v>3718</v>
      </c>
      <c r="Q161" s="46" t="n">
        <f aca="false">Spec_Rack!E34</f>
        <v>25</v>
      </c>
      <c r="R161" s="174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3719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4153</v>
      </c>
      <c r="B162" s="221" t="s">
        <v>3713</v>
      </c>
      <c r="C162" s="28" t="s">
        <v>3877</v>
      </c>
      <c r="D162" s="28" t="s">
        <v>3842</v>
      </c>
      <c r="E162" s="6" t="s">
        <v>232</v>
      </c>
      <c r="F162" s="221" t="s">
        <v>315</v>
      </c>
      <c r="G162" s="221" t="s">
        <v>3715</v>
      </c>
      <c r="H162" s="28" t="s">
        <v>4154</v>
      </c>
      <c r="I162" s="19" t="s">
        <v>4058</v>
      </c>
      <c r="J162" s="28" t="s">
        <v>604</v>
      </c>
      <c r="K162" s="221"/>
      <c r="L162" s="221"/>
      <c r="M162" s="28" t="s">
        <v>604</v>
      </c>
      <c r="N162" s="19" t="s">
        <v>3853</v>
      </c>
      <c r="O162" s="6" t="s">
        <v>604</v>
      </c>
      <c r="P162" s="221" t="s">
        <v>3718</v>
      </c>
      <c r="Q162" s="46" t="n">
        <f aca="false">Spec_Rack!F34</f>
        <v>20</v>
      </c>
      <c r="R162" s="174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3752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4155</v>
      </c>
      <c r="B163" s="221" t="s">
        <v>3713</v>
      </c>
      <c r="C163" s="28" t="s">
        <v>3877</v>
      </c>
      <c r="D163" s="28" t="s">
        <v>4156</v>
      </c>
      <c r="E163" s="6" t="s">
        <v>232</v>
      </c>
      <c r="F163" s="28" t="s">
        <v>90</v>
      </c>
      <c r="G163" s="221" t="s">
        <v>75</v>
      </c>
      <c r="H163" s="28" t="s">
        <v>604</v>
      </c>
      <c r="I163" s="6" t="s">
        <v>604</v>
      </c>
      <c r="J163" s="28" t="s">
        <v>604</v>
      </c>
      <c r="K163" s="174" t="n">
        <f aca="false">Spec_Rack!G34*0.7</f>
        <v>12.6</v>
      </c>
      <c r="L163" s="174" t="n">
        <f aca="false">Spec_Rack!G34*1.3</f>
        <v>23.4</v>
      </c>
      <c r="M163" s="28" t="s">
        <v>4005</v>
      </c>
      <c r="N163" s="6" t="s">
        <v>4133</v>
      </c>
      <c r="O163" s="6" t="s">
        <v>604</v>
      </c>
      <c r="P163" s="221" t="s">
        <v>3718</v>
      </c>
      <c r="Q163" s="46" t="n">
        <f aca="false">Spec_Rack!G34</f>
        <v>18</v>
      </c>
      <c r="R163" s="28" t="s">
        <v>604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3719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4157</v>
      </c>
      <c r="B164" s="221" t="s">
        <v>3713</v>
      </c>
      <c r="C164" s="28" t="s">
        <v>3877</v>
      </c>
      <c r="D164" s="28" t="s">
        <v>4158</v>
      </c>
      <c r="E164" s="6" t="s">
        <v>237</v>
      </c>
      <c r="F164" s="221" t="s">
        <v>315</v>
      </c>
      <c r="G164" s="221" t="s">
        <v>3715</v>
      </c>
      <c r="H164" s="28" t="s">
        <v>4159</v>
      </c>
      <c r="I164" s="19" t="s">
        <v>3750</v>
      </c>
      <c r="J164" s="28" t="s">
        <v>604</v>
      </c>
      <c r="K164" s="221"/>
      <c r="L164" s="221"/>
      <c r="M164" s="28" t="s">
        <v>604</v>
      </c>
      <c r="N164" s="19" t="s">
        <v>3853</v>
      </c>
      <c r="O164" s="6" t="s">
        <v>604</v>
      </c>
      <c r="P164" s="221" t="s">
        <v>3718</v>
      </c>
      <c r="Q164" s="43" t="n">
        <f aca="false">Spec_Rack!C39</f>
        <v>0.989</v>
      </c>
      <c r="R164" s="174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3752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4160</v>
      </c>
      <c r="B165" s="221" t="s">
        <v>3713</v>
      </c>
      <c r="C165" s="28" t="s">
        <v>3877</v>
      </c>
      <c r="D165" s="28" t="s">
        <v>4161</v>
      </c>
      <c r="E165" s="6" t="s">
        <v>237</v>
      </c>
      <c r="F165" s="221" t="s">
        <v>315</v>
      </c>
      <c r="G165" s="221" t="s">
        <v>3715</v>
      </c>
      <c r="H165" s="28" t="s">
        <v>4162</v>
      </c>
      <c r="I165" s="19" t="s">
        <v>3750</v>
      </c>
      <c r="J165" s="28" t="s">
        <v>604</v>
      </c>
      <c r="K165" s="221"/>
      <c r="L165" s="221"/>
      <c r="M165" s="28" t="s">
        <v>604</v>
      </c>
      <c r="N165" s="19" t="s">
        <v>3853</v>
      </c>
      <c r="O165" s="6" t="s">
        <v>604</v>
      </c>
      <c r="P165" s="221" t="s">
        <v>3718</v>
      </c>
      <c r="Q165" s="43" t="n">
        <f aca="false">Spec_Rack!D39</f>
        <v>2.5</v>
      </c>
      <c r="R165" s="174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3752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4163</v>
      </c>
      <c r="B166" s="221" t="s">
        <v>3713</v>
      </c>
      <c r="C166" s="28" t="s">
        <v>3877</v>
      </c>
      <c r="D166" s="28" t="s">
        <v>4164</v>
      </c>
      <c r="E166" s="6" t="s">
        <v>237</v>
      </c>
      <c r="F166" s="221" t="s">
        <v>315</v>
      </c>
      <c r="G166" s="221" t="s">
        <v>3715</v>
      </c>
      <c r="H166" s="28" t="s">
        <v>4162</v>
      </c>
      <c r="I166" s="19" t="s">
        <v>3750</v>
      </c>
      <c r="J166" s="28" t="s">
        <v>604</v>
      </c>
      <c r="K166" s="221"/>
      <c r="L166" s="221"/>
      <c r="M166" s="28" t="s">
        <v>604</v>
      </c>
      <c r="N166" s="19" t="s">
        <v>3853</v>
      </c>
      <c r="O166" s="6" t="s">
        <v>604</v>
      </c>
      <c r="P166" s="221" t="s">
        <v>3718</v>
      </c>
      <c r="Q166" s="43" t="n">
        <f aca="false">Spec_Rack!E39</f>
        <v>2.5</v>
      </c>
      <c r="R166" s="174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3752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4165</v>
      </c>
      <c r="B167" s="221" t="s">
        <v>3713</v>
      </c>
      <c r="C167" s="28" t="s">
        <v>3877</v>
      </c>
      <c r="D167" s="28" t="s">
        <v>4166</v>
      </c>
      <c r="E167" s="6" t="s">
        <v>237</v>
      </c>
      <c r="F167" s="221" t="s">
        <v>315</v>
      </c>
      <c r="G167" s="221" t="s">
        <v>3715</v>
      </c>
      <c r="H167" s="28" t="s">
        <v>4167</v>
      </c>
      <c r="I167" s="19" t="s">
        <v>4058</v>
      </c>
      <c r="J167" s="28" t="s">
        <v>604</v>
      </c>
      <c r="K167" s="221"/>
      <c r="L167" s="221"/>
      <c r="M167" s="28" t="s">
        <v>604</v>
      </c>
      <c r="N167" s="19" t="s">
        <v>3853</v>
      </c>
      <c r="O167" s="6" t="s">
        <v>604</v>
      </c>
      <c r="P167" s="221" t="s">
        <v>3718</v>
      </c>
      <c r="Q167" s="43" t="n">
        <f aca="false">Spec_Rack!F39</f>
        <v>4</v>
      </c>
      <c r="R167" s="174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3752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4168</v>
      </c>
      <c r="B168" s="221" t="s">
        <v>3713</v>
      </c>
      <c r="C168" s="28" t="s">
        <v>3877</v>
      </c>
      <c r="D168" s="28" t="s">
        <v>4169</v>
      </c>
      <c r="E168" s="6" t="s">
        <v>237</v>
      </c>
      <c r="F168" s="28" t="s">
        <v>90</v>
      </c>
      <c r="G168" s="221" t="s">
        <v>75</v>
      </c>
      <c r="H168" s="28" t="s">
        <v>604</v>
      </c>
      <c r="I168" s="6" t="s">
        <v>604</v>
      </c>
      <c r="J168" s="28" t="s">
        <v>604</v>
      </c>
      <c r="K168" s="174" t="n">
        <f aca="false">Spec_Rack!G39*0.7</f>
        <v>5.6</v>
      </c>
      <c r="L168" s="174" t="n">
        <f aca="false">Spec_Rack!G39*1.3</f>
        <v>10.4</v>
      </c>
      <c r="M168" s="28" t="s">
        <v>4005</v>
      </c>
      <c r="N168" s="6" t="s">
        <v>4133</v>
      </c>
      <c r="O168" s="6" t="s">
        <v>604</v>
      </c>
      <c r="P168" s="221" t="s">
        <v>3718</v>
      </c>
      <c r="Q168" s="43" t="n">
        <f aca="false">Spec_Rack!G39</f>
        <v>8</v>
      </c>
      <c r="R168" s="28" t="s">
        <v>604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3719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4170</v>
      </c>
      <c r="B169" s="221" t="s">
        <v>3713</v>
      </c>
      <c r="C169" s="28" t="s">
        <v>3877</v>
      </c>
      <c r="D169" s="28" t="s">
        <v>4171</v>
      </c>
      <c r="E169" s="6" t="s">
        <v>239</v>
      </c>
      <c r="F169" s="221" t="s">
        <v>315</v>
      </c>
      <c r="G169" s="221" t="s">
        <v>3715</v>
      </c>
      <c r="H169" s="28" t="s">
        <v>3994</v>
      </c>
      <c r="I169" s="19" t="s">
        <v>3750</v>
      </c>
      <c r="J169" s="28" t="s">
        <v>604</v>
      </c>
      <c r="K169" s="221"/>
      <c r="L169" s="221"/>
      <c r="M169" s="28" t="s">
        <v>604</v>
      </c>
      <c r="N169" s="19" t="s">
        <v>3942</v>
      </c>
      <c r="O169" s="6" t="s">
        <v>604</v>
      </c>
      <c r="P169" s="221" t="s">
        <v>3718</v>
      </c>
      <c r="Q169" s="43" t="n">
        <f aca="false">Spec_Rack!C40</f>
        <v>1.979</v>
      </c>
      <c r="R169" s="174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3752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4172</v>
      </c>
      <c r="B170" s="221" t="s">
        <v>3713</v>
      </c>
      <c r="C170" s="28" t="s">
        <v>3877</v>
      </c>
      <c r="D170" s="28" t="s">
        <v>4173</v>
      </c>
      <c r="E170" s="6" t="s">
        <v>239</v>
      </c>
      <c r="F170" s="221" t="s">
        <v>315</v>
      </c>
      <c r="G170" s="221" t="s">
        <v>3715</v>
      </c>
      <c r="H170" s="28" t="s">
        <v>4174</v>
      </c>
      <c r="I170" s="19" t="s">
        <v>3750</v>
      </c>
      <c r="J170" s="28" t="s">
        <v>604</v>
      </c>
      <c r="K170" s="221"/>
      <c r="L170" s="221"/>
      <c r="M170" s="28" t="s">
        <v>604</v>
      </c>
      <c r="N170" s="19" t="s">
        <v>3942</v>
      </c>
      <c r="O170" s="6" t="s">
        <v>604</v>
      </c>
      <c r="P170" s="221" t="s">
        <v>3718</v>
      </c>
      <c r="Q170" s="43" t="n">
        <f aca="false">Spec_Rack!D40</f>
        <v>5</v>
      </c>
      <c r="R170" s="174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3752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4175</v>
      </c>
      <c r="B171" s="221" t="s">
        <v>3713</v>
      </c>
      <c r="C171" s="28" t="s">
        <v>3877</v>
      </c>
      <c r="D171" s="28" t="s">
        <v>4176</v>
      </c>
      <c r="E171" s="6" t="s">
        <v>239</v>
      </c>
      <c r="F171" s="221" t="s">
        <v>315</v>
      </c>
      <c r="G171" s="221" t="s">
        <v>3715</v>
      </c>
      <c r="H171" s="28" t="s">
        <v>4174</v>
      </c>
      <c r="I171" s="19" t="s">
        <v>3750</v>
      </c>
      <c r="J171" s="28" t="s">
        <v>604</v>
      </c>
      <c r="K171" s="221"/>
      <c r="L171" s="221"/>
      <c r="M171" s="28" t="s">
        <v>604</v>
      </c>
      <c r="N171" s="19" t="s">
        <v>3942</v>
      </c>
      <c r="O171" s="6" t="s">
        <v>604</v>
      </c>
      <c r="P171" s="221" t="s">
        <v>3718</v>
      </c>
      <c r="Q171" s="43" t="n">
        <f aca="false">Spec_Rack!E40</f>
        <v>5</v>
      </c>
      <c r="R171" s="174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3752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4177</v>
      </c>
      <c r="B172" s="221" t="s">
        <v>3713</v>
      </c>
      <c r="C172" s="28" t="s">
        <v>3877</v>
      </c>
      <c r="D172" s="28" t="s">
        <v>4178</v>
      </c>
      <c r="E172" s="6" t="s">
        <v>239</v>
      </c>
      <c r="F172" s="221" t="s">
        <v>315</v>
      </c>
      <c r="G172" s="221" t="s">
        <v>3715</v>
      </c>
      <c r="H172" s="28" t="s">
        <v>4179</v>
      </c>
      <c r="I172" s="19" t="s">
        <v>4058</v>
      </c>
      <c r="J172" s="28" t="s">
        <v>604</v>
      </c>
      <c r="K172" s="221"/>
      <c r="L172" s="221"/>
      <c r="M172" s="28" t="s">
        <v>604</v>
      </c>
      <c r="N172" s="19" t="s">
        <v>3942</v>
      </c>
      <c r="O172" s="6" t="s">
        <v>604</v>
      </c>
      <c r="P172" s="221" t="s">
        <v>3718</v>
      </c>
      <c r="Q172" s="43" t="n">
        <f aca="false">Spec_Rack!F40</f>
        <v>17.5</v>
      </c>
      <c r="R172" s="174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3752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4180</v>
      </c>
      <c r="B173" s="221" t="s">
        <v>3713</v>
      </c>
      <c r="C173" s="28" t="s">
        <v>3877</v>
      </c>
      <c r="D173" s="28" t="s">
        <v>4181</v>
      </c>
      <c r="E173" s="6" t="s">
        <v>239</v>
      </c>
      <c r="F173" s="221" t="s">
        <v>137</v>
      </c>
      <c r="G173" s="221" t="s">
        <v>3715</v>
      </c>
      <c r="H173" s="28" t="s">
        <v>4003</v>
      </c>
      <c r="I173" s="19" t="s">
        <v>4182</v>
      </c>
      <c r="J173" s="28" t="s">
        <v>604</v>
      </c>
      <c r="K173" s="221"/>
      <c r="L173" s="221"/>
      <c r="M173" s="28" t="s">
        <v>604</v>
      </c>
      <c r="N173" s="19" t="s">
        <v>4183</v>
      </c>
      <c r="O173" s="19" t="s">
        <v>4022</v>
      </c>
      <c r="P173" s="221" t="s">
        <v>3718</v>
      </c>
      <c r="Q173" s="43" t="n">
        <f aca="false">Spec_Rack!G40</f>
        <v>35</v>
      </c>
      <c r="R173" s="174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3719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4184</v>
      </c>
      <c r="B174" s="221" t="s">
        <v>3713</v>
      </c>
      <c r="C174" s="28" t="s">
        <v>3877</v>
      </c>
      <c r="D174" s="28" t="s">
        <v>4185</v>
      </c>
      <c r="E174" s="6" t="s">
        <v>241</v>
      </c>
      <c r="F174" s="28" t="s">
        <v>3807</v>
      </c>
      <c r="G174" s="221" t="s">
        <v>3715</v>
      </c>
      <c r="H174" s="28" t="s">
        <v>604</v>
      </c>
      <c r="I174" s="6" t="s">
        <v>604</v>
      </c>
      <c r="J174" s="28" t="s">
        <v>604</v>
      </c>
      <c r="K174" s="221"/>
      <c r="L174" s="221"/>
      <c r="M174" s="28" t="s">
        <v>604</v>
      </c>
      <c r="N174" s="6" t="s">
        <v>4186</v>
      </c>
      <c r="O174" s="6" t="s">
        <v>604</v>
      </c>
      <c r="P174" s="221" t="s">
        <v>3718</v>
      </c>
      <c r="Q174" s="43" t="n">
        <f aca="false">Spec_Rack!C41</f>
        <v>1.979</v>
      </c>
      <c r="R174" s="28" t="s">
        <v>604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3811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4187</v>
      </c>
      <c r="B175" s="221" t="s">
        <v>3713</v>
      </c>
      <c r="C175" s="28" t="s">
        <v>3877</v>
      </c>
      <c r="D175" s="28" t="s">
        <v>4188</v>
      </c>
      <c r="E175" s="6" t="s">
        <v>241</v>
      </c>
      <c r="F175" s="28" t="s">
        <v>94</v>
      </c>
      <c r="G175" s="221" t="s">
        <v>3715</v>
      </c>
      <c r="H175" s="28" t="s">
        <v>4189</v>
      </c>
      <c r="I175" s="19" t="s">
        <v>4190</v>
      </c>
      <c r="J175" s="28" t="s">
        <v>604</v>
      </c>
      <c r="K175" s="223" t="n">
        <v>5</v>
      </c>
      <c r="L175" s="223" t="n">
        <v>10</v>
      </c>
      <c r="M175" s="28" t="s">
        <v>4191</v>
      </c>
      <c r="N175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604</v>
      </c>
      <c r="P175" s="221" t="s">
        <v>3718</v>
      </c>
      <c r="Q175" s="43" t="n">
        <f aca="false">Spec_Rack!D41</f>
        <v>10</v>
      </c>
      <c r="R175" s="174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3719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4192</v>
      </c>
      <c r="B176" s="221" t="s">
        <v>3713</v>
      </c>
      <c r="C176" s="28" t="s">
        <v>3877</v>
      </c>
      <c r="D176" s="28" t="s">
        <v>4193</v>
      </c>
      <c r="E176" s="6" t="s">
        <v>241</v>
      </c>
      <c r="F176" s="28" t="s">
        <v>90</v>
      </c>
      <c r="G176" s="221" t="s">
        <v>3715</v>
      </c>
      <c r="H176" s="28" t="s">
        <v>604</v>
      </c>
      <c r="I176" s="6" t="s">
        <v>604</v>
      </c>
      <c r="J176" s="28" t="s">
        <v>604</v>
      </c>
      <c r="K176" s="223" t="n">
        <v>10</v>
      </c>
      <c r="L176" s="223" t="n">
        <v>15</v>
      </c>
      <c r="M176" s="28" t="s">
        <v>4194</v>
      </c>
      <c r="N176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604</v>
      </c>
      <c r="P176" s="221" t="s">
        <v>3718</v>
      </c>
      <c r="Q176" s="43" t="n">
        <f aca="false">Spec_Rack!E41</f>
        <v>15</v>
      </c>
      <c r="R176" s="28" t="s">
        <v>604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3719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4195</v>
      </c>
      <c r="B177" s="221" t="s">
        <v>3713</v>
      </c>
      <c r="C177" s="28" t="s">
        <v>3877</v>
      </c>
      <c r="D177" s="28" t="s">
        <v>4196</v>
      </c>
      <c r="E177" s="6" t="s">
        <v>241</v>
      </c>
      <c r="F177" s="221" t="s">
        <v>315</v>
      </c>
      <c r="G177" s="221" t="s">
        <v>3715</v>
      </c>
      <c r="H177" s="28" t="s">
        <v>4189</v>
      </c>
      <c r="I177" s="19" t="s">
        <v>4058</v>
      </c>
      <c r="J177" s="28" t="s">
        <v>604</v>
      </c>
      <c r="K177" s="221"/>
      <c r="L177" s="221"/>
      <c r="M177" s="28" t="s">
        <v>604</v>
      </c>
      <c r="N177" s="19" t="s">
        <v>3853</v>
      </c>
      <c r="O177" s="6" t="s">
        <v>604</v>
      </c>
      <c r="P177" s="221" t="s">
        <v>3718</v>
      </c>
      <c r="Q177" s="43" t="n">
        <f aca="false">Spec_Rack!F41</f>
        <v>35</v>
      </c>
      <c r="R177" s="174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3752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4197</v>
      </c>
      <c r="B178" s="221" t="s">
        <v>3713</v>
      </c>
      <c r="C178" s="28" t="s">
        <v>3877</v>
      </c>
      <c r="D178" s="28" t="s">
        <v>4198</v>
      </c>
      <c r="E178" s="6" t="s">
        <v>241</v>
      </c>
      <c r="F178" s="28" t="s">
        <v>90</v>
      </c>
      <c r="G178" s="221" t="s">
        <v>75</v>
      </c>
      <c r="H178" s="28" t="s">
        <v>604</v>
      </c>
      <c r="I178" s="6" t="s">
        <v>604</v>
      </c>
      <c r="J178" s="28" t="s">
        <v>604</v>
      </c>
      <c r="K178" s="174" t="n">
        <f aca="false">Spec_Rack!G41*0.7</f>
        <v>49</v>
      </c>
      <c r="L178" s="174" t="n">
        <f aca="false">Spec_Rack!G41*1.3</f>
        <v>91</v>
      </c>
      <c r="M178" s="28" t="s">
        <v>4005</v>
      </c>
      <c r="N178" s="6" t="s">
        <v>4133</v>
      </c>
      <c r="O178" s="6" t="s">
        <v>604</v>
      </c>
      <c r="P178" s="221" t="s">
        <v>3718</v>
      </c>
      <c r="Q178" s="43" t="n">
        <f aca="false">Spec_Rack!G41</f>
        <v>70</v>
      </c>
      <c r="R178" s="28" t="s">
        <v>604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3719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4199</v>
      </c>
      <c r="B179" s="221" t="s">
        <v>3713</v>
      </c>
      <c r="C179" s="28" t="s">
        <v>4200</v>
      </c>
      <c r="D179" s="28" t="s">
        <v>3878</v>
      </c>
      <c r="E179" s="19" t="s">
        <v>253</v>
      </c>
      <c r="F179" s="221" t="s">
        <v>315</v>
      </c>
      <c r="G179" s="221" t="s">
        <v>3715</v>
      </c>
      <c r="H179" s="28" t="s">
        <v>4201</v>
      </c>
      <c r="I179" s="19" t="s">
        <v>3750</v>
      </c>
      <c r="J179" s="28" t="s">
        <v>604</v>
      </c>
      <c r="K179" s="221"/>
      <c r="L179" s="221"/>
      <c r="M179" s="28" t="s">
        <v>604</v>
      </c>
      <c r="N179" s="19" t="s">
        <v>3942</v>
      </c>
      <c r="O179" s="6" t="s">
        <v>604</v>
      </c>
      <c r="P179" s="221" t="s">
        <v>3774</v>
      </c>
      <c r="Q179" s="46" t="n">
        <f aca="false">Arch!C6</f>
        <v>284</v>
      </c>
      <c r="R179" s="174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3752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4202</v>
      </c>
      <c r="B180" s="221" t="s">
        <v>3713</v>
      </c>
      <c r="C180" s="28" t="s">
        <v>4200</v>
      </c>
      <c r="D180" s="28" t="s">
        <v>3882</v>
      </c>
      <c r="E180" s="19" t="s">
        <v>253</v>
      </c>
      <c r="F180" s="221" t="s">
        <v>315</v>
      </c>
      <c r="G180" s="221" t="s">
        <v>3715</v>
      </c>
      <c r="H180" s="28" t="s">
        <v>4203</v>
      </c>
      <c r="I180" s="19" t="s">
        <v>3750</v>
      </c>
      <c r="J180" s="28" t="s">
        <v>604</v>
      </c>
      <c r="K180" s="221"/>
      <c r="L180" s="221"/>
      <c r="M180" s="28" t="s">
        <v>604</v>
      </c>
      <c r="N180" s="19" t="s">
        <v>3942</v>
      </c>
      <c r="O180" s="6" t="s">
        <v>604</v>
      </c>
      <c r="P180" s="221" t="s">
        <v>3774</v>
      </c>
      <c r="Q180" s="46" t="n">
        <f aca="false">Arch!D6</f>
        <v>1600</v>
      </c>
      <c r="R180" s="174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3752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4204</v>
      </c>
      <c r="B181" s="221" t="s">
        <v>3713</v>
      </c>
      <c r="C181" s="28" t="s">
        <v>4200</v>
      </c>
      <c r="D181" s="28" t="s">
        <v>4205</v>
      </c>
      <c r="E181" s="19" t="s">
        <v>257</v>
      </c>
      <c r="F181" s="221" t="s">
        <v>315</v>
      </c>
      <c r="G181" s="221" t="s">
        <v>3715</v>
      </c>
      <c r="H181" s="28" t="s">
        <v>4206</v>
      </c>
      <c r="I181" s="19" t="s">
        <v>3750</v>
      </c>
      <c r="J181" s="28" t="s">
        <v>604</v>
      </c>
      <c r="K181" s="221"/>
      <c r="L181" s="221"/>
      <c r="M181" s="28" t="s">
        <v>604</v>
      </c>
      <c r="N181" s="19" t="s">
        <v>3853</v>
      </c>
      <c r="O181" s="6" t="s">
        <v>604</v>
      </c>
      <c r="P181" s="221" t="s">
        <v>1134</v>
      </c>
      <c r="Q181" s="46" t="n">
        <f aca="false">Arch!C7</f>
        <v>13</v>
      </c>
      <c r="R181" s="174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3752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4207</v>
      </c>
      <c r="B182" s="221" t="s">
        <v>3713</v>
      </c>
      <c r="C182" s="28" t="s">
        <v>4200</v>
      </c>
      <c r="D182" s="28" t="s">
        <v>4208</v>
      </c>
      <c r="E182" s="19" t="s">
        <v>257</v>
      </c>
      <c r="F182" s="221" t="s">
        <v>315</v>
      </c>
      <c r="G182" s="221" t="s">
        <v>3715</v>
      </c>
      <c r="H182" s="28" t="s">
        <v>4209</v>
      </c>
      <c r="I182" s="19" t="s">
        <v>3750</v>
      </c>
      <c r="J182" s="28" t="s">
        <v>604</v>
      </c>
      <c r="K182" s="221"/>
      <c r="L182" s="221"/>
      <c r="M182" s="28" t="s">
        <v>604</v>
      </c>
      <c r="N182" s="19" t="s">
        <v>3853</v>
      </c>
      <c r="O182" s="6" t="s">
        <v>604</v>
      </c>
      <c r="P182" s="221" t="s">
        <v>1134</v>
      </c>
      <c r="Q182" s="46" t="n">
        <f aca="false">Arch!D7</f>
        <v>49</v>
      </c>
      <c r="R182" s="174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3752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4210</v>
      </c>
      <c r="B183" s="221" t="s">
        <v>3713</v>
      </c>
      <c r="C183" s="28" t="s">
        <v>4200</v>
      </c>
      <c r="D183" s="28" t="s">
        <v>3891</v>
      </c>
      <c r="E183" s="19" t="s">
        <v>259</v>
      </c>
      <c r="F183" s="221" t="s">
        <v>315</v>
      </c>
      <c r="G183" s="221" t="s">
        <v>3715</v>
      </c>
      <c r="H183" s="28" t="s">
        <v>4211</v>
      </c>
      <c r="I183" s="19" t="s">
        <v>3750</v>
      </c>
      <c r="J183" s="28" t="s">
        <v>604</v>
      </c>
      <c r="K183" s="221"/>
      <c r="L183" s="221"/>
      <c r="M183" s="28" t="s">
        <v>604</v>
      </c>
      <c r="N183" s="19" t="s">
        <v>3942</v>
      </c>
      <c r="O183" s="6" t="s">
        <v>604</v>
      </c>
      <c r="P183" s="221" t="s">
        <v>3774</v>
      </c>
      <c r="Q183" s="46" t="n">
        <f aca="false">Arch!C8</f>
        <v>43</v>
      </c>
      <c r="R183" s="174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3752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4212</v>
      </c>
      <c r="B184" s="221" t="s">
        <v>3713</v>
      </c>
      <c r="C184" s="28" t="s">
        <v>4200</v>
      </c>
      <c r="D184" s="28" t="s">
        <v>3894</v>
      </c>
      <c r="E184" s="19" t="s">
        <v>259</v>
      </c>
      <c r="F184" s="221" t="s">
        <v>315</v>
      </c>
      <c r="G184" s="221" t="s">
        <v>3715</v>
      </c>
      <c r="H184" s="28" t="s">
        <v>4213</v>
      </c>
      <c r="I184" s="19" t="s">
        <v>3750</v>
      </c>
      <c r="J184" s="28" t="s">
        <v>604</v>
      </c>
      <c r="K184" s="221"/>
      <c r="L184" s="221"/>
      <c r="M184" s="28" t="s">
        <v>604</v>
      </c>
      <c r="N184" s="19" t="s">
        <v>3942</v>
      </c>
      <c r="O184" s="6" t="s">
        <v>604</v>
      </c>
      <c r="P184" s="221" t="s">
        <v>3774</v>
      </c>
      <c r="Q184" s="46" t="n">
        <f aca="false">Arch!D8</f>
        <v>61</v>
      </c>
      <c r="R184" s="174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3752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4214</v>
      </c>
      <c r="B185" s="221" t="s">
        <v>3713</v>
      </c>
      <c r="C185" s="28" t="s">
        <v>4200</v>
      </c>
      <c r="D185" s="28" t="s">
        <v>3936</v>
      </c>
      <c r="E185" s="6" t="s">
        <v>266</v>
      </c>
      <c r="F185" s="221" t="s">
        <v>315</v>
      </c>
      <c r="G185" s="221" t="s">
        <v>3715</v>
      </c>
      <c r="H185" s="28" t="s">
        <v>4215</v>
      </c>
      <c r="I185" s="19" t="s">
        <v>3750</v>
      </c>
      <c r="J185" s="28" t="s">
        <v>604</v>
      </c>
      <c r="K185" s="221"/>
      <c r="L185" s="221"/>
      <c r="M185" s="28" t="s">
        <v>604</v>
      </c>
      <c r="N185" s="19" t="s">
        <v>3853</v>
      </c>
      <c r="O185" s="6" t="s">
        <v>604</v>
      </c>
      <c r="P185" s="221" t="s">
        <v>3774</v>
      </c>
      <c r="Q185" s="46" t="n">
        <f aca="false">Arch!C11</f>
        <v>512</v>
      </c>
      <c r="R185" s="174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3752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4216</v>
      </c>
      <c r="B186" s="221" t="s">
        <v>3713</v>
      </c>
      <c r="C186" s="28" t="s">
        <v>4200</v>
      </c>
      <c r="D186" s="28" t="s">
        <v>3740</v>
      </c>
      <c r="E186" s="6" t="s">
        <v>266</v>
      </c>
      <c r="F186" s="221" t="s">
        <v>315</v>
      </c>
      <c r="G186" s="221" t="s">
        <v>3715</v>
      </c>
      <c r="H186" s="28" t="s">
        <v>4215</v>
      </c>
      <c r="I186" s="19" t="s">
        <v>3750</v>
      </c>
      <c r="J186" s="28" t="s">
        <v>604</v>
      </c>
      <c r="K186" s="221"/>
      <c r="L186" s="221"/>
      <c r="M186" s="28" t="s">
        <v>604</v>
      </c>
      <c r="N186" s="19" t="s">
        <v>3853</v>
      </c>
      <c r="O186" s="6" t="s">
        <v>604</v>
      </c>
      <c r="P186" s="221" t="s">
        <v>3774</v>
      </c>
      <c r="Q186" s="46" t="n">
        <f aca="false">Arch!D11</f>
        <v>512</v>
      </c>
      <c r="R186" s="174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3752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4217</v>
      </c>
      <c r="B187" s="221" t="s">
        <v>3713</v>
      </c>
      <c r="C187" s="28" t="s">
        <v>4200</v>
      </c>
      <c r="D187" s="28" t="s">
        <v>3957</v>
      </c>
      <c r="E187" s="6" t="s">
        <v>268</v>
      </c>
      <c r="F187" s="221" t="s">
        <v>315</v>
      </c>
      <c r="G187" s="221" t="s">
        <v>3715</v>
      </c>
      <c r="H187" s="28" t="s">
        <v>4218</v>
      </c>
      <c r="I187" s="19" t="s">
        <v>3750</v>
      </c>
      <c r="J187" s="28" t="s">
        <v>604</v>
      </c>
      <c r="K187" s="221"/>
      <c r="L187" s="221"/>
      <c r="M187" s="28" t="s">
        <v>604</v>
      </c>
      <c r="N187" s="19" t="s">
        <v>3942</v>
      </c>
      <c r="O187" s="6" t="s">
        <v>604</v>
      </c>
      <c r="P187" s="221" t="s">
        <v>3774</v>
      </c>
      <c r="Q187" s="46" t="n">
        <f aca="false">Arch!C12</f>
        <v>256</v>
      </c>
      <c r="R187" s="174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3752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4219</v>
      </c>
      <c r="B188" s="221" t="s">
        <v>3713</v>
      </c>
      <c r="C188" s="28" t="s">
        <v>4200</v>
      </c>
      <c r="D188" s="28" t="s">
        <v>3961</v>
      </c>
      <c r="E188" s="6" t="s">
        <v>268</v>
      </c>
      <c r="F188" s="221" t="s">
        <v>315</v>
      </c>
      <c r="G188" s="221" t="s">
        <v>3715</v>
      </c>
      <c r="H188" s="28" t="s">
        <v>4220</v>
      </c>
      <c r="I188" s="19" t="s">
        <v>3750</v>
      </c>
      <c r="J188" s="28" t="s">
        <v>604</v>
      </c>
      <c r="K188" s="221"/>
      <c r="L188" s="221"/>
      <c r="M188" s="28" t="s">
        <v>604</v>
      </c>
      <c r="N188" s="19" t="s">
        <v>3942</v>
      </c>
      <c r="O188" s="6" t="s">
        <v>604</v>
      </c>
      <c r="P188" s="221" t="s">
        <v>3774</v>
      </c>
      <c r="Q188" s="46" t="n">
        <f aca="false">Arch!D12</f>
        <v>384</v>
      </c>
      <c r="R188" s="174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3752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4221</v>
      </c>
      <c r="B189" s="221" t="s">
        <v>3713</v>
      </c>
      <c r="C189" s="28" t="s">
        <v>4200</v>
      </c>
      <c r="D189" s="28" t="s">
        <v>3977</v>
      </c>
      <c r="E189" s="19" t="s">
        <v>4222</v>
      </c>
      <c r="F189" s="221" t="s">
        <v>315</v>
      </c>
      <c r="G189" s="221" t="s">
        <v>3715</v>
      </c>
      <c r="H189" s="28" t="s">
        <v>4223</v>
      </c>
      <c r="I189" s="19" t="s">
        <v>3750</v>
      </c>
      <c r="J189" s="28" t="s">
        <v>604</v>
      </c>
      <c r="K189" s="221"/>
      <c r="L189" s="221"/>
      <c r="M189" s="28" t="s">
        <v>604</v>
      </c>
      <c r="N189" s="19" t="s">
        <v>3942</v>
      </c>
      <c r="O189" s="6" t="s">
        <v>604</v>
      </c>
      <c r="P189" s="221" t="s">
        <v>3774</v>
      </c>
      <c r="Q189" s="46" t="n">
        <f aca="false">Arch!C13</f>
        <v>6</v>
      </c>
      <c r="R189" s="174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3752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4224</v>
      </c>
      <c r="B190" s="221" t="s">
        <v>3713</v>
      </c>
      <c r="C190" s="28" t="s">
        <v>4200</v>
      </c>
      <c r="D190" s="28" t="s">
        <v>3746</v>
      </c>
      <c r="E190" s="19" t="s">
        <v>4222</v>
      </c>
      <c r="F190" s="221" t="s">
        <v>315</v>
      </c>
      <c r="G190" s="221" t="s">
        <v>3715</v>
      </c>
      <c r="H190" s="28" t="s">
        <v>4223</v>
      </c>
      <c r="I190" s="19" t="s">
        <v>3750</v>
      </c>
      <c r="J190" s="28" t="s">
        <v>604</v>
      </c>
      <c r="K190" s="221"/>
      <c r="L190" s="221"/>
      <c r="M190" s="28" t="s">
        <v>604</v>
      </c>
      <c r="N190" s="19" t="s">
        <v>3942</v>
      </c>
      <c r="O190" s="6" t="s">
        <v>604</v>
      </c>
      <c r="P190" s="221" t="s">
        <v>3774</v>
      </c>
      <c r="Q190" s="46" t="n">
        <f aca="false">Arch!D13</f>
        <v>6</v>
      </c>
      <c r="R190" s="174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3752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4225</v>
      </c>
      <c r="B191" s="221" t="s">
        <v>3713</v>
      </c>
      <c r="C191" s="28" t="s">
        <v>4200</v>
      </c>
      <c r="D191" s="28" t="s">
        <v>4226</v>
      </c>
      <c r="E191" s="6" t="s">
        <v>270</v>
      </c>
      <c r="F191" s="221" t="s">
        <v>315</v>
      </c>
      <c r="G191" s="221" t="s">
        <v>3715</v>
      </c>
      <c r="H191" s="28" t="s">
        <v>4227</v>
      </c>
      <c r="I191" s="19" t="s">
        <v>3750</v>
      </c>
      <c r="J191" s="28" t="s">
        <v>604</v>
      </c>
      <c r="K191" s="221"/>
      <c r="L191" s="221"/>
      <c r="M191" s="28" t="s">
        <v>604</v>
      </c>
      <c r="N191" s="19" t="s">
        <v>3853</v>
      </c>
      <c r="O191" s="6" t="s">
        <v>604</v>
      </c>
      <c r="P191" s="221" t="s">
        <v>1133</v>
      </c>
      <c r="Q191" s="46" t="n">
        <f aca="false">Arch!C14</f>
        <v>1</v>
      </c>
      <c r="R191" s="174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3752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4228</v>
      </c>
      <c r="B192" s="221" t="s">
        <v>3713</v>
      </c>
      <c r="C192" s="28" t="s">
        <v>4200</v>
      </c>
      <c r="D192" s="28" t="s">
        <v>3756</v>
      </c>
      <c r="E192" s="6" t="s">
        <v>270</v>
      </c>
      <c r="F192" s="221" t="s">
        <v>315</v>
      </c>
      <c r="G192" s="221" t="s">
        <v>3715</v>
      </c>
      <c r="H192" s="28" t="s">
        <v>4227</v>
      </c>
      <c r="I192" s="19" t="s">
        <v>3750</v>
      </c>
      <c r="J192" s="28" t="s">
        <v>604</v>
      </c>
      <c r="K192" s="221"/>
      <c r="L192" s="221"/>
      <c r="M192" s="28" t="s">
        <v>604</v>
      </c>
      <c r="N192" s="19" t="s">
        <v>3853</v>
      </c>
      <c r="O192" s="6" t="s">
        <v>604</v>
      </c>
      <c r="P192" s="221" t="s">
        <v>1133</v>
      </c>
      <c r="Q192" s="46" t="n">
        <f aca="false">Arch!D14</f>
        <v>1</v>
      </c>
      <c r="R192" s="174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3752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4229</v>
      </c>
      <c r="B193" s="221" t="s">
        <v>3713</v>
      </c>
      <c r="C193" s="28" t="s">
        <v>4200</v>
      </c>
      <c r="D193" s="28" t="s">
        <v>4230</v>
      </c>
      <c r="E193" s="6" t="s">
        <v>271</v>
      </c>
      <c r="F193" s="221" t="s">
        <v>315</v>
      </c>
      <c r="G193" s="221" t="s">
        <v>3715</v>
      </c>
      <c r="H193" s="28" t="s">
        <v>4231</v>
      </c>
      <c r="I193" s="19" t="s">
        <v>3750</v>
      </c>
      <c r="J193" s="28" t="s">
        <v>604</v>
      </c>
      <c r="K193" s="221"/>
      <c r="L193" s="221"/>
      <c r="M193" s="28" t="s">
        <v>604</v>
      </c>
      <c r="N193" s="19" t="s">
        <v>3853</v>
      </c>
      <c r="O193" s="6" t="s">
        <v>604</v>
      </c>
      <c r="P193" s="221" t="s">
        <v>3718</v>
      </c>
      <c r="Q193" s="46" t="n">
        <f aca="false">Arch!C15</f>
        <v>129280</v>
      </c>
      <c r="R193" s="174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3752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4232</v>
      </c>
      <c r="B194" s="221" t="s">
        <v>3713</v>
      </c>
      <c r="C194" s="28" t="s">
        <v>4200</v>
      </c>
      <c r="D194" s="28" t="s">
        <v>4233</v>
      </c>
      <c r="E194" s="6" t="s">
        <v>271</v>
      </c>
      <c r="F194" s="221" t="s">
        <v>315</v>
      </c>
      <c r="G194" s="221" t="s">
        <v>3715</v>
      </c>
      <c r="H194" s="28" t="s">
        <v>4231</v>
      </c>
      <c r="I194" s="19" t="s">
        <v>3750</v>
      </c>
      <c r="J194" s="28" t="s">
        <v>604</v>
      </c>
      <c r="K194" s="221"/>
      <c r="L194" s="221"/>
      <c r="M194" s="28" t="s">
        <v>604</v>
      </c>
      <c r="N194" s="19" t="s">
        <v>3853</v>
      </c>
      <c r="O194" s="6" t="s">
        <v>604</v>
      </c>
      <c r="P194" s="221" t="s">
        <v>3718</v>
      </c>
      <c r="Q194" s="46" t="n">
        <f aca="false">Arch!D15</f>
        <v>129280</v>
      </c>
      <c r="R194" s="174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3752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4234</v>
      </c>
      <c r="B195" s="221" t="s">
        <v>3713</v>
      </c>
      <c r="C195" s="28" t="s">
        <v>4200</v>
      </c>
      <c r="D195" s="28" t="s">
        <v>4235</v>
      </c>
      <c r="E195" s="19" t="s">
        <v>272</v>
      </c>
      <c r="F195" s="221" t="s">
        <v>315</v>
      </c>
      <c r="G195" s="221" t="s">
        <v>3715</v>
      </c>
      <c r="H195" s="28" t="s">
        <v>4236</v>
      </c>
      <c r="I195" s="19" t="s">
        <v>3750</v>
      </c>
      <c r="J195" s="28" t="s">
        <v>604</v>
      </c>
      <c r="K195" s="221"/>
      <c r="L195" s="221"/>
      <c r="M195" s="28" t="s">
        <v>604</v>
      </c>
      <c r="N195" s="19" t="s">
        <v>3853</v>
      </c>
      <c r="O195" s="6" t="s">
        <v>604</v>
      </c>
      <c r="P195" s="221" t="s">
        <v>3774</v>
      </c>
      <c r="Q195" s="184" t="n">
        <f aca="false">Arch!C16</f>
        <v>0.512</v>
      </c>
      <c r="R195" s="174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3752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4237</v>
      </c>
      <c r="B196" s="221" t="s">
        <v>3713</v>
      </c>
      <c r="C196" s="28" t="s">
        <v>4200</v>
      </c>
      <c r="D196" s="28" t="s">
        <v>3762</v>
      </c>
      <c r="E196" s="19" t="s">
        <v>272</v>
      </c>
      <c r="F196" s="221" t="s">
        <v>315</v>
      </c>
      <c r="G196" s="221" t="s">
        <v>3715</v>
      </c>
      <c r="H196" s="28" t="s">
        <v>4236</v>
      </c>
      <c r="I196" s="19" t="s">
        <v>3750</v>
      </c>
      <c r="J196" s="28" t="s">
        <v>604</v>
      </c>
      <c r="K196" s="221"/>
      <c r="L196" s="221"/>
      <c r="M196" s="28" t="s">
        <v>604</v>
      </c>
      <c r="N196" s="19" t="s">
        <v>3853</v>
      </c>
      <c r="O196" s="6" t="s">
        <v>604</v>
      </c>
      <c r="P196" s="221" t="s">
        <v>3774</v>
      </c>
      <c r="Q196" s="184" t="n">
        <f aca="false">Arch!D16</f>
        <v>0.492</v>
      </c>
      <c r="R196" s="174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3752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4238</v>
      </c>
      <c r="B197" s="221" t="s">
        <v>3713</v>
      </c>
      <c r="C197" s="28" t="s">
        <v>4200</v>
      </c>
      <c r="D197" s="28" t="s">
        <v>4239</v>
      </c>
      <c r="E197" s="19" t="s">
        <v>277</v>
      </c>
      <c r="F197" s="221" t="s">
        <v>315</v>
      </c>
      <c r="G197" s="221" t="s">
        <v>3715</v>
      </c>
      <c r="H197" s="28" t="s">
        <v>4240</v>
      </c>
      <c r="I197" s="19" t="s">
        <v>3750</v>
      </c>
      <c r="J197" s="28" t="s">
        <v>604</v>
      </c>
      <c r="K197" s="221"/>
      <c r="L197" s="221"/>
      <c r="M197" s="28" t="s">
        <v>604</v>
      </c>
      <c r="N197" s="19" t="s">
        <v>3853</v>
      </c>
      <c r="O197" s="6" t="s">
        <v>604</v>
      </c>
      <c r="P197" s="221" t="s">
        <v>1133</v>
      </c>
      <c r="Q197" s="46" t="n">
        <f aca="false">Arch!C18</f>
        <v>128</v>
      </c>
      <c r="R197" s="174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3752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4241</v>
      </c>
      <c r="B198" s="221" t="s">
        <v>3713</v>
      </c>
      <c r="C198" s="28" t="s">
        <v>4200</v>
      </c>
      <c r="D198" s="28" t="s">
        <v>3776</v>
      </c>
      <c r="E198" s="19" t="s">
        <v>277</v>
      </c>
      <c r="F198" s="221" t="s">
        <v>315</v>
      </c>
      <c r="G198" s="221" t="s">
        <v>3715</v>
      </c>
      <c r="H198" s="28" t="s">
        <v>4240</v>
      </c>
      <c r="I198" s="19" t="s">
        <v>3750</v>
      </c>
      <c r="J198" s="28" t="s">
        <v>604</v>
      </c>
      <c r="K198" s="221"/>
      <c r="L198" s="221"/>
      <c r="M198" s="28" t="s">
        <v>604</v>
      </c>
      <c r="N198" s="19" t="s">
        <v>3853</v>
      </c>
      <c r="O198" s="6" t="s">
        <v>604</v>
      </c>
      <c r="P198" s="221" t="s">
        <v>1133</v>
      </c>
      <c r="Q198" s="46" t="n">
        <f aca="false">Arch!D18</f>
        <v>128</v>
      </c>
      <c r="R198" s="174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3752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4242</v>
      </c>
      <c r="B199" s="221" t="s">
        <v>3713</v>
      </c>
      <c r="C199" s="28" t="s">
        <v>4200</v>
      </c>
      <c r="D199" s="28" t="s">
        <v>4243</v>
      </c>
      <c r="E199" s="19" t="s">
        <v>279</v>
      </c>
      <c r="F199" s="221" t="s">
        <v>315</v>
      </c>
      <c r="G199" s="221" t="s">
        <v>3715</v>
      </c>
      <c r="H199" s="28" t="s">
        <v>4244</v>
      </c>
      <c r="I199" s="19" t="s">
        <v>3750</v>
      </c>
      <c r="J199" s="28" t="s">
        <v>604</v>
      </c>
      <c r="K199" s="221"/>
      <c r="L199" s="221"/>
      <c r="M199" s="28" t="s">
        <v>604</v>
      </c>
      <c r="N199" s="19" t="s">
        <v>3853</v>
      </c>
      <c r="O199" s="6" t="s">
        <v>604</v>
      </c>
      <c r="P199" s="221" t="s">
        <v>1133</v>
      </c>
      <c r="Q199" s="46" t="n">
        <f aca="false">Arch!C19</f>
        <v>128</v>
      </c>
      <c r="R199" s="174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3752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4245</v>
      </c>
      <c r="B200" s="221" t="s">
        <v>3713</v>
      </c>
      <c r="C200" s="28" t="s">
        <v>4200</v>
      </c>
      <c r="D200" s="28" t="s">
        <v>3782</v>
      </c>
      <c r="E200" s="19" t="s">
        <v>279</v>
      </c>
      <c r="F200" s="221" t="s">
        <v>315</v>
      </c>
      <c r="G200" s="221" t="s">
        <v>3715</v>
      </c>
      <c r="H200" s="28" t="s">
        <v>4244</v>
      </c>
      <c r="I200" s="19" t="s">
        <v>3750</v>
      </c>
      <c r="J200" s="28" t="s">
        <v>604</v>
      </c>
      <c r="K200" s="221"/>
      <c r="L200" s="221"/>
      <c r="M200" s="28" t="s">
        <v>604</v>
      </c>
      <c r="N200" s="19" t="s">
        <v>3853</v>
      </c>
      <c r="O200" s="6" t="s">
        <v>604</v>
      </c>
      <c r="P200" s="221" t="s">
        <v>1133</v>
      </c>
      <c r="Q200" s="46" t="n">
        <f aca="false">Arch!D19</f>
        <v>128</v>
      </c>
      <c r="R200" s="174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3752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4246</v>
      </c>
      <c r="B201" s="221" t="s">
        <v>3713</v>
      </c>
      <c r="C201" s="28" t="s">
        <v>4200</v>
      </c>
      <c r="D201" s="28" t="s">
        <v>3728</v>
      </c>
      <c r="E201" s="6" t="s">
        <v>262</v>
      </c>
      <c r="F201" s="221" t="s">
        <v>315</v>
      </c>
      <c r="G201" s="221" t="s">
        <v>3715</v>
      </c>
      <c r="H201" s="28" t="s">
        <v>4247</v>
      </c>
      <c r="I201" s="19" t="s">
        <v>3750</v>
      </c>
      <c r="J201" s="28" t="s">
        <v>604</v>
      </c>
      <c r="K201" s="221"/>
      <c r="L201" s="221"/>
      <c r="M201" s="28" t="s">
        <v>604</v>
      </c>
      <c r="N201" s="19" t="s">
        <v>3853</v>
      </c>
      <c r="O201" s="6" t="s">
        <v>604</v>
      </c>
      <c r="P201" s="221" t="s">
        <v>3718</v>
      </c>
      <c r="Q201" s="46" t="n">
        <f aca="false">Arch!D9</f>
        <v>7168</v>
      </c>
      <c r="R201" s="174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3752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4248</v>
      </c>
      <c r="B202" s="221" t="s">
        <v>3713</v>
      </c>
      <c r="C202" s="28" t="s">
        <v>4200</v>
      </c>
      <c r="D202" s="28" t="s">
        <v>3733</v>
      </c>
      <c r="E202" s="6" t="s">
        <v>264</v>
      </c>
      <c r="F202" s="221" t="s">
        <v>315</v>
      </c>
      <c r="G202" s="221" t="s">
        <v>3715</v>
      </c>
      <c r="H202" s="28" t="s">
        <v>4249</v>
      </c>
      <c r="I202" s="19" t="s">
        <v>3750</v>
      </c>
      <c r="J202" s="28" t="s">
        <v>604</v>
      </c>
      <c r="K202" s="221"/>
      <c r="L202" s="221"/>
      <c r="M202" s="28" t="s">
        <v>604</v>
      </c>
      <c r="N202" s="19" t="s">
        <v>3853</v>
      </c>
      <c r="O202" s="6" t="s">
        <v>604</v>
      </c>
      <c r="P202" s="221" t="s">
        <v>3774</v>
      </c>
      <c r="Q202" s="46" t="n">
        <f aca="false">Arch!D10</f>
        <v>128</v>
      </c>
      <c r="R202" s="174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3752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4250</v>
      </c>
      <c r="B203" s="221" t="s">
        <v>3713</v>
      </c>
      <c r="C203" s="28" t="s">
        <v>4200</v>
      </c>
      <c r="D203" s="28" t="s">
        <v>3905</v>
      </c>
      <c r="E203" s="6" t="s">
        <v>262</v>
      </c>
      <c r="F203" s="221" t="s">
        <v>315</v>
      </c>
      <c r="G203" s="221" t="s">
        <v>3715</v>
      </c>
      <c r="H203" s="28" t="s">
        <v>4251</v>
      </c>
      <c r="I203" s="19" t="s">
        <v>3750</v>
      </c>
      <c r="J203" s="28" t="s">
        <v>604</v>
      </c>
      <c r="K203" s="221"/>
      <c r="L203" s="221"/>
      <c r="M203" s="28" t="s">
        <v>604</v>
      </c>
      <c r="N203" s="19" t="s">
        <v>4252</v>
      </c>
      <c r="O203" s="6" t="s">
        <v>604</v>
      </c>
      <c r="P203" s="221" t="s">
        <v>3718</v>
      </c>
      <c r="Q203" s="46" t="n">
        <f aca="false">Arch!C9</f>
        <v>4096</v>
      </c>
      <c r="R203" s="174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3752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4253</v>
      </c>
      <c r="B204" s="221" t="s">
        <v>3713</v>
      </c>
      <c r="C204" s="28" t="s">
        <v>4200</v>
      </c>
      <c r="D204" s="28" t="s">
        <v>3925</v>
      </c>
      <c r="E204" s="6" t="s">
        <v>264</v>
      </c>
      <c r="F204" s="221" t="s">
        <v>315</v>
      </c>
      <c r="G204" s="221" t="s">
        <v>3715</v>
      </c>
      <c r="H204" s="28" t="s">
        <v>4254</v>
      </c>
      <c r="I204" s="19" t="s">
        <v>3750</v>
      </c>
      <c r="J204" s="28" t="s">
        <v>604</v>
      </c>
      <c r="K204" s="223"/>
      <c r="L204" s="223"/>
      <c r="M204" s="28" t="s">
        <v>604</v>
      </c>
      <c r="N204" s="222" t="str">
        <f aca="false">Arch!$G$10</f>
        <v>V4-Pro 128；V4-Flash 64（官方 config.json num_attention_heads，v5.13 讀原文）；Astra [Assumed]</v>
      </c>
      <c r="O204" s="6" t="s">
        <v>4255</v>
      </c>
      <c r="P204" s="221" t="s">
        <v>3774</v>
      </c>
      <c r="Q204" s="46" t="n">
        <f aca="false">Arch!C10</f>
        <v>64</v>
      </c>
      <c r="R204" s="174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3752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4256</v>
      </c>
      <c r="B205" s="221" t="s">
        <v>3713</v>
      </c>
      <c r="C205" s="28" t="s">
        <v>4200</v>
      </c>
      <c r="D205" s="28" t="s">
        <v>4257</v>
      </c>
      <c r="E205" s="19" t="s">
        <v>4258</v>
      </c>
      <c r="F205" s="221" t="s">
        <v>315</v>
      </c>
      <c r="G205" s="221" t="s">
        <v>3715</v>
      </c>
      <c r="H205" s="28" t="s">
        <v>4259</v>
      </c>
      <c r="I205" s="19" t="s">
        <v>4058</v>
      </c>
      <c r="J205" s="28" t="s">
        <v>604</v>
      </c>
      <c r="K205" s="221"/>
      <c r="L205" s="221"/>
      <c r="M205" s="28" t="s">
        <v>604</v>
      </c>
      <c r="N205" s="19" t="s">
        <v>3853</v>
      </c>
      <c r="O205" s="6" t="s">
        <v>604</v>
      </c>
      <c r="P205" s="221" t="s">
        <v>3718</v>
      </c>
      <c r="Q205" s="46" t="n">
        <f aca="false">Arch!C17</f>
        <v>4224</v>
      </c>
      <c r="R205" s="174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3752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4260</v>
      </c>
      <c r="B206" s="221" t="s">
        <v>3713</v>
      </c>
      <c r="C206" s="28" t="s">
        <v>4200</v>
      </c>
      <c r="D206" s="28" t="s">
        <v>3768</v>
      </c>
      <c r="E206" s="19" t="s">
        <v>4258</v>
      </c>
      <c r="F206" s="221" t="s">
        <v>315</v>
      </c>
      <c r="G206" s="221" t="s">
        <v>3715</v>
      </c>
      <c r="H206" s="28" t="s">
        <v>4259</v>
      </c>
      <c r="I206" s="19" t="s">
        <v>4058</v>
      </c>
      <c r="J206" s="28" t="s">
        <v>604</v>
      </c>
      <c r="K206" s="221"/>
      <c r="L206" s="221"/>
      <c r="M206" s="28" t="s">
        <v>604</v>
      </c>
      <c r="N206" s="19" t="s">
        <v>3853</v>
      </c>
      <c r="O206" s="6" t="s">
        <v>604</v>
      </c>
      <c r="P206" s="221" t="s">
        <v>3718</v>
      </c>
      <c r="Q206" s="46" t="n">
        <f aca="false">Arch!D17</f>
        <v>4224</v>
      </c>
      <c r="R206" s="174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3752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4261</v>
      </c>
      <c r="B207" s="221" t="s">
        <v>3713</v>
      </c>
      <c r="C207" s="28" t="s">
        <v>4200</v>
      </c>
      <c r="D207" s="28" t="s">
        <v>3573</v>
      </c>
      <c r="E207" s="19" t="s">
        <v>253</v>
      </c>
      <c r="F207" s="28" t="s">
        <v>90</v>
      </c>
      <c r="G207" s="221" t="s">
        <v>3715</v>
      </c>
      <c r="H207" s="28" t="s">
        <v>604</v>
      </c>
      <c r="I207" s="6" t="s">
        <v>604</v>
      </c>
      <c r="J207" s="28" t="s">
        <v>604</v>
      </c>
      <c r="K207" s="223" t="n">
        <v>2000</v>
      </c>
      <c r="L207" s="223" t="n">
        <v>10000</v>
      </c>
      <c r="M207" s="28" t="s">
        <v>4262</v>
      </c>
      <c r="N207" s="22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604</v>
      </c>
      <c r="P207" s="221" t="s">
        <v>1134</v>
      </c>
      <c r="Q207" s="46" t="n">
        <f aca="false">Arch!E6</f>
        <v>4000</v>
      </c>
      <c r="R207" s="28" t="s">
        <v>604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3719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4263</v>
      </c>
      <c r="B208" s="221" t="s">
        <v>3713</v>
      </c>
      <c r="C208" s="28" t="s">
        <v>4200</v>
      </c>
      <c r="D208" s="28" t="s">
        <v>3576</v>
      </c>
      <c r="E208" s="19" t="s">
        <v>257</v>
      </c>
      <c r="F208" s="28" t="s">
        <v>90</v>
      </c>
      <c r="G208" s="221" t="s">
        <v>3715</v>
      </c>
      <c r="H208" s="28" t="s">
        <v>604</v>
      </c>
      <c r="I208" s="6" t="s">
        <v>604</v>
      </c>
      <c r="J208" s="28" t="s">
        <v>604</v>
      </c>
      <c r="K208" s="223" t="n">
        <v>60</v>
      </c>
      <c r="L208" s="223" t="n">
        <v>250</v>
      </c>
      <c r="M208" s="28" t="s">
        <v>4264</v>
      </c>
      <c r="N208" s="222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604</v>
      </c>
      <c r="P208" s="221" t="s">
        <v>1134</v>
      </c>
      <c r="Q208" s="46" t="n">
        <f aca="false">Arch!E7</f>
        <v>180</v>
      </c>
      <c r="R208" s="28" t="s">
        <v>604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3719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4265</v>
      </c>
      <c r="B209" s="221" t="s">
        <v>3713</v>
      </c>
      <c r="C209" s="28" t="s">
        <v>4200</v>
      </c>
      <c r="D209" s="28" t="s">
        <v>3579</v>
      </c>
      <c r="E209" s="19" t="s">
        <v>259</v>
      </c>
      <c r="F209" s="28" t="s">
        <v>90</v>
      </c>
      <c r="G209" s="221" t="s">
        <v>3715</v>
      </c>
      <c r="H209" s="28" t="s">
        <v>604</v>
      </c>
      <c r="I209" s="6" t="s">
        <v>604</v>
      </c>
      <c r="J209" s="28" t="s">
        <v>604</v>
      </c>
      <c r="K209" s="223" t="n">
        <v>80</v>
      </c>
      <c r="L209" s="223" t="n">
        <v>160</v>
      </c>
      <c r="M209" s="28" t="s">
        <v>4266</v>
      </c>
      <c r="N209" s="6" t="s">
        <v>4267</v>
      </c>
      <c r="O209" s="6" t="s">
        <v>604</v>
      </c>
      <c r="P209" s="221" t="s">
        <v>1134</v>
      </c>
      <c r="Q209" s="46" t="n">
        <f aca="false">Arch!E8</f>
        <v>100</v>
      </c>
      <c r="R209" s="28" t="s">
        <v>604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3719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4268</v>
      </c>
      <c r="B210" s="221" t="s">
        <v>3713</v>
      </c>
      <c r="C210" s="28" t="s">
        <v>4200</v>
      </c>
      <c r="D210" s="28" t="s">
        <v>3582</v>
      </c>
      <c r="E210" s="6" t="s">
        <v>262</v>
      </c>
      <c r="F210" s="28" t="s">
        <v>90</v>
      </c>
      <c r="G210" s="221" t="s">
        <v>3715</v>
      </c>
      <c r="H210" s="28" t="s">
        <v>604</v>
      </c>
      <c r="I210" s="6" t="s">
        <v>604</v>
      </c>
      <c r="J210" s="28" t="s">
        <v>604</v>
      </c>
      <c r="K210" s="223" t="n">
        <v>8192</v>
      </c>
      <c r="L210" s="223" t="n">
        <v>16384</v>
      </c>
      <c r="M210" s="28" t="s">
        <v>4269</v>
      </c>
      <c r="N210" s="6" t="s">
        <v>4270</v>
      </c>
      <c r="O210" s="6" t="s">
        <v>604</v>
      </c>
      <c r="P210" s="221" t="s">
        <v>3718</v>
      </c>
      <c r="Q210" s="46" t="n">
        <f aca="false">Arch!E9</f>
        <v>12288</v>
      </c>
      <c r="R210" s="28" t="s">
        <v>604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3719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4271</v>
      </c>
      <c r="B211" s="221" t="s">
        <v>3713</v>
      </c>
      <c r="C211" s="28" t="s">
        <v>4200</v>
      </c>
      <c r="D211" s="28" t="s">
        <v>3585</v>
      </c>
      <c r="E211" s="6" t="s">
        <v>264</v>
      </c>
      <c r="F211" s="28" t="s">
        <v>90</v>
      </c>
      <c r="G211" s="221" t="s">
        <v>3715</v>
      </c>
      <c r="H211" s="28" t="s">
        <v>604</v>
      </c>
      <c r="I211" s="6" t="s">
        <v>604</v>
      </c>
      <c r="J211" s="28" t="s">
        <v>604</v>
      </c>
      <c r="K211" s="223" t="n">
        <v>64</v>
      </c>
      <c r="L211" s="223" t="n">
        <v>128</v>
      </c>
      <c r="M211" s="28" t="s">
        <v>4272</v>
      </c>
      <c r="N211" s="6" t="s">
        <v>4270</v>
      </c>
      <c r="O211" s="6" t="s">
        <v>604</v>
      </c>
      <c r="P211" s="221" t="s">
        <v>3774</v>
      </c>
      <c r="Q211" s="46" t="n">
        <f aca="false">Arch!E10</f>
        <v>96</v>
      </c>
      <c r="R211" s="28" t="s">
        <v>604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3719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4273</v>
      </c>
      <c r="B212" s="221" t="s">
        <v>3713</v>
      </c>
      <c r="C212" s="28" t="s">
        <v>4200</v>
      </c>
      <c r="D212" s="28" t="s">
        <v>3588</v>
      </c>
      <c r="E212" s="6" t="s">
        <v>266</v>
      </c>
      <c r="F212" s="28" t="s">
        <v>90</v>
      </c>
      <c r="G212" s="221" t="s">
        <v>3715</v>
      </c>
      <c r="H212" s="28" t="s">
        <v>604</v>
      </c>
      <c r="I212" s="6" t="s">
        <v>604</v>
      </c>
      <c r="J212" s="28" t="s">
        <v>604</v>
      </c>
      <c r="K212" s="223" t="n">
        <v>128</v>
      </c>
      <c r="L212" s="223" t="n">
        <v>192</v>
      </c>
      <c r="M212" s="28" t="s">
        <v>4274</v>
      </c>
      <c r="N212" s="6" t="s">
        <v>4270</v>
      </c>
      <c r="O212" s="6" t="s">
        <v>604</v>
      </c>
      <c r="P212" s="221" t="s">
        <v>3774</v>
      </c>
      <c r="Q212" s="46" t="n">
        <f aca="false">Arch!E11</f>
        <v>128</v>
      </c>
      <c r="R212" s="28" t="s">
        <v>604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3719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4275</v>
      </c>
      <c r="B213" s="221" t="s">
        <v>3713</v>
      </c>
      <c r="C213" s="28" t="s">
        <v>4200</v>
      </c>
      <c r="D213" s="28" t="s">
        <v>3591</v>
      </c>
      <c r="E213" s="6" t="s">
        <v>268</v>
      </c>
      <c r="F213" s="28" t="s">
        <v>90</v>
      </c>
      <c r="G213" s="221" t="s">
        <v>3715</v>
      </c>
      <c r="H213" s="28" t="s">
        <v>604</v>
      </c>
      <c r="I213" s="6" t="s">
        <v>604</v>
      </c>
      <c r="J213" s="28" t="s">
        <v>604</v>
      </c>
      <c r="K213" s="223" t="n">
        <v>256</v>
      </c>
      <c r="L213" s="223" t="n">
        <v>1024</v>
      </c>
      <c r="M213" s="28" t="s">
        <v>4276</v>
      </c>
      <c r="N213" s="6" t="s">
        <v>4277</v>
      </c>
      <c r="O213" s="6" t="s">
        <v>604</v>
      </c>
      <c r="P213" s="221" t="s">
        <v>3774</v>
      </c>
      <c r="Q213" s="46" t="n">
        <f aca="false">Arch!E12</f>
        <v>512</v>
      </c>
      <c r="R213" s="28" t="s">
        <v>604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3719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4278</v>
      </c>
      <c r="B214" s="221" t="s">
        <v>3713</v>
      </c>
      <c r="C214" s="28" t="s">
        <v>4200</v>
      </c>
      <c r="D214" s="28" t="s">
        <v>3593</v>
      </c>
      <c r="E214" s="19" t="s">
        <v>4222</v>
      </c>
      <c r="F214" s="28" t="s">
        <v>90</v>
      </c>
      <c r="G214" s="221" t="s">
        <v>3715</v>
      </c>
      <c r="H214" s="28" t="s">
        <v>604</v>
      </c>
      <c r="I214" s="6" t="s">
        <v>604</v>
      </c>
      <c r="J214" s="28" t="s">
        <v>604</v>
      </c>
      <c r="K214" s="223" t="n">
        <v>8</v>
      </c>
      <c r="L214" s="223" t="n">
        <v>32</v>
      </c>
      <c r="M214" s="28" t="s">
        <v>4279</v>
      </c>
      <c r="N214" s="6" t="s">
        <v>4277</v>
      </c>
      <c r="O214" s="6" t="s">
        <v>604</v>
      </c>
      <c r="P214" s="221" t="s">
        <v>3774</v>
      </c>
      <c r="Q214" s="46" t="n">
        <f aca="false">Arch!E13</f>
        <v>16</v>
      </c>
      <c r="R214" s="28" t="s">
        <v>604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3719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4280</v>
      </c>
      <c r="B215" s="221" t="s">
        <v>3713</v>
      </c>
      <c r="C215" s="28" t="s">
        <v>4200</v>
      </c>
      <c r="D215" s="28" t="s">
        <v>4281</v>
      </c>
      <c r="E215" s="6" t="s">
        <v>271</v>
      </c>
      <c r="F215" s="28" t="s">
        <v>90</v>
      </c>
      <c r="G215" s="221" t="s">
        <v>3715</v>
      </c>
      <c r="H215" s="28" t="s">
        <v>604</v>
      </c>
      <c r="I215" s="6" t="s">
        <v>604</v>
      </c>
      <c r="J215" s="28" t="s">
        <v>604</v>
      </c>
      <c r="K215" s="223" t="n">
        <v>128000</v>
      </c>
      <c r="L215" s="223" t="n">
        <v>262144</v>
      </c>
      <c r="M215" s="28" t="s">
        <v>4282</v>
      </c>
      <c r="N215" s="6" t="s">
        <v>4270</v>
      </c>
      <c r="O215" s="6" t="s">
        <v>604</v>
      </c>
      <c r="P215" s="221" t="s">
        <v>3718</v>
      </c>
      <c r="Q215" s="46" t="n">
        <f aca="false">Arch!E15</f>
        <v>200000</v>
      </c>
      <c r="R215" s="28" t="s">
        <v>604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3719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4283</v>
      </c>
      <c r="B216" s="221" t="s">
        <v>3713</v>
      </c>
      <c r="C216" s="28" t="s">
        <v>4200</v>
      </c>
      <c r="D216" s="28" t="s">
        <v>3754</v>
      </c>
      <c r="E216" s="6" t="s">
        <v>270</v>
      </c>
      <c r="F216" s="28" t="s">
        <v>90</v>
      </c>
      <c r="G216" s="221" t="s">
        <v>3715</v>
      </c>
      <c r="H216" s="28" t="s">
        <v>604</v>
      </c>
      <c r="I216" s="6" t="s">
        <v>604</v>
      </c>
      <c r="J216" s="28" t="s">
        <v>604</v>
      </c>
      <c r="K216" s="221"/>
      <c r="L216" s="221"/>
      <c r="M216" s="221" t="s">
        <v>3618</v>
      </c>
      <c r="N216" s="6" t="s">
        <v>4284</v>
      </c>
      <c r="O216" s="6" t="s">
        <v>604</v>
      </c>
      <c r="P216" s="221" t="s">
        <v>1133</v>
      </c>
      <c r="Q216" s="46" t="n">
        <f aca="false">Arch!E14</f>
        <v>1</v>
      </c>
      <c r="R216" s="28" t="s">
        <v>604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3719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4285</v>
      </c>
      <c r="B217" s="221" t="s">
        <v>3713</v>
      </c>
      <c r="C217" s="28" t="s">
        <v>4200</v>
      </c>
      <c r="D217" s="28" t="s">
        <v>3760</v>
      </c>
      <c r="E217" s="19" t="s">
        <v>272</v>
      </c>
      <c r="F217" s="28" t="s">
        <v>90</v>
      </c>
      <c r="G217" s="221" t="s">
        <v>3715</v>
      </c>
      <c r="H217" s="28" t="s">
        <v>604</v>
      </c>
      <c r="I217" s="6" t="s">
        <v>604</v>
      </c>
      <c r="J217" s="28" t="s">
        <v>604</v>
      </c>
      <c r="K217" s="221"/>
      <c r="L217" s="221"/>
      <c r="M217" s="221" t="s">
        <v>3618</v>
      </c>
      <c r="N217" s="6" t="s">
        <v>4286</v>
      </c>
      <c r="O217" s="6" t="s">
        <v>604</v>
      </c>
      <c r="P217" s="221" t="s">
        <v>3774</v>
      </c>
      <c r="Q217" s="184" t="n">
        <f aca="false">Arch!E16</f>
        <v>1</v>
      </c>
      <c r="R217" s="28" t="s">
        <v>604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3719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4287</v>
      </c>
      <c r="B218" s="221" t="s">
        <v>3713</v>
      </c>
      <c r="C218" s="28" t="s">
        <v>4200</v>
      </c>
      <c r="D218" s="28" t="s">
        <v>3766</v>
      </c>
      <c r="E218" s="19" t="s">
        <v>4258</v>
      </c>
      <c r="F218" s="28" t="s">
        <v>90</v>
      </c>
      <c r="G218" s="221" t="s">
        <v>3715</v>
      </c>
      <c r="H218" s="28" t="s">
        <v>604</v>
      </c>
      <c r="I218" s="6" t="s">
        <v>604</v>
      </c>
      <c r="J218" s="28" t="s">
        <v>604</v>
      </c>
      <c r="K218" s="221"/>
      <c r="L218" s="221"/>
      <c r="M218" s="221" t="s">
        <v>3618</v>
      </c>
      <c r="N218" s="6" t="s">
        <v>4288</v>
      </c>
      <c r="O218" s="6" t="s">
        <v>604</v>
      </c>
      <c r="P218" s="221" t="s">
        <v>3718</v>
      </c>
      <c r="Q218" s="46" t="n">
        <f aca="false">Arch!E17</f>
        <v>0</v>
      </c>
      <c r="R218" s="28" t="s">
        <v>604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3719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4289</v>
      </c>
      <c r="B219" s="221" t="s">
        <v>3713</v>
      </c>
      <c r="C219" s="28" t="s">
        <v>4200</v>
      </c>
      <c r="D219" s="28" t="s">
        <v>3772</v>
      </c>
      <c r="E219" s="19" t="s">
        <v>277</v>
      </c>
      <c r="F219" s="28" t="s">
        <v>90</v>
      </c>
      <c r="G219" s="221" t="s">
        <v>3715</v>
      </c>
      <c r="H219" s="28" t="s">
        <v>604</v>
      </c>
      <c r="I219" s="6" t="s">
        <v>604</v>
      </c>
      <c r="J219" s="28" t="s">
        <v>604</v>
      </c>
      <c r="K219" s="221"/>
      <c r="L219" s="221"/>
      <c r="M219" s="221" t="s">
        <v>3618</v>
      </c>
      <c r="N219" s="6" t="s">
        <v>4290</v>
      </c>
      <c r="O219" s="6" t="s">
        <v>604</v>
      </c>
      <c r="P219" s="221" t="s">
        <v>1133</v>
      </c>
      <c r="Q219" s="46" t="n">
        <f aca="false">Arch!E18</f>
        <v>1</v>
      </c>
      <c r="R219" s="28" t="s">
        <v>604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3719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4291</v>
      </c>
      <c r="B220" s="221" t="s">
        <v>3713</v>
      </c>
      <c r="C220" s="28" t="s">
        <v>4200</v>
      </c>
      <c r="D220" s="28" t="s">
        <v>3780</v>
      </c>
      <c r="E220" s="19" t="s">
        <v>279</v>
      </c>
      <c r="F220" s="28" t="s">
        <v>90</v>
      </c>
      <c r="G220" s="221" t="s">
        <v>3715</v>
      </c>
      <c r="H220" s="28" t="s">
        <v>604</v>
      </c>
      <c r="I220" s="6" t="s">
        <v>604</v>
      </c>
      <c r="J220" s="28" t="s">
        <v>604</v>
      </c>
      <c r="K220" s="221"/>
      <c r="L220" s="221"/>
      <c r="M220" s="221" t="s">
        <v>3618</v>
      </c>
      <c r="N220" s="6" t="s">
        <v>4292</v>
      </c>
      <c r="O220" s="6" t="s">
        <v>604</v>
      </c>
      <c r="P220" s="221" t="s">
        <v>1133</v>
      </c>
      <c r="Q220" s="46" t="n">
        <f aca="false">Arch!E19</f>
        <v>0</v>
      </c>
      <c r="R220" s="28" t="s">
        <v>604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3719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4293</v>
      </c>
      <c r="B221" s="221" t="s">
        <v>3713</v>
      </c>
      <c r="C221" s="28" t="s">
        <v>4200</v>
      </c>
      <c r="D221" s="28" t="s">
        <v>3786</v>
      </c>
      <c r="E221" s="6" t="s">
        <v>280</v>
      </c>
      <c r="F221" s="28" t="s">
        <v>82</v>
      </c>
      <c r="G221" s="221" t="s">
        <v>3715</v>
      </c>
      <c r="H221" s="28" t="s">
        <v>604</v>
      </c>
      <c r="I221" s="6" t="s">
        <v>604</v>
      </c>
      <c r="J221" s="28" t="s">
        <v>4294</v>
      </c>
      <c r="K221" s="221"/>
      <c r="L221" s="221"/>
      <c r="M221" s="28" t="s">
        <v>604</v>
      </c>
      <c r="N221" s="6" t="s">
        <v>4295</v>
      </c>
      <c r="O221" s="6" t="s">
        <v>604</v>
      </c>
      <c r="P221" s="221" t="s">
        <v>3718</v>
      </c>
      <c r="Q221" s="31" t="n">
        <f aca="false">Arch!E20</f>
        <v>2</v>
      </c>
      <c r="R221" s="28" t="s">
        <v>604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3719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4296</v>
      </c>
      <c r="B222" s="221" t="s">
        <v>3713</v>
      </c>
      <c r="C222" s="28" t="s">
        <v>4200</v>
      </c>
      <c r="D222" s="28" t="s">
        <v>4297</v>
      </c>
      <c r="E222" s="6" t="s">
        <v>282</v>
      </c>
      <c r="F222" s="28" t="s">
        <v>3807</v>
      </c>
      <c r="G222" s="221" t="s">
        <v>3715</v>
      </c>
      <c r="H222" s="28" t="s">
        <v>604</v>
      </c>
      <c r="I222" s="6" t="s">
        <v>604</v>
      </c>
      <c r="J222" s="28" t="s">
        <v>604</v>
      </c>
      <c r="K222" s="221"/>
      <c r="L222" s="221"/>
      <c r="M222" s="28" t="s">
        <v>604</v>
      </c>
      <c r="N222" s="225" t="s">
        <v>4298</v>
      </c>
      <c r="O222" s="6" t="s">
        <v>604</v>
      </c>
      <c r="P222" s="221" t="s">
        <v>3718</v>
      </c>
      <c r="Q222" s="46" t="n">
        <f aca="false">Arch!C21</f>
        <v>2795</v>
      </c>
      <c r="R222" s="28" t="s">
        <v>604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3811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4299</v>
      </c>
      <c r="B223" s="221" t="s">
        <v>3713</v>
      </c>
      <c r="C223" s="28" t="s">
        <v>4200</v>
      </c>
      <c r="D223" s="28" t="s">
        <v>3796</v>
      </c>
      <c r="E223" s="6" t="s">
        <v>282</v>
      </c>
      <c r="F223" s="28" t="s">
        <v>3807</v>
      </c>
      <c r="G223" s="221" t="s">
        <v>3715</v>
      </c>
      <c r="H223" s="28" t="s">
        <v>604</v>
      </c>
      <c r="I223" s="6" t="s">
        <v>604</v>
      </c>
      <c r="J223" s="28" t="s">
        <v>604</v>
      </c>
      <c r="K223" s="221"/>
      <c r="L223" s="221"/>
      <c r="M223" s="28" t="s">
        <v>604</v>
      </c>
      <c r="N223" s="225" t="s">
        <v>4298</v>
      </c>
      <c r="O223" s="6" t="s">
        <v>604</v>
      </c>
      <c r="P223" s="221" t="s">
        <v>3718</v>
      </c>
      <c r="Q223" s="46" t="n">
        <f aca="false">Arch!D21</f>
        <v>3965</v>
      </c>
      <c r="R223" s="28" t="s">
        <v>604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3811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4300</v>
      </c>
      <c r="B224" s="221" t="s">
        <v>3713</v>
      </c>
      <c r="C224" s="28" t="s">
        <v>4200</v>
      </c>
      <c r="D224" s="28" t="s">
        <v>3793</v>
      </c>
      <c r="E224" s="6" t="s">
        <v>282</v>
      </c>
      <c r="F224" s="28" t="s">
        <v>3807</v>
      </c>
      <c r="G224" s="221" t="s">
        <v>3715</v>
      </c>
      <c r="H224" s="28" t="s">
        <v>604</v>
      </c>
      <c r="I224" s="6" t="s">
        <v>604</v>
      </c>
      <c r="J224" s="28" t="s">
        <v>604</v>
      </c>
      <c r="K224" s="221"/>
      <c r="L224" s="221"/>
      <c r="M224" s="28" t="s">
        <v>604</v>
      </c>
      <c r="N224" s="225" t="s">
        <v>4298</v>
      </c>
      <c r="O224" s="6" t="s">
        <v>604</v>
      </c>
      <c r="P224" s="221" t="s">
        <v>3718</v>
      </c>
      <c r="Q224" s="46" t="n">
        <f aca="false">Arch!E21</f>
        <v>14976</v>
      </c>
      <c r="R224" s="28" t="s">
        <v>604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3811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4301</v>
      </c>
      <c r="B225" s="221" t="s">
        <v>3713</v>
      </c>
      <c r="C225" s="28" t="s">
        <v>4200</v>
      </c>
      <c r="D225" s="28" t="s">
        <v>4302</v>
      </c>
      <c r="E225" s="6" t="s">
        <v>285</v>
      </c>
      <c r="F225" s="28" t="s">
        <v>3807</v>
      </c>
      <c r="G225" s="221" t="s">
        <v>3715</v>
      </c>
      <c r="H225" s="28" t="s">
        <v>604</v>
      </c>
      <c r="I225" s="6" t="s">
        <v>604</v>
      </c>
      <c r="J225" s="28" t="s">
        <v>604</v>
      </c>
      <c r="K225" s="221"/>
      <c r="L225" s="221"/>
      <c r="M225" s="28" t="s">
        <v>604</v>
      </c>
      <c r="N225" s="225" t="s">
        <v>4298</v>
      </c>
      <c r="O225" s="6" t="s">
        <v>604</v>
      </c>
      <c r="P225" s="221" t="s">
        <v>3718</v>
      </c>
      <c r="Q225" s="46" t="n">
        <f aca="false">Arch!C22</f>
        <v>2795</v>
      </c>
      <c r="R225" s="28" t="s">
        <v>604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3811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4303</v>
      </c>
      <c r="B226" s="221" t="s">
        <v>3713</v>
      </c>
      <c r="C226" s="28" t="s">
        <v>4200</v>
      </c>
      <c r="D226" s="28" t="s">
        <v>4304</v>
      </c>
      <c r="E226" s="6" t="s">
        <v>285</v>
      </c>
      <c r="F226" s="28" t="s">
        <v>3807</v>
      </c>
      <c r="G226" s="221" t="s">
        <v>3715</v>
      </c>
      <c r="H226" s="28" t="s">
        <v>604</v>
      </c>
      <c r="I226" s="6" t="s">
        <v>604</v>
      </c>
      <c r="J226" s="28" t="s">
        <v>604</v>
      </c>
      <c r="K226" s="221"/>
      <c r="L226" s="221"/>
      <c r="M226" s="28" t="s">
        <v>604</v>
      </c>
      <c r="N226" s="225" t="s">
        <v>4298</v>
      </c>
      <c r="O226" s="6" t="s">
        <v>604</v>
      </c>
      <c r="P226" s="221" t="s">
        <v>3718</v>
      </c>
      <c r="Q226" s="46" t="n">
        <f aca="false">Arch!D22</f>
        <v>3965</v>
      </c>
      <c r="R226" s="28" t="s">
        <v>604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3811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4305</v>
      </c>
      <c r="B227" s="221" t="s">
        <v>3713</v>
      </c>
      <c r="C227" s="28" t="s">
        <v>4200</v>
      </c>
      <c r="D227" s="28" t="s">
        <v>4306</v>
      </c>
      <c r="E227" s="6" t="s">
        <v>285</v>
      </c>
      <c r="F227" s="28" t="s">
        <v>3807</v>
      </c>
      <c r="G227" s="221" t="s">
        <v>3715</v>
      </c>
      <c r="H227" s="28" t="s">
        <v>604</v>
      </c>
      <c r="I227" s="6" t="s">
        <v>604</v>
      </c>
      <c r="J227" s="28" t="s">
        <v>604</v>
      </c>
      <c r="K227" s="221"/>
      <c r="L227" s="221"/>
      <c r="M227" s="28" t="s">
        <v>604</v>
      </c>
      <c r="N227" s="225" t="s">
        <v>4298</v>
      </c>
      <c r="O227" s="6" t="s">
        <v>604</v>
      </c>
      <c r="P227" s="221" t="s">
        <v>3718</v>
      </c>
      <c r="Q227" s="46" t="n">
        <f aca="false">Arch!E22</f>
        <v>57600</v>
      </c>
      <c r="R227" s="28" t="s">
        <v>604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3811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4307</v>
      </c>
      <c r="B228" s="221" t="s">
        <v>3713</v>
      </c>
      <c r="C228" s="28" t="s">
        <v>4200</v>
      </c>
      <c r="D228" s="28" t="s">
        <v>3992</v>
      </c>
      <c r="E228" s="6" t="s">
        <v>287</v>
      </c>
      <c r="F228" s="28" t="s">
        <v>3807</v>
      </c>
      <c r="G228" s="221" t="s">
        <v>3715</v>
      </c>
      <c r="H228" s="28" t="s">
        <v>604</v>
      </c>
      <c r="I228" s="6" t="s">
        <v>604</v>
      </c>
      <c r="J228" s="28" t="s">
        <v>604</v>
      </c>
      <c r="K228" s="221"/>
      <c r="L228" s="221"/>
      <c r="M228" s="28" t="s">
        <v>604</v>
      </c>
      <c r="N228" s="225" t="s">
        <v>4298</v>
      </c>
      <c r="O228" s="6" t="s">
        <v>604</v>
      </c>
      <c r="P228" s="221" t="s">
        <v>3718</v>
      </c>
      <c r="Q228" s="46" t="n">
        <f aca="false">Arch!C23</f>
        <v>2795</v>
      </c>
      <c r="R228" s="28" t="s">
        <v>604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3811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4308</v>
      </c>
      <c r="B229" s="221" t="s">
        <v>3713</v>
      </c>
      <c r="C229" s="28" t="s">
        <v>4200</v>
      </c>
      <c r="D229" s="28" t="s">
        <v>3850</v>
      </c>
      <c r="E229" s="6" t="s">
        <v>287</v>
      </c>
      <c r="F229" s="28" t="s">
        <v>3807</v>
      </c>
      <c r="G229" s="221" t="s">
        <v>3715</v>
      </c>
      <c r="H229" s="28" t="s">
        <v>604</v>
      </c>
      <c r="I229" s="6" t="s">
        <v>604</v>
      </c>
      <c r="J229" s="28" t="s">
        <v>604</v>
      </c>
      <c r="K229" s="221"/>
      <c r="L229" s="221"/>
      <c r="M229" s="28" t="s">
        <v>604</v>
      </c>
      <c r="N229" s="225" t="s">
        <v>4298</v>
      </c>
      <c r="O229" s="6" t="s">
        <v>604</v>
      </c>
      <c r="P229" s="221" t="s">
        <v>3718</v>
      </c>
      <c r="Q229" s="46" t="n">
        <f aca="false">Arch!D23</f>
        <v>3965</v>
      </c>
      <c r="R229" s="28" t="s">
        <v>604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3811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4309</v>
      </c>
      <c r="B230" s="221" t="s">
        <v>3713</v>
      </c>
      <c r="C230" s="28" t="s">
        <v>4200</v>
      </c>
      <c r="D230" s="28" t="s">
        <v>3855</v>
      </c>
      <c r="E230" s="6" t="s">
        <v>287</v>
      </c>
      <c r="F230" s="28" t="s">
        <v>3807</v>
      </c>
      <c r="G230" s="221" t="s">
        <v>3715</v>
      </c>
      <c r="H230" s="28" t="s">
        <v>604</v>
      </c>
      <c r="I230" s="6" t="s">
        <v>604</v>
      </c>
      <c r="J230" s="28" t="s">
        <v>604</v>
      </c>
      <c r="K230" s="221"/>
      <c r="L230" s="221"/>
      <c r="M230" s="28" t="s">
        <v>604</v>
      </c>
      <c r="N230" s="225" t="s">
        <v>4298</v>
      </c>
      <c r="O230" s="6" t="s">
        <v>604</v>
      </c>
      <c r="P230" s="221" t="s">
        <v>3718</v>
      </c>
      <c r="Q230" s="46" t="n">
        <f aca="false">Arch!E23</f>
        <v>204800</v>
      </c>
      <c r="R230" s="28" t="s">
        <v>604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3811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4310</v>
      </c>
      <c r="B231" s="221" t="s">
        <v>3713</v>
      </c>
      <c r="C231" s="28" t="s">
        <v>4311</v>
      </c>
      <c r="D231" s="28" t="s">
        <v>3878</v>
      </c>
      <c r="E231" s="6" t="s">
        <v>325</v>
      </c>
      <c r="F231" s="28" t="s">
        <v>94</v>
      </c>
      <c r="G231" s="221" t="s">
        <v>3715</v>
      </c>
      <c r="H231" s="28" t="s">
        <v>4312</v>
      </c>
      <c r="I231" s="19" t="s">
        <v>4313</v>
      </c>
      <c r="J231" s="28" t="s">
        <v>604</v>
      </c>
      <c r="K231" s="223" t="n">
        <v>1</v>
      </c>
      <c r="L231" s="223" t="n">
        <v>5</v>
      </c>
      <c r="M231" s="28" t="s">
        <v>4314</v>
      </c>
      <c r="N231" s="222" t="str">
        <f aca="false">Serving!$F$6&amp;" ｜補充旗標（IF 全欄分段，非分段依據）：中"</f>
        <v>DeepSeek MTP；區間 1–5 ｜補充旗標（IF 全欄分段，非分段依據）：中</v>
      </c>
      <c r="O231" s="6" t="s">
        <v>604</v>
      </c>
      <c r="P231" s="221" t="s">
        <v>1133</v>
      </c>
      <c r="Q231" s="31" t="n">
        <f aca="false">Serving!C6</f>
        <v>3</v>
      </c>
      <c r="R231" s="174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3719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4315</v>
      </c>
      <c r="B232" s="221" t="s">
        <v>3713</v>
      </c>
      <c r="C232" s="28" t="s">
        <v>4311</v>
      </c>
      <c r="D232" s="28" t="s">
        <v>4205</v>
      </c>
      <c r="E232" s="19" t="s">
        <v>4316</v>
      </c>
      <c r="F232" s="221" t="s">
        <v>315</v>
      </c>
      <c r="G232" s="221" t="s">
        <v>3715</v>
      </c>
      <c r="H232" s="28" t="s">
        <v>4317</v>
      </c>
      <c r="I232" s="19" t="s">
        <v>3750</v>
      </c>
      <c r="J232" s="28" t="s">
        <v>604</v>
      </c>
      <c r="K232" s="221"/>
      <c r="L232" s="221"/>
      <c r="M232" s="28" t="s">
        <v>604</v>
      </c>
      <c r="N232" s="19" t="s">
        <v>3942</v>
      </c>
      <c r="O232" s="6" t="s">
        <v>604</v>
      </c>
      <c r="P232" s="221" t="s">
        <v>3774</v>
      </c>
      <c r="Q232" s="184" t="n">
        <f aca="false">Serving!C7</f>
        <v>0.7</v>
      </c>
      <c r="R232" s="174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3752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4318</v>
      </c>
      <c r="B233" s="221" t="s">
        <v>3713</v>
      </c>
      <c r="C233" s="28" t="s">
        <v>4311</v>
      </c>
      <c r="D233" s="28" t="s">
        <v>3905</v>
      </c>
      <c r="E233" s="6" t="s">
        <v>332</v>
      </c>
      <c r="F233" s="28" t="s">
        <v>90</v>
      </c>
      <c r="G233" s="221" t="s">
        <v>3715</v>
      </c>
      <c r="H233" s="28" t="s">
        <v>604</v>
      </c>
      <c r="I233" s="6" t="s">
        <v>604</v>
      </c>
      <c r="J233" s="28" t="s">
        <v>604</v>
      </c>
      <c r="K233" s="223" t="n">
        <v>0.05</v>
      </c>
      <c r="L233" s="223" t="n">
        <v>0.2</v>
      </c>
      <c r="M233" s="28" t="s">
        <v>4319</v>
      </c>
      <c r="N233" s="222" t="str">
        <f aca="false">Serving!$F$9&amp;" ｜補充旗標（IF 全欄分段，非分段依據）：中"</f>
        <v>區間 5–20% ｜補充旗標（IF 全欄分段，非分段依據）：中</v>
      </c>
      <c r="O233" s="6" t="s">
        <v>604</v>
      </c>
      <c r="P233" s="221" t="s">
        <v>1133</v>
      </c>
      <c r="Q233" s="184" t="n">
        <f aca="false">Serving!C9</f>
        <v>0.1</v>
      </c>
      <c r="R233" s="28" t="s">
        <v>604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3719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4320</v>
      </c>
      <c r="B234" s="221" t="s">
        <v>3713</v>
      </c>
      <c r="C234" s="28" t="s">
        <v>4311</v>
      </c>
      <c r="D234" s="28" t="s">
        <v>3925</v>
      </c>
      <c r="E234" s="19" t="s">
        <v>4321</v>
      </c>
      <c r="F234" s="28" t="s">
        <v>90</v>
      </c>
      <c r="G234" s="221" t="s">
        <v>3715</v>
      </c>
      <c r="H234" s="28" t="s">
        <v>604</v>
      </c>
      <c r="I234" s="6" t="s">
        <v>604</v>
      </c>
      <c r="J234" s="28" t="s">
        <v>604</v>
      </c>
      <c r="K234" s="223" t="n">
        <v>0.1</v>
      </c>
      <c r="L234" s="223" t="n">
        <v>0.3</v>
      </c>
      <c r="M234" s="28" t="s">
        <v>4322</v>
      </c>
      <c r="N234" s="22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604</v>
      </c>
      <c r="P234" s="221" t="s">
        <v>3774</v>
      </c>
      <c r="Q234" s="184" t="n">
        <f aca="false">Serving!C10</f>
        <v>0.2</v>
      </c>
      <c r="R234" s="28" t="s">
        <v>604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3719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4323</v>
      </c>
      <c r="B235" s="221" t="s">
        <v>3713</v>
      </c>
      <c r="C235" s="28" t="s">
        <v>4311</v>
      </c>
      <c r="D235" s="28" t="s">
        <v>3936</v>
      </c>
      <c r="E235" s="19" t="s">
        <v>4324</v>
      </c>
      <c r="F235" s="28" t="s">
        <v>90</v>
      </c>
      <c r="G235" s="221" t="s">
        <v>3715</v>
      </c>
      <c r="H235" s="28" t="s">
        <v>604</v>
      </c>
      <c r="I235" s="6" t="s">
        <v>604</v>
      </c>
      <c r="J235" s="28" t="s">
        <v>604</v>
      </c>
      <c r="K235" s="223" t="n">
        <v>0.3</v>
      </c>
      <c r="L235" s="223" t="n">
        <v>0.5</v>
      </c>
      <c r="M235" s="28" t="s">
        <v>4325</v>
      </c>
      <c r="N235" s="222" t="str">
        <f aca="false">Serving!$F$11&amp;" ｜補充旗標（IF 全欄分段，非分段依據）：高"</f>
        <v>超過時自動加寬 EP ｜補充旗標（IF 全欄分段，非分段依據）：高</v>
      </c>
      <c r="O235" s="6" t="s">
        <v>604</v>
      </c>
      <c r="P235" s="221" t="s">
        <v>1133</v>
      </c>
      <c r="Q235" s="184" t="n">
        <f aca="false">Serving!C11</f>
        <v>0.4</v>
      </c>
      <c r="R235" s="28" t="s">
        <v>604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3719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4326</v>
      </c>
      <c r="B236" s="221" t="s">
        <v>3713</v>
      </c>
      <c r="C236" s="28" t="s">
        <v>4311</v>
      </c>
      <c r="D236" s="28" t="s">
        <v>3957</v>
      </c>
      <c r="E236" s="6" t="s">
        <v>338</v>
      </c>
      <c r="F236" s="28" t="s">
        <v>90</v>
      </c>
      <c r="G236" s="221" t="s">
        <v>3715</v>
      </c>
      <c r="H236" s="28" t="s">
        <v>604</v>
      </c>
      <c r="I236" s="6" t="s">
        <v>604</v>
      </c>
      <c r="J236" s="28" t="s">
        <v>604</v>
      </c>
      <c r="K236" s="223" t="n">
        <v>2</v>
      </c>
      <c r="L236" s="223" t="n">
        <v>4</v>
      </c>
      <c r="M236" s="28" t="s">
        <v>4327</v>
      </c>
      <c r="N236" s="222" t="str">
        <f aca="false">Serving!$F$12</f>
        <v>FP8 dispatch 1 B＋BF16 combine 2 B</v>
      </c>
      <c r="O236" s="6" t="s">
        <v>4113</v>
      </c>
      <c r="P236" s="221" t="s">
        <v>3718</v>
      </c>
      <c r="Q236" s="189" t="n">
        <f aca="false">Serving!C12</f>
        <v>3</v>
      </c>
      <c r="R236" s="28" t="s">
        <v>604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3719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4328</v>
      </c>
      <c r="B237" s="221" t="s">
        <v>3713</v>
      </c>
      <c r="C237" s="28" t="s">
        <v>4311</v>
      </c>
      <c r="D237" s="28" t="s">
        <v>3977</v>
      </c>
      <c r="E237" s="6" t="s">
        <v>340</v>
      </c>
      <c r="F237" s="28" t="s">
        <v>90</v>
      </c>
      <c r="G237" s="221" t="s">
        <v>3715</v>
      </c>
      <c r="H237" s="28" t="s">
        <v>604</v>
      </c>
      <c r="I237" s="6" t="s">
        <v>604</v>
      </c>
      <c r="J237" s="28" t="s">
        <v>604</v>
      </c>
      <c r="K237" s="223" t="n">
        <v>0.5</v>
      </c>
      <c r="L237" s="223" t="n">
        <v>0.85</v>
      </c>
      <c r="M237" s="28" t="s">
        <v>4329</v>
      </c>
      <c r="N237" s="222" t="str">
        <f aca="false">Serving!$F$13</f>
        <v>區間 0.5–0.85</v>
      </c>
      <c r="O237" s="6" t="s">
        <v>4113</v>
      </c>
      <c r="P237" s="221" t="s">
        <v>3718</v>
      </c>
      <c r="Q237" s="184" t="n">
        <f aca="false">Serving!C13</f>
        <v>0.7</v>
      </c>
      <c r="R237" s="28" t="s">
        <v>604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3719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4330</v>
      </c>
      <c r="B238" s="221" t="s">
        <v>3713</v>
      </c>
      <c r="C238" s="28" t="s">
        <v>4311</v>
      </c>
      <c r="D238" s="28" t="s">
        <v>4226</v>
      </c>
      <c r="E238" s="6" t="s">
        <v>342</v>
      </c>
      <c r="F238" s="28" t="s">
        <v>90</v>
      </c>
      <c r="G238" s="221" t="s">
        <v>3715</v>
      </c>
      <c r="H238" s="28" t="s">
        <v>604</v>
      </c>
      <c r="I238" s="6" t="s">
        <v>604</v>
      </c>
      <c r="J238" s="28" t="s">
        <v>604</v>
      </c>
      <c r="K238" s="223" t="n">
        <v>0.5</v>
      </c>
      <c r="L238" s="223" t="n">
        <v>0.85</v>
      </c>
      <c r="M238" s="28" t="s">
        <v>4329</v>
      </c>
      <c r="N238" s="222" t="str">
        <f aca="false">Serving!$F$14</f>
        <v>區間 0.5–0.85</v>
      </c>
      <c r="O238" s="6" t="s">
        <v>4113</v>
      </c>
      <c r="P238" s="221" t="s">
        <v>3718</v>
      </c>
      <c r="Q238" s="184" t="n">
        <f aca="false">Serving!C14</f>
        <v>0.7</v>
      </c>
      <c r="R238" s="28" t="s">
        <v>604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3719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4331</v>
      </c>
      <c r="B239" s="221" t="s">
        <v>3713</v>
      </c>
      <c r="C239" s="28" t="s">
        <v>4311</v>
      </c>
      <c r="D239" s="28" t="s">
        <v>4230</v>
      </c>
      <c r="E239" s="19" t="s">
        <v>4332</v>
      </c>
      <c r="F239" s="28" t="s">
        <v>90</v>
      </c>
      <c r="G239" s="221" t="s">
        <v>3715</v>
      </c>
      <c r="H239" s="28" t="s">
        <v>604</v>
      </c>
      <c r="I239" s="6" t="s">
        <v>604</v>
      </c>
      <c r="J239" s="28" t="s">
        <v>604</v>
      </c>
      <c r="K239" s="223" t="n">
        <v>0.05</v>
      </c>
      <c r="L239" s="223" t="n">
        <v>0.4</v>
      </c>
      <c r="M239" s="28" t="s">
        <v>4333</v>
      </c>
      <c r="N239" s="22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604</v>
      </c>
      <c r="P239" s="221" t="s">
        <v>1133</v>
      </c>
      <c r="Q239" s="182" t="n">
        <f aca="false">Serving!C15</f>
        <v>0.1</v>
      </c>
      <c r="R239" s="28" t="s">
        <v>604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3719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4334</v>
      </c>
      <c r="B240" s="221" t="s">
        <v>3713</v>
      </c>
      <c r="C240" s="28" t="s">
        <v>4311</v>
      </c>
      <c r="D240" s="28" t="s">
        <v>4257</v>
      </c>
      <c r="E240" s="19" t="s">
        <v>4335</v>
      </c>
      <c r="F240" s="28" t="s">
        <v>90</v>
      </c>
      <c r="G240" s="221" t="s">
        <v>3715</v>
      </c>
      <c r="H240" s="28" t="s">
        <v>604</v>
      </c>
      <c r="I240" s="6" t="s">
        <v>604</v>
      </c>
      <c r="J240" s="28" t="s">
        <v>4336</v>
      </c>
      <c r="K240" s="223" t="n">
        <v>0.4</v>
      </c>
      <c r="L240" s="223" t="n">
        <v>0.8</v>
      </c>
      <c r="M240" s="28" t="s">
        <v>4337</v>
      </c>
      <c r="N240" s="222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604</v>
      </c>
      <c r="P240" s="221" t="s">
        <v>1134</v>
      </c>
      <c r="Q240" s="184" t="n">
        <f aca="false">Serving!C17</f>
        <v>0.6</v>
      </c>
      <c r="R240" s="28" t="s">
        <v>604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3719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4338</v>
      </c>
      <c r="B241" s="221" t="s">
        <v>3713</v>
      </c>
      <c r="C241" s="28" t="s">
        <v>4311</v>
      </c>
      <c r="D241" s="28" t="s">
        <v>4239</v>
      </c>
      <c r="E241" s="19" t="s">
        <v>350</v>
      </c>
      <c r="F241" s="28" t="s">
        <v>90</v>
      </c>
      <c r="G241" s="221" t="s">
        <v>3715</v>
      </c>
      <c r="H241" s="28" t="s">
        <v>604</v>
      </c>
      <c r="I241" s="6" t="s">
        <v>604</v>
      </c>
      <c r="J241" s="28" t="s">
        <v>4336</v>
      </c>
      <c r="K241" s="223" t="n">
        <v>0.7</v>
      </c>
      <c r="L241" s="223" t="n">
        <v>1</v>
      </c>
      <c r="M241" s="28" t="s">
        <v>4339</v>
      </c>
      <c r="N241" s="222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604</v>
      </c>
      <c r="P241" s="221" t="s">
        <v>1134</v>
      </c>
      <c r="Q241" s="182" t="n">
        <f aca="false">Serving!C18</f>
        <v>1</v>
      </c>
      <c r="R241" s="28" t="s">
        <v>604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3719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4340</v>
      </c>
      <c r="B242" s="221" t="s">
        <v>3713</v>
      </c>
      <c r="C242" s="28" t="s">
        <v>4311</v>
      </c>
      <c r="D242" s="28" t="s">
        <v>4235</v>
      </c>
      <c r="E242" s="19" t="s">
        <v>4341</v>
      </c>
      <c r="F242" s="28" t="s">
        <v>82</v>
      </c>
      <c r="G242" s="221" t="s">
        <v>3715</v>
      </c>
      <c r="H242" s="28" t="s">
        <v>604</v>
      </c>
      <c r="I242" s="6" t="s">
        <v>604</v>
      </c>
      <c r="J242" s="28" t="s">
        <v>4342</v>
      </c>
      <c r="K242" s="221"/>
      <c r="L242" s="221"/>
      <c r="M242" s="28" t="s">
        <v>604</v>
      </c>
      <c r="N242" s="6" t="s">
        <v>4343</v>
      </c>
      <c r="O242" s="6" t="s">
        <v>604</v>
      </c>
      <c r="P242" s="221" t="s">
        <v>3718</v>
      </c>
      <c r="Q242" s="31" t="n">
        <f aca="false">Serving!C16</f>
        <v>1</v>
      </c>
      <c r="R242" s="28" t="s">
        <v>604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3719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4344</v>
      </c>
      <c r="B243" s="221" t="s">
        <v>3713</v>
      </c>
      <c r="C243" s="28" t="s">
        <v>4311</v>
      </c>
      <c r="D243" s="28" t="s">
        <v>4297</v>
      </c>
      <c r="E243" s="6" t="s">
        <v>354</v>
      </c>
      <c r="F243" s="221" t="s">
        <v>315</v>
      </c>
      <c r="G243" s="221" t="s">
        <v>3715</v>
      </c>
      <c r="H243" s="28" t="s">
        <v>4345</v>
      </c>
      <c r="I243" s="19" t="s">
        <v>3750</v>
      </c>
      <c r="J243" s="28" t="s">
        <v>4346</v>
      </c>
      <c r="K243" s="221"/>
      <c r="L243" s="221"/>
      <c r="M243" s="28" t="s">
        <v>604</v>
      </c>
      <c r="N243" s="19" t="s">
        <v>3853</v>
      </c>
      <c r="O243" s="6" t="s">
        <v>604</v>
      </c>
      <c r="P243" s="221" t="s">
        <v>1134</v>
      </c>
      <c r="Q243" s="46" t="n">
        <f aca="false">Serving!C21</f>
        <v>120</v>
      </c>
      <c r="R243" s="174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3752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4347</v>
      </c>
      <c r="B244" s="221" t="s">
        <v>3713</v>
      </c>
      <c r="C244" s="28" t="s">
        <v>4311</v>
      </c>
      <c r="D244" s="28" t="s">
        <v>3796</v>
      </c>
      <c r="E244" s="6" t="s">
        <v>354</v>
      </c>
      <c r="F244" s="28" t="s">
        <v>82</v>
      </c>
      <c r="G244" s="221" t="s">
        <v>3715</v>
      </c>
      <c r="H244" s="28" t="s">
        <v>4348</v>
      </c>
      <c r="I244" s="19" t="s">
        <v>4349</v>
      </c>
      <c r="J244" s="28" t="s">
        <v>4346</v>
      </c>
      <c r="K244" s="221"/>
      <c r="L244" s="221"/>
      <c r="M244" s="28" t="s">
        <v>604</v>
      </c>
      <c r="N244" s="6" t="s">
        <v>4350</v>
      </c>
      <c r="O244" s="6" t="s">
        <v>604</v>
      </c>
      <c r="P244" s="221" t="s">
        <v>1134</v>
      </c>
      <c r="Q244" s="46" t="n">
        <f aca="false">Serving!D21</f>
        <v>65</v>
      </c>
      <c r="R244" s="174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3719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4351</v>
      </c>
      <c r="B245" s="221" t="s">
        <v>3713</v>
      </c>
      <c r="C245" s="28" t="s">
        <v>4311</v>
      </c>
      <c r="D245" s="28" t="s">
        <v>3793</v>
      </c>
      <c r="E245" s="6" t="s">
        <v>354</v>
      </c>
      <c r="F245" s="28" t="s">
        <v>82</v>
      </c>
      <c r="G245" s="221" t="s">
        <v>3715</v>
      </c>
      <c r="H245" s="28" t="s">
        <v>4352</v>
      </c>
      <c r="I245" s="19" t="s">
        <v>4353</v>
      </c>
      <c r="J245" s="28" t="s">
        <v>4346</v>
      </c>
      <c r="K245" s="221"/>
      <c r="L245" s="221"/>
      <c r="M245" s="28" t="s">
        <v>604</v>
      </c>
      <c r="N245" s="6" t="s">
        <v>4354</v>
      </c>
      <c r="O245" s="6" t="s">
        <v>604</v>
      </c>
      <c r="P245" s="221" t="s">
        <v>1134</v>
      </c>
      <c r="Q245" s="46" t="n">
        <f aca="false">Serving!E21</f>
        <v>55</v>
      </c>
      <c r="R245" s="174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3719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4355</v>
      </c>
      <c r="B246" s="221" t="s">
        <v>3713</v>
      </c>
      <c r="C246" s="28" t="s">
        <v>4311</v>
      </c>
      <c r="D246" s="28" t="s">
        <v>4302</v>
      </c>
      <c r="E246" s="6" t="s">
        <v>357</v>
      </c>
      <c r="F246" s="28" t="s">
        <v>90</v>
      </c>
      <c r="G246" s="221" t="s">
        <v>3715</v>
      </c>
      <c r="H246" s="28" t="s">
        <v>604</v>
      </c>
      <c r="I246" s="6" t="s">
        <v>604</v>
      </c>
      <c r="J246" s="28" t="s">
        <v>604</v>
      </c>
      <c r="K246" s="174" t="n">
        <f aca="false">Serving!C22*0.5</f>
        <v>1</v>
      </c>
      <c r="L246" s="174" t="n">
        <f aca="false">Serving!C22*2</f>
        <v>4</v>
      </c>
      <c r="M246" s="28" t="s">
        <v>4356</v>
      </c>
      <c r="N246" s="6" t="s">
        <v>4357</v>
      </c>
      <c r="O246" s="6" t="s">
        <v>604</v>
      </c>
      <c r="P246" s="221" t="s">
        <v>3718</v>
      </c>
      <c r="Q246" s="189" t="n">
        <f aca="false">Serving!C22</f>
        <v>2</v>
      </c>
      <c r="R246" s="28" t="s">
        <v>604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3719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4358</v>
      </c>
      <c r="B247" s="221" t="s">
        <v>3713</v>
      </c>
      <c r="C247" s="28" t="s">
        <v>4311</v>
      </c>
      <c r="D247" s="28" t="s">
        <v>4304</v>
      </c>
      <c r="E247" s="6" t="s">
        <v>357</v>
      </c>
      <c r="F247" s="28" t="s">
        <v>90</v>
      </c>
      <c r="G247" s="221" t="s">
        <v>3715</v>
      </c>
      <c r="H247" s="28" t="s">
        <v>604</v>
      </c>
      <c r="I247" s="6" t="s">
        <v>604</v>
      </c>
      <c r="J247" s="28" t="s">
        <v>604</v>
      </c>
      <c r="K247" s="174" t="n">
        <f aca="false">Serving!D22*0.5</f>
        <v>1.5</v>
      </c>
      <c r="L247" s="174" t="n">
        <f aca="false">Serving!D22*2</f>
        <v>6</v>
      </c>
      <c r="M247" s="28" t="s">
        <v>4356</v>
      </c>
      <c r="N247" s="6" t="s">
        <v>4357</v>
      </c>
      <c r="O247" s="6" t="s">
        <v>604</v>
      </c>
      <c r="P247" s="221" t="s">
        <v>3718</v>
      </c>
      <c r="Q247" s="189" t="n">
        <f aca="false">Serving!D22</f>
        <v>3</v>
      </c>
      <c r="R247" s="28" t="s">
        <v>604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3719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4359</v>
      </c>
      <c r="B248" s="221" t="s">
        <v>3713</v>
      </c>
      <c r="C248" s="28" t="s">
        <v>4311</v>
      </c>
      <c r="D248" s="28" t="s">
        <v>4306</v>
      </c>
      <c r="E248" s="6" t="s">
        <v>357</v>
      </c>
      <c r="F248" s="28" t="s">
        <v>90</v>
      </c>
      <c r="G248" s="221" t="s">
        <v>3715</v>
      </c>
      <c r="H248" s="28" t="s">
        <v>604</v>
      </c>
      <c r="I248" s="6" t="s">
        <v>604</v>
      </c>
      <c r="J248" s="28" t="s">
        <v>604</v>
      </c>
      <c r="K248" s="174" t="n">
        <f aca="false">Serving!E22*0.5</f>
        <v>2.5</v>
      </c>
      <c r="L248" s="174" t="n">
        <f aca="false">Serving!E22*2</f>
        <v>10</v>
      </c>
      <c r="M248" s="28" t="s">
        <v>4356</v>
      </c>
      <c r="N248" s="6" t="s">
        <v>4357</v>
      </c>
      <c r="O248" s="6" t="s">
        <v>604</v>
      </c>
      <c r="P248" s="221" t="s">
        <v>3718</v>
      </c>
      <c r="Q248" s="189" t="n">
        <f aca="false">Serving!E22</f>
        <v>5</v>
      </c>
      <c r="R248" s="28" t="s">
        <v>604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3719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4360</v>
      </c>
      <c r="B249" s="221" t="s">
        <v>3713</v>
      </c>
      <c r="C249" s="28" t="s">
        <v>4311</v>
      </c>
      <c r="D249" s="28" t="s">
        <v>3992</v>
      </c>
      <c r="E249" s="19" t="s">
        <v>4361</v>
      </c>
      <c r="F249" s="28" t="s">
        <v>90</v>
      </c>
      <c r="G249" s="221" t="s">
        <v>3715</v>
      </c>
      <c r="H249" s="28" t="s">
        <v>604</v>
      </c>
      <c r="I249" s="6" t="s">
        <v>604</v>
      </c>
      <c r="J249" s="28" t="s">
        <v>604</v>
      </c>
      <c r="K249" s="174" t="n">
        <f aca="false">Serving!C23*0.5</f>
        <v>4096</v>
      </c>
      <c r="L249" s="174" t="n">
        <f aca="false">Serving!C23*2</f>
        <v>16384</v>
      </c>
      <c r="M249" s="28" t="s">
        <v>4356</v>
      </c>
      <c r="N249" s="19" t="s">
        <v>4362</v>
      </c>
      <c r="O249" s="6" t="s">
        <v>604</v>
      </c>
      <c r="P249" s="221" t="s">
        <v>1134</v>
      </c>
      <c r="Q249" s="46" t="n">
        <f aca="false">Serving!C23</f>
        <v>8192</v>
      </c>
      <c r="R249" s="28" t="s">
        <v>604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3719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4363</v>
      </c>
      <c r="B250" s="221" t="s">
        <v>3713</v>
      </c>
      <c r="C250" s="28" t="s">
        <v>4311</v>
      </c>
      <c r="D250" s="28" t="s">
        <v>3850</v>
      </c>
      <c r="E250" s="19" t="s">
        <v>4361</v>
      </c>
      <c r="F250" s="28" t="s">
        <v>90</v>
      </c>
      <c r="G250" s="221" t="s">
        <v>3715</v>
      </c>
      <c r="H250" s="28" t="s">
        <v>604</v>
      </c>
      <c r="I250" s="6" t="s">
        <v>604</v>
      </c>
      <c r="J250" s="28" t="s">
        <v>604</v>
      </c>
      <c r="K250" s="174" t="n">
        <f aca="false">Serving!D23*0.5</f>
        <v>8192</v>
      </c>
      <c r="L250" s="174" t="n">
        <v>68000</v>
      </c>
      <c r="M250" s="28" t="s">
        <v>4356</v>
      </c>
      <c r="N250" s="19" t="s">
        <v>4364</v>
      </c>
      <c r="O250" s="6" t="s">
        <v>604</v>
      </c>
      <c r="P250" s="221" t="s">
        <v>1134</v>
      </c>
      <c r="Q250" s="46" t="n">
        <f aca="false">Serving!D23</f>
        <v>16384</v>
      </c>
      <c r="R250" s="28" t="s">
        <v>604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3719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4365</v>
      </c>
      <c r="B251" s="221" t="s">
        <v>3713</v>
      </c>
      <c r="C251" s="28" t="s">
        <v>4311</v>
      </c>
      <c r="D251" s="28" t="s">
        <v>3855</v>
      </c>
      <c r="E251" s="19" t="s">
        <v>4361</v>
      </c>
      <c r="F251" s="28" t="s">
        <v>90</v>
      </c>
      <c r="G251" s="221" t="s">
        <v>3715</v>
      </c>
      <c r="H251" s="28" t="s">
        <v>604</v>
      </c>
      <c r="I251" s="6" t="s">
        <v>604</v>
      </c>
      <c r="J251" s="28" t="s">
        <v>604</v>
      </c>
      <c r="K251" s="174" t="n">
        <f aca="false">Serving!E23*0.5</f>
        <v>16384</v>
      </c>
      <c r="L251" s="174" t="n">
        <v>68000</v>
      </c>
      <c r="M251" s="28" t="s">
        <v>4356</v>
      </c>
      <c r="N251" s="19" t="s">
        <v>4364</v>
      </c>
      <c r="O251" s="6" t="s">
        <v>604</v>
      </c>
      <c r="P251" s="221" t="s">
        <v>1134</v>
      </c>
      <c r="Q251" s="46" t="n">
        <f aca="false">Serving!E23</f>
        <v>32768</v>
      </c>
      <c r="R251" s="28" t="s">
        <v>604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3719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4366</v>
      </c>
      <c r="B252" s="221" t="s">
        <v>3713</v>
      </c>
      <c r="C252" s="28" t="s">
        <v>4311</v>
      </c>
      <c r="D252" s="28" t="s">
        <v>4009</v>
      </c>
      <c r="E252" s="19" t="s">
        <v>4367</v>
      </c>
      <c r="F252" s="28" t="s">
        <v>90</v>
      </c>
      <c r="G252" s="221" t="s">
        <v>3715</v>
      </c>
      <c r="H252" s="28" t="s">
        <v>604</v>
      </c>
      <c r="I252" s="6" t="s">
        <v>604</v>
      </c>
      <c r="J252" s="28" t="s">
        <v>604</v>
      </c>
      <c r="K252" s="223" t="n">
        <v>400</v>
      </c>
      <c r="L252" s="174" t="n">
        <f aca="false">Serving!C24*2</f>
        <v>2048</v>
      </c>
      <c r="M252" s="28" t="s">
        <v>4368</v>
      </c>
      <c r="N252" s="19" t="s">
        <v>4369</v>
      </c>
      <c r="O252" s="6" t="s">
        <v>604</v>
      </c>
      <c r="P252" s="221" t="s">
        <v>1134</v>
      </c>
      <c r="Q252" s="46" t="n">
        <f aca="false">Serving!C24</f>
        <v>1024</v>
      </c>
      <c r="R252" s="28" t="s">
        <v>604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3719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4370</v>
      </c>
      <c r="B253" s="221" t="s">
        <v>3713</v>
      </c>
      <c r="C253" s="28" t="s">
        <v>4311</v>
      </c>
      <c r="D253" s="28" t="s">
        <v>4013</v>
      </c>
      <c r="E253" s="19" t="s">
        <v>4367</v>
      </c>
      <c r="F253" s="28" t="s">
        <v>90</v>
      </c>
      <c r="G253" s="221" t="s">
        <v>3715</v>
      </c>
      <c r="H253" s="28" t="s">
        <v>604</v>
      </c>
      <c r="I253" s="6" t="s">
        <v>604</v>
      </c>
      <c r="J253" s="28" t="s">
        <v>604</v>
      </c>
      <c r="K253" s="174" t="n">
        <f aca="false">Serving!D24*0.5</f>
        <v>1024</v>
      </c>
      <c r="L253" s="174" t="n">
        <f aca="false">Serving!D24*2</f>
        <v>4096</v>
      </c>
      <c r="M253" s="28" t="s">
        <v>4356</v>
      </c>
      <c r="N253" s="19" t="s">
        <v>4369</v>
      </c>
      <c r="O253" s="6" t="s">
        <v>604</v>
      </c>
      <c r="P253" s="221" t="s">
        <v>1134</v>
      </c>
      <c r="Q253" s="46" t="n">
        <f aca="false">Serving!D24</f>
        <v>2048</v>
      </c>
      <c r="R253" s="28" t="s">
        <v>604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3719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4371</v>
      </c>
      <c r="B254" s="221" t="s">
        <v>3713</v>
      </c>
      <c r="C254" s="28" t="s">
        <v>4311</v>
      </c>
      <c r="D254" s="28" t="s">
        <v>3860</v>
      </c>
      <c r="E254" s="19" t="s">
        <v>4367</v>
      </c>
      <c r="F254" s="28" t="s">
        <v>90</v>
      </c>
      <c r="G254" s="221" t="s">
        <v>3715</v>
      </c>
      <c r="H254" s="28" t="s">
        <v>604</v>
      </c>
      <c r="I254" s="6" t="s">
        <v>604</v>
      </c>
      <c r="J254" s="28" t="s">
        <v>604</v>
      </c>
      <c r="K254" s="174" t="n">
        <f aca="false">Serving!E24*0.5</f>
        <v>2048</v>
      </c>
      <c r="L254" s="174" t="n">
        <f aca="false">Serving!E24*2</f>
        <v>8192</v>
      </c>
      <c r="M254" s="28" t="s">
        <v>4356</v>
      </c>
      <c r="N254" s="19" t="s">
        <v>4369</v>
      </c>
      <c r="O254" s="6" t="s">
        <v>604</v>
      </c>
      <c r="P254" s="221" t="s">
        <v>1134</v>
      </c>
      <c r="Q254" s="46" t="n">
        <f aca="false">Serving!E24</f>
        <v>4096</v>
      </c>
      <c r="R254" s="28" t="s">
        <v>604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3719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4372</v>
      </c>
      <c r="B255" s="221" t="s">
        <v>3713</v>
      </c>
      <c r="C255" s="28" t="s">
        <v>4373</v>
      </c>
      <c r="D255" s="28" t="s">
        <v>4374</v>
      </c>
      <c r="E255" s="19" t="s">
        <v>4375</v>
      </c>
      <c r="F255" s="28" t="s">
        <v>90</v>
      </c>
      <c r="G255" s="221" t="s">
        <v>3715</v>
      </c>
      <c r="H255" s="28" t="s">
        <v>604</v>
      </c>
      <c r="I255" s="6" t="s">
        <v>604</v>
      </c>
      <c r="J255" s="28" t="s">
        <v>604</v>
      </c>
      <c r="K255" s="174" t="n">
        <f aca="false">MAX(1,Workload!C5*0.5)</f>
        <v>1</v>
      </c>
      <c r="L255" s="174" t="n">
        <f aca="false">Workload!C5*2</f>
        <v>2</v>
      </c>
      <c r="M255" s="28" t="s">
        <v>4376</v>
      </c>
      <c r="N255" s="19" t="s">
        <v>4377</v>
      </c>
      <c r="O255" s="6" t="s">
        <v>604</v>
      </c>
      <c r="P255" s="221" t="s">
        <v>1134</v>
      </c>
      <c r="Q255" s="46" t="n">
        <f aca="false">Workload!C5</f>
        <v>1</v>
      </c>
      <c r="R255" s="28" t="s">
        <v>604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3719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4378</v>
      </c>
      <c r="B256" s="221" t="s">
        <v>3713</v>
      </c>
      <c r="C256" s="28" t="s">
        <v>4373</v>
      </c>
      <c r="D256" s="28" t="s">
        <v>4379</v>
      </c>
      <c r="E256" s="19" t="s">
        <v>4375</v>
      </c>
      <c r="F256" s="28" t="s">
        <v>90</v>
      </c>
      <c r="G256" s="221" t="s">
        <v>3715</v>
      </c>
      <c r="H256" s="28" t="s">
        <v>604</v>
      </c>
      <c r="I256" s="6" t="s">
        <v>604</v>
      </c>
      <c r="J256" s="28" t="s">
        <v>604</v>
      </c>
      <c r="K256" s="174" t="n">
        <f aca="false">MAX(1,Workload!D5*0.5)</f>
        <v>1</v>
      </c>
      <c r="L256" s="174" t="n">
        <f aca="false">Workload!D5*2</f>
        <v>2</v>
      </c>
      <c r="M256" s="28" t="s">
        <v>4376</v>
      </c>
      <c r="N256" s="19" t="s">
        <v>4377</v>
      </c>
      <c r="O256" s="6" t="s">
        <v>604</v>
      </c>
      <c r="P256" s="221" t="s">
        <v>1134</v>
      </c>
      <c r="Q256" s="46" t="n">
        <f aca="false">Workload!D5</f>
        <v>1</v>
      </c>
      <c r="R256" s="28" t="s">
        <v>604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3719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4380</v>
      </c>
      <c r="B257" s="221" t="s">
        <v>3713</v>
      </c>
      <c r="C257" s="28" t="s">
        <v>4373</v>
      </c>
      <c r="D257" s="28" t="s">
        <v>3571</v>
      </c>
      <c r="E257" s="19" t="s">
        <v>4375</v>
      </c>
      <c r="F257" s="28" t="s">
        <v>90</v>
      </c>
      <c r="G257" s="221" t="s">
        <v>3715</v>
      </c>
      <c r="H257" s="28" t="s">
        <v>604</v>
      </c>
      <c r="I257" s="6" t="s">
        <v>604</v>
      </c>
      <c r="J257" s="28" t="s">
        <v>604</v>
      </c>
      <c r="K257" s="174" t="n">
        <f aca="false">MAX(1,Workload!E5*0.5)</f>
        <v>2</v>
      </c>
      <c r="L257" s="174" t="n">
        <f aca="false">Workload!E5*2</f>
        <v>8</v>
      </c>
      <c r="M257" s="28" t="s">
        <v>4376</v>
      </c>
      <c r="N257" s="19" t="s">
        <v>4377</v>
      </c>
      <c r="O257" s="6" t="s">
        <v>604</v>
      </c>
      <c r="P257" s="221" t="s">
        <v>1134</v>
      </c>
      <c r="Q257" s="46" t="n">
        <f aca="false">Workload!E5</f>
        <v>4</v>
      </c>
      <c r="R257" s="28" t="s">
        <v>604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3719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4381</v>
      </c>
      <c r="B258" s="221" t="s">
        <v>3713</v>
      </c>
      <c r="C258" s="28" t="s">
        <v>4373</v>
      </c>
      <c r="D258" s="28" t="s">
        <v>4382</v>
      </c>
      <c r="E258" s="19" t="s">
        <v>4375</v>
      </c>
      <c r="F258" s="28" t="s">
        <v>90</v>
      </c>
      <c r="G258" s="221" t="s">
        <v>3715</v>
      </c>
      <c r="H258" s="28" t="s">
        <v>604</v>
      </c>
      <c r="I258" s="6" t="s">
        <v>604</v>
      </c>
      <c r="J258" s="28" t="s">
        <v>604</v>
      </c>
      <c r="K258" s="174" t="n">
        <f aca="false">MAX(1,Workload!F5*0.5)</f>
        <v>2</v>
      </c>
      <c r="L258" s="174" t="n">
        <f aca="false">Workload!F5*2</f>
        <v>8</v>
      </c>
      <c r="M258" s="28" t="s">
        <v>4376</v>
      </c>
      <c r="N258" s="19" t="s">
        <v>4377</v>
      </c>
      <c r="O258" s="6" t="s">
        <v>604</v>
      </c>
      <c r="P258" s="221" t="s">
        <v>1134</v>
      </c>
      <c r="Q258" s="46" t="n">
        <f aca="false">Workload!F5</f>
        <v>4</v>
      </c>
      <c r="R258" s="28" t="s">
        <v>604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3719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4383</v>
      </c>
      <c r="B259" s="221" t="s">
        <v>3713</v>
      </c>
      <c r="C259" s="28" t="s">
        <v>4373</v>
      </c>
      <c r="D259" s="28" t="s">
        <v>4384</v>
      </c>
      <c r="E259" s="19" t="s">
        <v>4375</v>
      </c>
      <c r="F259" s="28" t="s">
        <v>90</v>
      </c>
      <c r="G259" s="221" t="s">
        <v>3715</v>
      </c>
      <c r="H259" s="28" t="s">
        <v>604</v>
      </c>
      <c r="I259" s="6" t="s">
        <v>604</v>
      </c>
      <c r="J259" s="28" t="s">
        <v>604</v>
      </c>
      <c r="K259" s="174" t="n">
        <f aca="false">MAX(1,Workload!G5*0.5)</f>
        <v>15</v>
      </c>
      <c r="L259" s="174" t="n">
        <f aca="false">Workload!G5*2</f>
        <v>60</v>
      </c>
      <c r="M259" s="28" t="s">
        <v>4376</v>
      </c>
      <c r="N259" s="19" t="s">
        <v>4385</v>
      </c>
      <c r="O259" s="6" t="s">
        <v>604</v>
      </c>
      <c r="P259" s="221" t="s">
        <v>1134</v>
      </c>
      <c r="Q259" s="46" t="n">
        <f aca="false">Workload!G5</f>
        <v>30</v>
      </c>
      <c r="R259" s="28" t="s">
        <v>604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3719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4386</v>
      </c>
      <c r="B260" s="221" t="s">
        <v>3713</v>
      </c>
      <c r="C260" s="28" t="s">
        <v>4373</v>
      </c>
      <c r="D260" s="28" t="s">
        <v>3878</v>
      </c>
      <c r="E260" s="19" t="s">
        <v>4387</v>
      </c>
      <c r="F260" s="28" t="s">
        <v>90</v>
      </c>
      <c r="G260" s="221" t="s">
        <v>3715</v>
      </c>
      <c r="H260" s="28" t="s">
        <v>604</v>
      </c>
      <c r="I260" s="6" t="s">
        <v>604</v>
      </c>
      <c r="J260" s="28" t="s">
        <v>604</v>
      </c>
      <c r="K260" s="174" t="n">
        <f aca="false">Workload!C6*0.5</f>
        <v>1000</v>
      </c>
      <c r="L260" s="174" t="n">
        <f aca="false">Workload!C6*2</f>
        <v>4000</v>
      </c>
      <c r="M260" s="28" t="s">
        <v>4356</v>
      </c>
      <c r="N260" s="19" t="s">
        <v>4388</v>
      </c>
      <c r="O260" s="6" t="s">
        <v>604</v>
      </c>
      <c r="P260" s="221" t="s">
        <v>1133</v>
      </c>
      <c r="Q260" s="46" t="n">
        <f aca="false">Workload!C6</f>
        <v>2000</v>
      </c>
      <c r="R260" s="28" t="s">
        <v>604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3719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4389</v>
      </c>
      <c r="B261" s="221" t="s">
        <v>3713</v>
      </c>
      <c r="C261" s="28" t="s">
        <v>4373</v>
      </c>
      <c r="D261" s="28" t="s">
        <v>3882</v>
      </c>
      <c r="E261" s="19" t="s">
        <v>4387</v>
      </c>
      <c r="F261" s="28" t="s">
        <v>90</v>
      </c>
      <c r="G261" s="221" t="s">
        <v>3715</v>
      </c>
      <c r="H261" s="28" t="s">
        <v>604</v>
      </c>
      <c r="I261" s="6" t="s">
        <v>604</v>
      </c>
      <c r="J261" s="28" t="s">
        <v>604</v>
      </c>
      <c r="K261" s="174" t="n">
        <f aca="false">Workload!D6*0.5</f>
        <v>1000</v>
      </c>
      <c r="L261" s="174" t="n">
        <f aca="false">Workload!D6*2</f>
        <v>4000</v>
      </c>
      <c r="M261" s="28" t="s">
        <v>4356</v>
      </c>
      <c r="N261" s="19" t="s">
        <v>4388</v>
      </c>
      <c r="O261" s="6" t="s">
        <v>604</v>
      </c>
      <c r="P261" s="221" t="s">
        <v>1133</v>
      </c>
      <c r="Q261" s="46" t="n">
        <f aca="false">Workload!D6</f>
        <v>2000</v>
      </c>
      <c r="R261" s="28" t="s">
        <v>604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3719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4390</v>
      </c>
      <c r="B262" s="221" t="s">
        <v>3713</v>
      </c>
      <c r="C262" s="28" t="s">
        <v>4373</v>
      </c>
      <c r="D262" s="28" t="s">
        <v>3573</v>
      </c>
      <c r="E262" s="19" t="s">
        <v>4387</v>
      </c>
      <c r="F262" s="28" t="s">
        <v>90</v>
      </c>
      <c r="G262" s="221" t="s">
        <v>3715</v>
      </c>
      <c r="H262" s="28" t="s">
        <v>604</v>
      </c>
      <c r="I262" s="6" t="s">
        <v>604</v>
      </c>
      <c r="J262" s="28" t="s">
        <v>604</v>
      </c>
      <c r="K262" s="174" t="n">
        <f aca="false">Workload!E6*0.5</f>
        <v>1500</v>
      </c>
      <c r="L262" s="174" t="n">
        <f aca="false">Workload!E6*2</f>
        <v>6000</v>
      </c>
      <c r="M262" s="28" t="s">
        <v>4356</v>
      </c>
      <c r="N262" s="19" t="s">
        <v>4388</v>
      </c>
      <c r="O262" s="6" t="s">
        <v>604</v>
      </c>
      <c r="P262" s="221" t="s">
        <v>1133</v>
      </c>
      <c r="Q262" s="46" t="n">
        <f aca="false">Workload!E6</f>
        <v>3000</v>
      </c>
      <c r="R262" s="28" t="s">
        <v>604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3719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4391</v>
      </c>
      <c r="B263" s="221" t="s">
        <v>3713</v>
      </c>
      <c r="C263" s="28" t="s">
        <v>4373</v>
      </c>
      <c r="D263" s="28" t="s">
        <v>3886</v>
      </c>
      <c r="E263" s="19" t="s">
        <v>4387</v>
      </c>
      <c r="F263" s="28" t="s">
        <v>90</v>
      </c>
      <c r="G263" s="221" t="s">
        <v>3715</v>
      </c>
      <c r="H263" s="28" t="s">
        <v>604</v>
      </c>
      <c r="I263" s="6" t="s">
        <v>604</v>
      </c>
      <c r="J263" s="28" t="s">
        <v>604</v>
      </c>
      <c r="K263" s="174" t="n">
        <f aca="false">Workload!F6*0.5</f>
        <v>1500</v>
      </c>
      <c r="L263" s="174" t="n">
        <f aca="false">Workload!F6*2</f>
        <v>6000</v>
      </c>
      <c r="M263" s="28" t="s">
        <v>4356</v>
      </c>
      <c r="N263" s="19" t="s">
        <v>4388</v>
      </c>
      <c r="O263" s="6" t="s">
        <v>604</v>
      </c>
      <c r="P263" s="221" t="s">
        <v>1133</v>
      </c>
      <c r="Q263" s="46" t="n">
        <f aca="false">Workload!F6</f>
        <v>3000</v>
      </c>
      <c r="R263" s="28" t="s">
        <v>604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3719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4392</v>
      </c>
      <c r="B264" s="221" t="s">
        <v>3713</v>
      </c>
      <c r="C264" s="28" t="s">
        <v>4373</v>
      </c>
      <c r="D264" s="28" t="s">
        <v>3888</v>
      </c>
      <c r="E264" s="19" t="s">
        <v>4387</v>
      </c>
      <c r="F264" s="28" t="s">
        <v>90</v>
      </c>
      <c r="G264" s="221" t="s">
        <v>3715</v>
      </c>
      <c r="H264" s="28" t="s">
        <v>604</v>
      </c>
      <c r="I264" s="6" t="s">
        <v>604</v>
      </c>
      <c r="J264" s="28" t="s">
        <v>604</v>
      </c>
      <c r="K264" s="174" t="n">
        <f aca="false">Workload!G6*0.5</f>
        <v>6000</v>
      </c>
      <c r="L264" s="174" t="n">
        <f aca="false">Workload!G6*2</f>
        <v>24000</v>
      </c>
      <c r="M264" s="28" t="s">
        <v>4356</v>
      </c>
      <c r="N264" s="19" t="s">
        <v>4388</v>
      </c>
      <c r="O264" s="6" t="s">
        <v>604</v>
      </c>
      <c r="P264" s="221" t="s">
        <v>1133</v>
      </c>
      <c r="Q264" s="46" t="n">
        <f aca="false">Workload!G6</f>
        <v>12000</v>
      </c>
      <c r="R264" s="28" t="s">
        <v>604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3719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4393</v>
      </c>
      <c r="B265" s="221" t="s">
        <v>3713</v>
      </c>
      <c r="C265" s="28" t="s">
        <v>4373</v>
      </c>
      <c r="D265" s="28" t="s">
        <v>4205</v>
      </c>
      <c r="E265" s="19" t="s">
        <v>4394</v>
      </c>
      <c r="F265" s="28" t="s">
        <v>90</v>
      </c>
      <c r="G265" s="221" t="s">
        <v>3715</v>
      </c>
      <c r="H265" s="28" t="s">
        <v>604</v>
      </c>
      <c r="I265" s="6" t="s">
        <v>604</v>
      </c>
      <c r="J265" s="28" t="s">
        <v>604</v>
      </c>
      <c r="K265" s="174" t="n">
        <f aca="false">Workload!C7*0.5</f>
        <v>250</v>
      </c>
      <c r="L265" s="174" t="n">
        <f aca="false">Workload!C7*2</f>
        <v>1000</v>
      </c>
      <c r="M265" s="28" t="s">
        <v>4356</v>
      </c>
      <c r="N265" s="19" t="s">
        <v>4388</v>
      </c>
      <c r="O265" s="6" t="s">
        <v>604</v>
      </c>
      <c r="P265" s="221" t="s">
        <v>3774</v>
      </c>
      <c r="Q265" s="46" t="n">
        <f aca="false">Workload!C7</f>
        <v>500</v>
      </c>
      <c r="R265" s="28" t="s">
        <v>604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3719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4395</v>
      </c>
      <c r="B266" s="221" t="s">
        <v>3713</v>
      </c>
      <c r="C266" s="28" t="s">
        <v>4373</v>
      </c>
      <c r="D266" s="28" t="s">
        <v>4208</v>
      </c>
      <c r="E266" s="19" t="s">
        <v>4394</v>
      </c>
      <c r="F266" s="28" t="s">
        <v>90</v>
      </c>
      <c r="G266" s="221" t="s">
        <v>3715</v>
      </c>
      <c r="H266" s="28" t="s">
        <v>604</v>
      </c>
      <c r="I266" s="6" t="s">
        <v>604</v>
      </c>
      <c r="J266" s="28" t="s">
        <v>604</v>
      </c>
      <c r="K266" s="174" t="n">
        <f aca="false">Workload!D7*0.5</f>
        <v>250</v>
      </c>
      <c r="L266" s="174" t="n">
        <f aca="false">Workload!D7*2</f>
        <v>1000</v>
      </c>
      <c r="M266" s="28" t="s">
        <v>4356</v>
      </c>
      <c r="N266" s="19" t="s">
        <v>4388</v>
      </c>
      <c r="O266" s="6" t="s">
        <v>604</v>
      </c>
      <c r="P266" s="221" t="s">
        <v>3774</v>
      </c>
      <c r="Q266" s="46" t="n">
        <f aca="false">Workload!D7</f>
        <v>500</v>
      </c>
      <c r="R266" s="28" t="s">
        <v>604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3719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4396</v>
      </c>
      <c r="B267" s="221" t="s">
        <v>3713</v>
      </c>
      <c r="C267" s="28" t="s">
        <v>4373</v>
      </c>
      <c r="D267" s="28" t="s">
        <v>3576</v>
      </c>
      <c r="E267" s="19" t="s">
        <v>4394</v>
      </c>
      <c r="F267" s="28" t="s">
        <v>90</v>
      </c>
      <c r="G267" s="221" t="s">
        <v>3715</v>
      </c>
      <c r="H267" s="28" t="s">
        <v>604</v>
      </c>
      <c r="I267" s="6" t="s">
        <v>604</v>
      </c>
      <c r="J267" s="28" t="s">
        <v>604</v>
      </c>
      <c r="K267" s="174" t="n">
        <f aca="false">Workload!E7*0.5</f>
        <v>600</v>
      </c>
      <c r="L267" s="174" t="n">
        <f aca="false">Workload!E7*2</f>
        <v>2400</v>
      </c>
      <c r="M267" s="28" t="s">
        <v>4356</v>
      </c>
      <c r="N267" s="19" t="s">
        <v>4388</v>
      </c>
      <c r="O267" s="6" t="s">
        <v>604</v>
      </c>
      <c r="P267" s="221" t="s">
        <v>3774</v>
      </c>
      <c r="Q267" s="46" t="n">
        <f aca="false">Workload!E7</f>
        <v>1200</v>
      </c>
      <c r="R267" s="28" t="s">
        <v>604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3719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4397</v>
      </c>
      <c r="B268" s="221" t="s">
        <v>3713</v>
      </c>
      <c r="C268" s="28" t="s">
        <v>4373</v>
      </c>
      <c r="D268" s="28" t="s">
        <v>4398</v>
      </c>
      <c r="E268" s="19" t="s">
        <v>4394</v>
      </c>
      <c r="F268" s="28" t="s">
        <v>90</v>
      </c>
      <c r="G268" s="221" t="s">
        <v>3715</v>
      </c>
      <c r="H268" s="28" t="s">
        <v>604</v>
      </c>
      <c r="I268" s="6" t="s">
        <v>604</v>
      </c>
      <c r="J268" s="28" t="s">
        <v>604</v>
      </c>
      <c r="K268" s="174" t="n">
        <f aca="false">Workload!F7*0.5</f>
        <v>600</v>
      </c>
      <c r="L268" s="174" t="n">
        <f aca="false">Workload!F7*2</f>
        <v>2400</v>
      </c>
      <c r="M268" s="28" t="s">
        <v>4356</v>
      </c>
      <c r="N268" s="19" t="s">
        <v>4388</v>
      </c>
      <c r="O268" s="6" t="s">
        <v>604</v>
      </c>
      <c r="P268" s="221" t="s">
        <v>3774</v>
      </c>
      <c r="Q268" s="46" t="n">
        <f aca="false">Workload!F7</f>
        <v>1200</v>
      </c>
      <c r="R268" s="28" t="s">
        <v>604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3719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4399</v>
      </c>
      <c r="B269" s="221" t="s">
        <v>3713</v>
      </c>
      <c r="C269" s="28" t="s">
        <v>4373</v>
      </c>
      <c r="D269" s="28" t="s">
        <v>4400</v>
      </c>
      <c r="E269" s="19" t="s">
        <v>4394</v>
      </c>
      <c r="F269" s="28" t="s">
        <v>90</v>
      </c>
      <c r="G269" s="221" t="s">
        <v>3715</v>
      </c>
      <c r="H269" s="28" t="s">
        <v>604</v>
      </c>
      <c r="I269" s="6" t="s">
        <v>604</v>
      </c>
      <c r="J269" s="28" t="s">
        <v>604</v>
      </c>
      <c r="K269" s="174" t="n">
        <f aca="false">Workload!G7*0.5</f>
        <v>1000</v>
      </c>
      <c r="L269" s="174" t="n">
        <f aca="false">Workload!G7*2</f>
        <v>4000</v>
      </c>
      <c r="M269" s="28" t="s">
        <v>4356</v>
      </c>
      <c r="N269" s="19" t="s">
        <v>4388</v>
      </c>
      <c r="O269" s="6" t="s">
        <v>604</v>
      </c>
      <c r="P269" s="221" t="s">
        <v>3774</v>
      </c>
      <c r="Q269" s="46" t="n">
        <f aca="false">Workload!G7</f>
        <v>2000</v>
      </c>
      <c r="R269" s="28" t="s">
        <v>604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3719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4401</v>
      </c>
      <c r="B270" s="221" t="s">
        <v>3713</v>
      </c>
      <c r="C270" s="28" t="s">
        <v>4373</v>
      </c>
      <c r="D270" s="28" t="s">
        <v>3891</v>
      </c>
      <c r="E270" s="19" t="s">
        <v>4402</v>
      </c>
      <c r="F270" s="28" t="s">
        <v>90</v>
      </c>
      <c r="G270" s="221" t="s">
        <v>3715</v>
      </c>
      <c r="H270" s="28" t="s">
        <v>604</v>
      </c>
      <c r="I270" s="6" t="s">
        <v>604</v>
      </c>
      <c r="J270" s="28" t="s">
        <v>604</v>
      </c>
      <c r="K270" s="174" t="n">
        <f aca="false">Workload!C8*0.5</f>
        <v>0</v>
      </c>
      <c r="L270" s="174" t="n">
        <f aca="false">Workload!C8*2</f>
        <v>0</v>
      </c>
      <c r="M270" s="28" t="s">
        <v>4356</v>
      </c>
      <c r="N270" s="22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604</v>
      </c>
      <c r="P270" s="221" t="s">
        <v>3774</v>
      </c>
      <c r="Q270" s="46" t="n">
        <f aca="false">Workload!C8</f>
        <v>0</v>
      </c>
      <c r="R270" s="28" t="s">
        <v>604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3719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4403</v>
      </c>
      <c r="B271" s="221" t="s">
        <v>3713</v>
      </c>
      <c r="C271" s="28" t="s">
        <v>4373</v>
      </c>
      <c r="D271" s="28" t="s">
        <v>3894</v>
      </c>
      <c r="E271" s="19" t="s">
        <v>4402</v>
      </c>
      <c r="F271" s="28" t="s">
        <v>90</v>
      </c>
      <c r="G271" s="221" t="s">
        <v>3715</v>
      </c>
      <c r="H271" s="28" t="s">
        <v>604</v>
      </c>
      <c r="I271" s="6" t="s">
        <v>604</v>
      </c>
      <c r="J271" s="28" t="s">
        <v>604</v>
      </c>
      <c r="K271" s="174" t="n">
        <f aca="false">Workload!D8*0.5</f>
        <v>1500</v>
      </c>
      <c r="L271" s="174" t="n">
        <f aca="false">Workload!D8*2</f>
        <v>6000</v>
      </c>
      <c r="M271" s="28" t="s">
        <v>4356</v>
      </c>
      <c r="N271" s="22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604</v>
      </c>
      <c r="P271" s="221" t="s">
        <v>3774</v>
      </c>
      <c r="Q271" s="46" t="n">
        <f aca="false">Workload!D8</f>
        <v>3000</v>
      </c>
      <c r="R271" s="28" t="s">
        <v>604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3719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4404</v>
      </c>
      <c r="B272" s="221" t="s">
        <v>3713</v>
      </c>
      <c r="C272" s="28" t="s">
        <v>4373</v>
      </c>
      <c r="D272" s="28" t="s">
        <v>3579</v>
      </c>
      <c r="E272" s="19" t="s">
        <v>4402</v>
      </c>
      <c r="F272" s="28" t="s">
        <v>90</v>
      </c>
      <c r="G272" s="221" t="s">
        <v>3715</v>
      </c>
      <c r="H272" s="28" t="s">
        <v>604</v>
      </c>
      <c r="I272" s="6" t="s">
        <v>604</v>
      </c>
      <c r="J272" s="28" t="s">
        <v>604</v>
      </c>
      <c r="K272" s="174" t="n">
        <f aca="false">Workload!E8*0.5</f>
        <v>200</v>
      </c>
      <c r="L272" s="174" t="n">
        <f aca="false">Workload!E8*2</f>
        <v>800</v>
      </c>
      <c r="M272" s="28" t="s">
        <v>4356</v>
      </c>
      <c r="N272" s="22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604</v>
      </c>
      <c r="P272" s="221" t="s">
        <v>3774</v>
      </c>
      <c r="Q272" s="46" t="n">
        <f aca="false">Workload!E8</f>
        <v>400</v>
      </c>
      <c r="R272" s="28" t="s">
        <v>604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3719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4405</v>
      </c>
      <c r="B273" s="221" t="s">
        <v>3713</v>
      </c>
      <c r="C273" s="28" t="s">
        <v>4373</v>
      </c>
      <c r="D273" s="28" t="s">
        <v>3899</v>
      </c>
      <c r="E273" s="19" t="s">
        <v>4402</v>
      </c>
      <c r="F273" s="28" t="s">
        <v>90</v>
      </c>
      <c r="G273" s="221" t="s">
        <v>3715</v>
      </c>
      <c r="H273" s="28" t="s">
        <v>604</v>
      </c>
      <c r="I273" s="6" t="s">
        <v>604</v>
      </c>
      <c r="J273" s="28" t="s">
        <v>604</v>
      </c>
      <c r="K273" s="174" t="n">
        <f aca="false">Workload!F8*0.5</f>
        <v>200</v>
      </c>
      <c r="L273" s="174" t="n">
        <f aca="false">Workload!F8*2</f>
        <v>800</v>
      </c>
      <c r="M273" s="28" t="s">
        <v>4356</v>
      </c>
      <c r="N273" s="22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604</v>
      </c>
      <c r="P273" s="221" t="s">
        <v>3774</v>
      </c>
      <c r="Q273" s="46" t="n">
        <f aca="false">Workload!F8</f>
        <v>400</v>
      </c>
      <c r="R273" s="28" t="s">
        <v>604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3719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4406</v>
      </c>
      <c r="B274" s="221" t="s">
        <v>3713</v>
      </c>
      <c r="C274" s="28" t="s">
        <v>4373</v>
      </c>
      <c r="D274" s="28" t="s">
        <v>3902</v>
      </c>
      <c r="E274" s="19" t="s">
        <v>4402</v>
      </c>
      <c r="F274" s="28" t="s">
        <v>90</v>
      </c>
      <c r="G274" s="221" t="s">
        <v>3715</v>
      </c>
      <c r="H274" s="28" t="s">
        <v>604</v>
      </c>
      <c r="I274" s="6" t="s">
        <v>604</v>
      </c>
      <c r="J274" s="28" t="s">
        <v>604</v>
      </c>
      <c r="K274" s="174" t="n">
        <f aca="false">Workload!G8*0.5</f>
        <v>300</v>
      </c>
      <c r="L274" s="174" t="n">
        <f aca="false">Workload!G8*2</f>
        <v>1200</v>
      </c>
      <c r="M274" s="28" t="s">
        <v>4356</v>
      </c>
      <c r="N274" s="22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604</v>
      </c>
      <c r="P274" s="221" t="s">
        <v>1134</v>
      </c>
      <c r="Q274" s="46" t="n">
        <f aca="false">Workload!G8</f>
        <v>600</v>
      </c>
      <c r="R274" s="28" t="s">
        <v>604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3719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4407</v>
      </c>
      <c r="B275" s="221" t="s">
        <v>3713</v>
      </c>
      <c r="C275" s="28" t="s">
        <v>4373</v>
      </c>
      <c r="D275" s="28" t="s">
        <v>3905</v>
      </c>
      <c r="E275" s="19" t="s">
        <v>4408</v>
      </c>
      <c r="F275" s="28" t="s">
        <v>90</v>
      </c>
      <c r="G275" s="221" t="s">
        <v>3715</v>
      </c>
      <c r="H275" s="28" t="s">
        <v>604</v>
      </c>
      <c r="I275" s="6" t="s">
        <v>604</v>
      </c>
      <c r="J275" s="28" t="s">
        <v>604</v>
      </c>
      <c r="K275" s="174" t="n">
        <f aca="false">Workload!C9*0.5</f>
        <v>250</v>
      </c>
      <c r="L275" s="174" t="n">
        <f aca="false">Workload!C9*2</f>
        <v>1000</v>
      </c>
      <c r="M275" s="28" t="s">
        <v>4356</v>
      </c>
      <c r="N275" s="19" t="s">
        <v>4388</v>
      </c>
      <c r="O275" s="6" t="s">
        <v>604</v>
      </c>
      <c r="P275" s="221" t="s">
        <v>3774</v>
      </c>
      <c r="Q275" s="46" t="n">
        <f aca="false">Workload!C9</f>
        <v>500</v>
      </c>
      <c r="R275" s="28" t="s">
        <v>604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3719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4409</v>
      </c>
      <c r="B276" s="221" t="s">
        <v>3713</v>
      </c>
      <c r="C276" s="28" t="s">
        <v>4373</v>
      </c>
      <c r="D276" s="28" t="s">
        <v>3728</v>
      </c>
      <c r="E276" s="19" t="s">
        <v>4408</v>
      </c>
      <c r="F276" s="28" t="s">
        <v>90</v>
      </c>
      <c r="G276" s="221" t="s">
        <v>3715</v>
      </c>
      <c r="H276" s="28" t="s">
        <v>604</v>
      </c>
      <c r="I276" s="6" t="s">
        <v>604</v>
      </c>
      <c r="J276" s="28" t="s">
        <v>604</v>
      </c>
      <c r="K276" s="174" t="n">
        <f aca="false">Workload!D9*0.5</f>
        <v>350</v>
      </c>
      <c r="L276" s="174" t="n">
        <f aca="false">Workload!D9*2</f>
        <v>1400</v>
      </c>
      <c r="M276" s="28" t="s">
        <v>4356</v>
      </c>
      <c r="N276" s="19" t="s">
        <v>4388</v>
      </c>
      <c r="O276" s="6" t="s">
        <v>604</v>
      </c>
      <c r="P276" s="221" t="s">
        <v>3774</v>
      </c>
      <c r="Q276" s="46" t="n">
        <f aca="false">Workload!D9</f>
        <v>700</v>
      </c>
      <c r="R276" s="28" t="s">
        <v>604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3719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4410</v>
      </c>
      <c r="B277" s="221" t="s">
        <v>3713</v>
      </c>
      <c r="C277" s="28" t="s">
        <v>4373</v>
      </c>
      <c r="D277" s="28" t="s">
        <v>3582</v>
      </c>
      <c r="E277" s="19" t="s">
        <v>4408</v>
      </c>
      <c r="F277" s="28" t="s">
        <v>90</v>
      </c>
      <c r="G277" s="221" t="s">
        <v>3715</v>
      </c>
      <c r="H277" s="28" t="s">
        <v>604</v>
      </c>
      <c r="I277" s="6" t="s">
        <v>604</v>
      </c>
      <c r="J277" s="28" t="s">
        <v>604</v>
      </c>
      <c r="K277" s="174" t="n">
        <f aca="false">Workload!E9*0.5</f>
        <v>100</v>
      </c>
      <c r="L277" s="174" t="n">
        <f aca="false">Workload!E9*2</f>
        <v>400</v>
      </c>
      <c r="M277" s="28" t="s">
        <v>4356</v>
      </c>
      <c r="N277" s="19" t="s">
        <v>4388</v>
      </c>
      <c r="O277" s="6" t="s">
        <v>604</v>
      </c>
      <c r="P277" s="221" t="s">
        <v>3774</v>
      </c>
      <c r="Q277" s="46" t="n">
        <f aca="false">Workload!E9</f>
        <v>200</v>
      </c>
      <c r="R277" s="28" t="s">
        <v>604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3719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4411</v>
      </c>
      <c r="B278" s="221" t="s">
        <v>3713</v>
      </c>
      <c r="C278" s="28" t="s">
        <v>4373</v>
      </c>
      <c r="D278" s="28" t="s">
        <v>3730</v>
      </c>
      <c r="E278" s="19" t="s">
        <v>4408</v>
      </c>
      <c r="F278" s="28" t="s">
        <v>90</v>
      </c>
      <c r="G278" s="221" t="s">
        <v>3715</v>
      </c>
      <c r="H278" s="28" t="s">
        <v>604</v>
      </c>
      <c r="I278" s="6" t="s">
        <v>604</v>
      </c>
      <c r="J278" s="28" t="s">
        <v>604</v>
      </c>
      <c r="K278" s="174" t="n">
        <f aca="false">Workload!F9*0.5</f>
        <v>100</v>
      </c>
      <c r="L278" s="174" t="n">
        <f aca="false">Workload!F9*2</f>
        <v>400</v>
      </c>
      <c r="M278" s="28" t="s">
        <v>4356</v>
      </c>
      <c r="N278" s="19" t="s">
        <v>4388</v>
      </c>
      <c r="O278" s="6" t="s">
        <v>604</v>
      </c>
      <c r="P278" s="221" t="s">
        <v>3774</v>
      </c>
      <c r="Q278" s="46" t="n">
        <f aca="false">Workload!F9</f>
        <v>200</v>
      </c>
      <c r="R278" s="28" t="s">
        <v>604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3719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4412</v>
      </c>
      <c r="B279" s="221" t="s">
        <v>3713</v>
      </c>
      <c r="C279" s="28" t="s">
        <v>4373</v>
      </c>
      <c r="D279" s="28" t="s">
        <v>3920</v>
      </c>
      <c r="E279" s="19" t="s">
        <v>4408</v>
      </c>
      <c r="F279" s="28" t="s">
        <v>90</v>
      </c>
      <c r="G279" s="221" t="s">
        <v>3715</v>
      </c>
      <c r="H279" s="28" t="s">
        <v>604</v>
      </c>
      <c r="I279" s="6" t="s">
        <v>604</v>
      </c>
      <c r="J279" s="28" t="s">
        <v>604</v>
      </c>
      <c r="K279" s="174" t="n">
        <f aca="false">Workload!G9*0.5</f>
        <v>200</v>
      </c>
      <c r="L279" s="174" t="n">
        <f aca="false">Workload!G9*2</f>
        <v>800</v>
      </c>
      <c r="M279" s="28" t="s">
        <v>4356</v>
      </c>
      <c r="N279" s="19" t="s">
        <v>4413</v>
      </c>
      <c r="O279" s="6" t="s">
        <v>604</v>
      </c>
      <c r="P279" s="221" t="s">
        <v>1134</v>
      </c>
      <c r="Q279" s="46" t="n">
        <f aca="false">Workload!G9</f>
        <v>400</v>
      </c>
      <c r="R279" s="28" t="s">
        <v>604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3719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4414</v>
      </c>
      <c r="B280" s="221" t="s">
        <v>3713</v>
      </c>
      <c r="C280" s="28" t="s">
        <v>4373</v>
      </c>
      <c r="D280" s="28" t="s">
        <v>3925</v>
      </c>
      <c r="E280" s="19" t="s">
        <v>4415</v>
      </c>
      <c r="F280" s="28" t="s">
        <v>90</v>
      </c>
      <c r="G280" s="221" t="s">
        <v>3715</v>
      </c>
      <c r="H280" s="28" t="s">
        <v>604</v>
      </c>
      <c r="I280" s="6" t="s">
        <v>604</v>
      </c>
      <c r="J280" s="28" t="s">
        <v>604</v>
      </c>
      <c r="K280" s="223" t="n">
        <v>0</v>
      </c>
      <c r="L280" s="223" t="n">
        <v>1</v>
      </c>
      <c r="M280" s="28" t="s">
        <v>4416</v>
      </c>
      <c r="N280" s="222" t="str">
        <f aca="false">Workload!$H$10</f>
        <v>Assumed：多數 API 不保留前輪思考（標準 harness）</v>
      </c>
      <c r="O280" s="6" t="s">
        <v>604</v>
      </c>
      <c r="P280" s="221" t="s">
        <v>3718</v>
      </c>
      <c r="Q280" s="184" t="n">
        <f aca="false">Workload!C10</f>
        <v>0</v>
      </c>
      <c r="R280" s="28" t="s">
        <v>604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3719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4417</v>
      </c>
      <c r="B281" s="221" t="s">
        <v>3713</v>
      </c>
      <c r="C281" s="28" t="s">
        <v>4373</v>
      </c>
      <c r="D281" s="28" t="s">
        <v>3733</v>
      </c>
      <c r="E281" s="19" t="s">
        <v>4415</v>
      </c>
      <c r="F281" s="28" t="s">
        <v>90</v>
      </c>
      <c r="G281" s="221" t="s">
        <v>3715</v>
      </c>
      <c r="H281" s="28" t="s">
        <v>604</v>
      </c>
      <c r="I281" s="6" t="s">
        <v>604</v>
      </c>
      <c r="J281" s="28" t="s">
        <v>604</v>
      </c>
      <c r="K281" s="223" t="n">
        <v>0</v>
      </c>
      <c r="L281" s="223" t="n">
        <v>1</v>
      </c>
      <c r="M281" s="28" t="s">
        <v>4416</v>
      </c>
      <c r="N281" s="222" t="str">
        <f aca="false">Workload!$H$10</f>
        <v>Assumed：多數 API 不保留前輪思考（標準 harness）</v>
      </c>
      <c r="O281" s="6" t="s">
        <v>604</v>
      </c>
      <c r="P281" s="221" t="s">
        <v>3718</v>
      </c>
      <c r="Q281" s="184" t="n">
        <f aca="false">Workload!D10</f>
        <v>0</v>
      </c>
      <c r="R281" s="28" t="s">
        <v>604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3719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4418</v>
      </c>
      <c r="B282" s="221" t="s">
        <v>3713</v>
      </c>
      <c r="C282" s="28" t="s">
        <v>4373</v>
      </c>
      <c r="D282" s="28" t="s">
        <v>3585</v>
      </c>
      <c r="E282" s="19" t="s">
        <v>4415</v>
      </c>
      <c r="F282" s="28" t="s">
        <v>90</v>
      </c>
      <c r="G282" s="221" t="s">
        <v>3715</v>
      </c>
      <c r="H282" s="28" t="s">
        <v>604</v>
      </c>
      <c r="I282" s="6" t="s">
        <v>604</v>
      </c>
      <c r="J282" s="28" t="s">
        <v>604</v>
      </c>
      <c r="K282" s="223" t="n">
        <v>0</v>
      </c>
      <c r="L282" s="223" t="n">
        <v>1</v>
      </c>
      <c r="M282" s="28" t="s">
        <v>4416</v>
      </c>
      <c r="N282" s="222" t="str">
        <f aca="false">Workload!$H$10</f>
        <v>Assumed：多數 API 不保留前輪思考（標準 harness）</v>
      </c>
      <c r="O282" s="6" t="s">
        <v>604</v>
      </c>
      <c r="P282" s="221" t="s">
        <v>3718</v>
      </c>
      <c r="Q282" s="184" t="n">
        <f aca="false">Workload!E10</f>
        <v>0</v>
      </c>
      <c r="R282" s="28" t="s">
        <v>604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3719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4419</v>
      </c>
      <c r="B283" s="221" t="s">
        <v>3713</v>
      </c>
      <c r="C283" s="28" t="s">
        <v>4373</v>
      </c>
      <c r="D283" s="28" t="s">
        <v>3735</v>
      </c>
      <c r="E283" s="19" t="s">
        <v>4415</v>
      </c>
      <c r="F283" s="28" t="s">
        <v>90</v>
      </c>
      <c r="G283" s="221" t="s">
        <v>3715</v>
      </c>
      <c r="H283" s="28" t="s">
        <v>604</v>
      </c>
      <c r="I283" s="6" t="s">
        <v>604</v>
      </c>
      <c r="J283" s="28" t="s">
        <v>604</v>
      </c>
      <c r="K283" s="223" t="n">
        <v>0</v>
      </c>
      <c r="L283" s="223" t="n">
        <v>1</v>
      </c>
      <c r="M283" s="28" t="s">
        <v>4416</v>
      </c>
      <c r="N283" s="222" t="str">
        <f aca="false">Workload!$H$10</f>
        <v>Assumed：多數 API 不保留前輪思考（標準 harness）</v>
      </c>
      <c r="O283" s="6" t="s">
        <v>604</v>
      </c>
      <c r="P283" s="221" t="s">
        <v>3718</v>
      </c>
      <c r="Q283" s="184" t="n">
        <f aca="false">Workload!F10</f>
        <v>0</v>
      </c>
      <c r="R283" s="28" t="s">
        <v>604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3719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4420</v>
      </c>
      <c r="B284" s="221" t="s">
        <v>3713</v>
      </c>
      <c r="C284" s="28" t="s">
        <v>4373</v>
      </c>
      <c r="D284" s="28" t="s">
        <v>3933</v>
      </c>
      <c r="E284" s="19" t="s">
        <v>4415</v>
      </c>
      <c r="F284" s="28" t="s">
        <v>90</v>
      </c>
      <c r="G284" s="221" t="s">
        <v>3715</v>
      </c>
      <c r="H284" s="28" t="s">
        <v>604</v>
      </c>
      <c r="I284" s="6" t="s">
        <v>604</v>
      </c>
      <c r="J284" s="28" t="s">
        <v>604</v>
      </c>
      <c r="K284" s="223" t="n">
        <v>0</v>
      </c>
      <c r="L284" s="223" t="n">
        <v>1</v>
      </c>
      <c r="M284" s="28" t="s">
        <v>4416</v>
      </c>
      <c r="N284" s="222" t="str">
        <f aca="false">Workload!$H$10</f>
        <v>Assumed：多數 API 不保留前輪思考（標準 harness）</v>
      </c>
      <c r="O284" s="6" t="s">
        <v>604</v>
      </c>
      <c r="P284" s="221" t="s">
        <v>3718</v>
      </c>
      <c r="Q284" s="184" t="n">
        <f aca="false">Workload!G10</f>
        <v>0</v>
      </c>
      <c r="R284" s="28" t="s">
        <v>604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3719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4421</v>
      </c>
      <c r="B285" s="221" t="s">
        <v>3713</v>
      </c>
      <c r="C285" s="28" t="s">
        <v>4373</v>
      </c>
      <c r="D285" s="28" t="s">
        <v>3936</v>
      </c>
      <c r="E285" s="19" t="s">
        <v>4422</v>
      </c>
      <c r="F285" s="28" t="s">
        <v>90</v>
      </c>
      <c r="G285" s="221" t="s">
        <v>3715</v>
      </c>
      <c r="H285" s="28" t="s">
        <v>604</v>
      </c>
      <c r="I285" s="6" t="s">
        <v>604</v>
      </c>
      <c r="J285" s="28" t="s">
        <v>604</v>
      </c>
      <c r="K285" s="223" t="n">
        <v>0.3</v>
      </c>
      <c r="L285" s="223" t="n">
        <v>0.7</v>
      </c>
      <c r="M285" s="28" t="s">
        <v>4423</v>
      </c>
      <c r="N285" s="222" t="str">
        <f aca="false">Workload!$H$11</f>
        <v>Assumed；代理迴圈前綴重用高</v>
      </c>
      <c r="O285" s="6" t="s">
        <v>604</v>
      </c>
      <c r="P285" s="221" t="s">
        <v>1134</v>
      </c>
      <c r="Q285" s="184" t="n">
        <f aca="false">Workload!C11</f>
        <v>0.5</v>
      </c>
      <c r="R285" s="28" t="s">
        <v>604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3719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4424</v>
      </c>
      <c r="B286" s="221" t="s">
        <v>3713</v>
      </c>
      <c r="C286" s="28" t="s">
        <v>4373</v>
      </c>
      <c r="D286" s="28" t="s">
        <v>3740</v>
      </c>
      <c r="E286" s="19" t="s">
        <v>4422</v>
      </c>
      <c r="F286" s="28" t="s">
        <v>90</v>
      </c>
      <c r="G286" s="221" t="s">
        <v>3715</v>
      </c>
      <c r="H286" s="28" t="s">
        <v>604</v>
      </c>
      <c r="I286" s="6" t="s">
        <v>604</v>
      </c>
      <c r="J286" s="28" t="s">
        <v>604</v>
      </c>
      <c r="K286" s="223" t="n">
        <v>0.3</v>
      </c>
      <c r="L286" s="223" t="n">
        <v>0.7</v>
      </c>
      <c r="M286" s="28" t="s">
        <v>4423</v>
      </c>
      <c r="N286" s="222" t="str">
        <f aca="false">Workload!$H$11</f>
        <v>Assumed；代理迴圈前綴重用高</v>
      </c>
      <c r="O286" s="6" t="s">
        <v>604</v>
      </c>
      <c r="P286" s="221" t="s">
        <v>1134</v>
      </c>
      <c r="Q286" s="184" t="n">
        <f aca="false">Workload!D11</f>
        <v>0.5</v>
      </c>
      <c r="R286" s="28" t="s">
        <v>604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3719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4425</v>
      </c>
      <c r="B287" s="221" t="s">
        <v>3713</v>
      </c>
      <c r="C287" s="28" t="s">
        <v>4373</v>
      </c>
      <c r="D287" s="28" t="s">
        <v>3588</v>
      </c>
      <c r="E287" s="19" t="s">
        <v>4422</v>
      </c>
      <c r="F287" s="28" t="s">
        <v>90</v>
      </c>
      <c r="G287" s="221" t="s">
        <v>3715</v>
      </c>
      <c r="H287" s="28" t="s">
        <v>604</v>
      </c>
      <c r="I287" s="6" t="s">
        <v>604</v>
      </c>
      <c r="J287" s="28" t="s">
        <v>604</v>
      </c>
      <c r="K287" s="223" t="n">
        <v>0.7</v>
      </c>
      <c r="L287" s="223" t="n">
        <v>0.95</v>
      </c>
      <c r="M287" s="28" t="s">
        <v>4426</v>
      </c>
      <c r="N287" s="22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604</v>
      </c>
      <c r="P287" s="221" t="s">
        <v>1134</v>
      </c>
      <c r="Q287" s="184" t="n">
        <f aca="false">Workload!E11</f>
        <v>0.9</v>
      </c>
      <c r="R287" s="28" t="s">
        <v>604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3719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4427</v>
      </c>
      <c r="B288" s="221" t="s">
        <v>3713</v>
      </c>
      <c r="C288" s="28" t="s">
        <v>4373</v>
      </c>
      <c r="D288" s="28" t="s">
        <v>3742</v>
      </c>
      <c r="E288" s="19" t="s">
        <v>4422</v>
      </c>
      <c r="F288" s="28" t="s">
        <v>90</v>
      </c>
      <c r="G288" s="221" t="s">
        <v>3715</v>
      </c>
      <c r="H288" s="28" t="s">
        <v>604</v>
      </c>
      <c r="I288" s="6" t="s">
        <v>604</v>
      </c>
      <c r="J288" s="28" t="s">
        <v>604</v>
      </c>
      <c r="K288" s="223" t="n">
        <v>0.7</v>
      </c>
      <c r="L288" s="223" t="n">
        <v>0.95</v>
      </c>
      <c r="M288" s="28" t="s">
        <v>4426</v>
      </c>
      <c r="N288" s="222" t="str">
        <f aca="false">Workload!$H$11</f>
        <v>Assumed；代理迴圈前綴重用高</v>
      </c>
      <c r="O288" s="6" t="s">
        <v>604</v>
      </c>
      <c r="P288" s="221" t="s">
        <v>1134</v>
      </c>
      <c r="Q288" s="184" t="n">
        <f aca="false">Workload!F11</f>
        <v>0.9</v>
      </c>
      <c r="R288" s="28" t="s">
        <v>604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3719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4428</v>
      </c>
      <c r="B289" s="221" t="s">
        <v>3713</v>
      </c>
      <c r="C289" s="28" t="s">
        <v>4373</v>
      </c>
      <c r="D289" s="28" t="s">
        <v>3953</v>
      </c>
      <c r="E289" s="19" t="s">
        <v>4422</v>
      </c>
      <c r="F289" s="28" t="s">
        <v>90</v>
      </c>
      <c r="G289" s="221" t="s">
        <v>3715</v>
      </c>
      <c r="H289" s="28" t="s">
        <v>604</v>
      </c>
      <c r="I289" s="6" t="s">
        <v>604</v>
      </c>
      <c r="J289" s="28" t="s">
        <v>604</v>
      </c>
      <c r="K289" s="223" t="n">
        <v>0.7</v>
      </c>
      <c r="L289" s="223" t="n">
        <v>0.95</v>
      </c>
      <c r="M289" s="28" t="s">
        <v>4426</v>
      </c>
      <c r="N289" s="222" t="str">
        <f aca="false">Workload!$H$11</f>
        <v>Assumed；代理迴圈前綴重用高</v>
      </c>
      <c r="O289" s="6" t="s">
        <v>604</v>
      </c>
      <c r="P289" s="221" t="s">
        <v>1134</v>
      </c>
      <c r="Q289" s="184" t="n">
        <f aca="false">Workload!G11</f>
        <v>0.9</v>
      </c>
      <c r="R289" s="28" t="s">
        <v>604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3719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4429</v>
      </c>
      <c r="B290" s="221" t="s">
        <v>3713</v>
      </c>
      <c r="C290" s="28" t="s">
        <v>4373</v>
      </c>
      <c r="D290" s="28" t="s">
        <v>3957</v>
      </c>
      <c r="E290" s="19" t="s">
        <v>4430</v>
      </c>
      <c r="F290" s="28" t="s">
        <v>90</v>
      </c>
      <c r="G290" s="221" t="s">
        <v>3715</v>
      </c>
      <c r="H290" s="28" t="s">
        <v>604</v>
      </c>
      <c r="I290" s="6" t="s">
        <v>604</v>
      </c>
      <c r="J290" s="28" t="s">
        <v>604</v>
      </c>
      <c r="K290" s="223" t="n">
        <v>0</v>
      </c>
      <c r="L290" s="174" t="n">
        <f aca="false">MAX(1,Workload!C12*2)</f>
        <v>1</v>
      </c>
      <c r="M290" s="28" t="s">
        <v>4431</v>
      </c>
      <c r="N290" s="22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604</v>
      </c>
      <c r="P290" s="221" t="s">
        <v>3718</v>
      </c>
      <c r="Q290" s="31" t="n">
        <f aca="false">Workload!C12</f>
        <v>0</v>
      </c>
      <c r="R290" s="28" t="s">
        <v>604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3719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4432</v>
      </c>
      <c r="B291" s="221" t="s">
        <v>3713</v>
      </c>
      <c r="C291" s="28" t="s">
        <v>4373</v>
      </c>
      <c r="D291" s="28" t="s">
        <v>3961</v>
      </c>
      <c r="E291" s="19" t="s">
        <v>4430</v>
      </c>
      <c r="F291" s="28" t="s">
        <v>90</v>
      </c>
      <c r="G291" s="221" t="s">
        <v>3715</v>
      </c>
      <c r="H291" s="28" t="s">
        <v>604</v>
      </c>
      <c r="I291" s="6" t="s">
        <v>604</v>
      </c>
      <c r="J291" s="28" t="s">
        <v>604</v>
      </c>
      <c r="K291" s="223" t="n">
        <v>0</v>
      </c>
      <c r="L291" s="174" t="n">
        <f aca="false">MAX(1,Workload!D12*2)</f>
        <v>1</v>
      </c>
      <c r="M291" s="28" t="s">
        <v>4431</v>
      </c>
      <c r="N291" s="22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604</v>
      </c>
      <c r="P291" s="221" t="s">
        <v>3718</v>
      </c>
      <c r="Q291" s="31" t="n">
        <f aca="false">Workload!D12</f>
        <v>0</v>
      </c>
      <c r="R291" s="28" t="s">
        <v>604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3719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4433</v>
      </c>
      <c r="B292" s="221" t="s">
        <v>3713</v>
      </c>
      <c r="C292" s="28" t="s">
        <v>4373</v>
      </c>
      <c r="D292" s="28" t="s">
        <v>3591</v>
      </c>
      <c r="E292" s="19" t="s">
        <v>4430</v>
      </c>
      <c r="F292" s="28" t="s">
        <v>90</v>
      </c>
      <c r="G292" s="221" t="s">
        <v>3715</v>
      </c>
      <c r="H292" s="28" t="s">
        <v>604</v>
      </c>
      <c r="I292" s="6" t="s">
        <v>604</v>
      </c>
      <c r="J292" s="28" t="s">
        <v>604</v>
      </c>
      <c r="K292" s="223" t="n">
        <v>0</v>
      </c>
      <c r="L292" s="174" t="n">
        <f aca="false">MAX(1,Workload!E12*2)</f>
        <v>1</v>
      </c>
      <c r="M292" s="28" t="s">
        <v>4431</v>
      </c>
      <c r="N292" s="22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604</v>
      </c>
      <c r="P292" s="221" t="s">
        <v>3718</v>
      </c>
      <c r="Q292" s="31" t="n">
        <f aca="false">Workload!E12</f>
        <v>0</v>
      </c>
      <c r="R292" s="28" t="s">
        <v>604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3719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4434</v>
      </c>
      <c r="B293" s="221" t="s">
        <v>3713</v>
      </c>
      <c r="C293" s="28" t="s">
        <v>4373</v>
      </c>
      <c r="D293" s="28" t="s">
        <v>3969</v>
      </c>
      <c r="E293" s="19" t="s">
        <v>4430</v>
      </c>
      <c r="F293" s="28" t="s">
        <v>90</v>
      </c>
      <c r="G293" s="221" t="s">
        <v>3715</v>
      </c>
      <c r="H293" s="28" t="s">
        <v>604</v>
      </c>
      <c r="I293" s="6" t="s">
        <v>604</v>
      </c>
      <c r="J293" s="28" t="s">
        <v>604</v>
      </c>
      <c r="K293" s="223" t="n">
        <v>0</v>
      </c>
      <c r="L293" s="174" t="n">
        <f aca="false">MAX(1,Workload!F12*2)</f>
        <v>6</v>
      </c>
      <c r="M293" s="28" t="s">
        <v>4431</v>
      </c>
      <c r="N293" s="22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604</v>
      </c>
      <c r="P293" s="221" t="s">
        <v>3718</v>
      </c>
      <c r="Q293" s="31" t="n">
        <f aca="false">Workload!F12</f>
        <v>3</v>
      </c>
      <c r="R293" s="28" t="s">
        <v>604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3719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4435</v>
      </c>
      <c r="B294" s="221" t="s">
        <v>3713</v>
      </c>
      <c r="C294" s="28" t="s">
        <v>4373</v>
      </c>
      <c r="D294" s="28" t="s">
        <v>3974</v>
      </c>
      <c r="E294" s="19" t="s">
        <v>4430</v>
      </c>
      <c r="F294" s="28" t="s">
        <v>90</v>
      </c>
      <c r="G294" s="221" t="s">
        <v>3715</v>
      </c>
      <c r="H294" s="28" t="s">
        <v>604</v>
      </c>
      <c r="I294" s="6" t="s">
        <v>604</v>
      </c>
      <c r="J294" s="28" t="s">
        <v>604</v>
      </c>
      <c r="K294" s="223" t="n">
        <v>0</v>
      </c>
      <c r="L294" s="174" t="n">
        <f aca="false">MAX(1,Workload!G12*2)</f>
        <v>1</v>
      </c>
      <c r="M294" s="28" t="s">
        <v>4431</v>
      </c>
      <c r="N294" s="22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604</v>
      </c>
      <c r="P294" s="221" t="s">
        <v>1134</v>
      </c>
      <c r="Q294" s="31" t="n">
        <f aca="false">Workload!G12</f>
        <v>0</v>
      </c>
      <c r="R294" s="28" t="s">
        <v>604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3719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4436</v>
      </c>
      <c r="B295" s="221" t="s">
        <v>3713</v>
      </c>
      <c r="C295" s="28" t="s">
        <v>4373</v>
      </c>
      <c r="D295" s="28" t="s">
        <v>3977</v>
      </c>
      <c r="E295" s="6" t="s">
        <v>388</v>
      </c>
      <c r="F295" s="28" t="s">
        <v>82</v>
      </c>
      <c r="G295" s="221" t="s">
        <v>3715</v>
      </c>
      <c r="H295" s="28" t="s">
        <v>604</v>
      </c>
      <c r="I295" s="6" t="s">
        <v>604</v>
      </c>
      <c r="J295" s="28" t="s">
        <v>4437</v>
      </c>
      <c r="K295" s="221"/>
      <c r="L295" s="221"/>
      <c r="M295" s="28" t="s">
        <v>604</v>
      </c>
      <c r="N295" s="6" t="s">
        <v>4438</v>
      </c>
      <c r="O295" s="6" t="s">
        <v>604</v>
      </c>
      <c r="P295" s="221" t="s">
        <v>1134</v>
      </c>
      <c r="Q295" s="182" t="n">
        <f aca="false">Workload!C13</f>
        <v>1</v>
      </c>
      <c r="R295" s="28" t="s">
        <v>604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3719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4439</v>
      </c>
      <c r="B296" s="221" t="s">
        <v>3713</v>
      </c>
      <c r="C296" s="28" t="s">
        <v>4373</v>
      </c>
      <c r="D296" s="28" t="s">
        <v>4226</v>
      </c>
      <c r="E296" s="19" t="s">
        <v>4440</v>
      </c>
      <c r="F296" s="28" t="s">
        <v>82</v>
      </c>
      <c r="G296" s="221" t="s">
        <v>3715</v>
      </c>
      <c r="H296" s="28" t="s">
        <v>604</v>
      </c>
      <c r="I296" s="6" t="s">
        <v>604</v>
      </c>
      <c r="J296" s="28" t="s">
        <v>4441</v>
      </c>
      <c r="K296" s="221"/>
      <c r="L296" s="221"/>
      <c r="M296" s="28" t="s">
        <v>604</v>
      </c>
      <c r="N296" s="19" t="s">
        <v>4442</v>
      </c>
      <c r="O296" s="6" t="s">
        <v>604</v>
      </c>
      <c r="P296" s="221" t="s">
        <v>3774</v>
      </c>
      <c r="Q296" s="182" t="n">
        <f aca="false">Workload!C14</f>
        <v>1</v>
      </c>
      <c r="R296" s="28" t="s">
        <v>604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3719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4443</v>
      </c>
      <c r="B297" s="221" t="s">
        <v>3713</v>
      </c>
      <c r="C297" s="28" t="s">
        <v>4373</v>
      </c>
      <c r="D297" s="28" t="s">
        <v>3746</v>
      </c>
      <c r="E297" s="6" t="s">
        <v>388</v>
      </c>
      <c r="F297" s="28" t="s">
        <v>82</v>
      </c>
      <c r="G297" s="221" t="s">
        <v>3715</v>
      </c>
      <c r="H297" s="28" t="s">
        <v>604</v>
      </c>
      <c r="I297" s="6" t="s">
        <v>604</v>
      </c>
      <c r="J297" s="28" t="s">
        <v>4437</v>
      </c>
      <c r="K297" s="221"/>
      <c r="L297" s="221"/>
      <c r="M297" s="28" t="s">
        <v>604</v>
      </c>
      <c r="N297" s="6" t="s">
        <v>4438</v>
      </c>
      <c r="O297" s="6" t="s">
        <v>604</v>
      </c>
      <c r="P297" s="221" t="s">
        <v>1134</v>
      </c>
      <c r="Q297" s="182" t="n">
        <f aca="false">Workload!D13</f>
        <v>1</v>
      </c>
      <c r="R297" s="28" t="s">
        <v>604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3719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4444</v>
      </c>
      <c r="B298" s="221" t="s">
        <v>3713</v>
      </c>
      <c r="C298" s="28" t="s">
        <v>4373</v>
      </c>
      <c r="D298" s="28" t="s">
        <v>3756</v>
      </c>
      <c r="E298" s="19" t="s">
        <v>4440</v>
      </c>
      <c r="F298" s="28" t="s">
        <v>82</v>
      </c>
      <c r="G298" s="221" t="s">
        <v>3715</v>
      </c>
      <c r="H298" s="28" t="s">
        <v>604</v>
      </c>
      <c r="I298" s="6" t="s">
        <v>604</v>
      </c>
      <c r="J298" s="28" t="s">
        <v>4441</v>
      </c>
      <c r="K298" s="221"/>
      <c r="L298" s="221"/>
      <c r="M298" s="28" t="s">
        <v>604</v>
      </c>
      <c r="N298" s="19" t="s">
        <v>4442</v>
      </c>
      <c r="O298" s="6" t="s">
        <v>604</v>
      </c>
      <c r="P298" s="221" t="s">
        <v>3774</v>
      </c>
      <c r="Q298" s="182" t="n">
        <f aca="false">Workload!D14</f>
        <v>1</v>
      </c>
      <c r="R298" s="28" t="s">
        <v>604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3719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4445</v>
      </c>
      <c r="B299" s="221" t="s">
        <v>3713</v>
      </c>
      <c r="C299" s="28" t="s">
        <v>4373</v>
      </c>
      <c r="D299" s="28" t="s">
        <v>3593</v>
      </c>
      <c r="E299" s="6" t="s">
        <v>388</v>
      </c>
      <c r="F299" s="28" t="s">
        <v>82</v>
      </c>
      <c r="G299" s="221" t="s">
        <v>3715</v>
      </c>
      <c r="H299" s="28" t="s">
        <v>604</v>
      </c>
      <c r="I299" s="6" t="s">
        <v>604</v>
      </c>
      <c r="J299" s="28" t="s">
        <v>4437</v>
      </c>
      <c r="K299" s="221"/>
      <c r="L299" s="221"/>
      <c r="M299" s="28" t="s">
        <v>604</v>
      </c>
      <c r="N299" s="6" t="s">
        <v>4438</v>
      </c>
      <c r="O299" s="6" t="s">
        <v>604</v>
      </c>
      <c r="P299" s="221" t="s">
        <v>1134</v>
      </c>
      <c r="Q299" s="182" t="n">
        <f aca="false">Workload!E13</f>
        <v>1</v>
      </c>
      <c r="R299" s="28" t="s">
        <v>604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3719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4446</v>
      </c>
      <c r="B300" s="221" t="s">
        <v>3713</v>
      </c>
      <c r="C300" s="28" t="s">
        <v>4373</v>
      </c>
      <c r="D300" s="28" t="s">
        <v>3754</v>
      </c>
      <c r="E300" s="19" t="s">
        <v>4440</v>
      </c>
      <c r="F300" s="28" t="s">
        <v>82</v>
      </c>
      <c r="G300" s="221" t="s">
        <v>3715</v>
      </c>
      <c r="H300" s="28" t="s">
        <v>604</v>
      </c>
      <c r="I300" s="6" t="s">
        <v>604</v>
      </c>
      <c r="J300" s="28" t="s">
        <v>4441</v>
      </c>
      <c r="K300" s="221"/>
      <c r="L300" s="221"/>
      <c r="M300" s="28" t="s">
        <v>604</v>
      </c>
      <c r="N300" s="19" t="s">
        <v>4442</v>
      </c>
      <c r="O300" s="6" t="s">
        <v>604</v>
      </c>
      <c r="P300" s="221" t="s">
        <v>3774</v>
      </c>
      <c r="Q300" s="182" t="n">
        <f aca="false">Workload!E14</f>
        <v>1</v>
      </c>
      <c r="R300" s="28" t="s">
        <v>604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3719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4447</v>
      </c>
      <c r="B301" s="221" t="s">
        <v>3713</v>
      </c>
      <c r="C301" s="28" t="s">
        <v>4373</v>
      </c>
      <c r="D301" s="28" t="s">
        <v>3748</v>
      </c>
      <c r="E301" s="6" t="s">
        <v>388</v>
      </c>
      <c r="F301" s="28" t="s">
        <v>82</v>
      </c>
      <c r="G301" s="221" t="s">
        <v>3715</v>
      </c>
      <c r="H301" s="28" t="s">
        <v>604</v>
      </c>
      <c r="I301" s="6" t="s">
        <v>604</v>
      </c>
      <c r="J301" s="28" t="s">
        <v>4437</v>
      </c>
      <c r="K301" s="221"/>
      <c r="L301" s="221"/>
      <c r="M301" s="28" t="s">
        <v>604</v>
      </c>
      <c r="N301" s="6" t="s">
        <v>4438</v>
      </c>
      <c r="O301" s="6" t="s">
        <v>604</v>
      </c>
      <c r="P301" s="221" t="s">
        <v>1134</v>
      </c>
      <c r="Q301" s="182" t="n">
        <f aca="false">Workload!F13</f>
        <v>1</v>
      </c>
      <c r="R301" s="28" t="s">
        <v>604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3719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4448</v>
      </c>
      <c r="B302" s="221" t="s">
        <v>3713</v>
      </c>
      <c r="C302" s="28" t="s">
        <v>4373</v>
      </c>
      <c r="D302" s="28" t="s">
        <v>3758</v>
      </c>
      <c r="E302" s="19" t="s">
        <v>4440</v>
      </c>
      <c r="F302" s="28" t="s">
        <v>82</v>
      </c>
      <c r="G302" s="221" t="s">
        <v>3715</v>
      </c>
      <c r="H302" s="28" t="s">
        <v>604</v>
      </c>
      <c r="I302" s="6" t="s">
        <v>604</v>
      </c>
      <c r="J302" s="28" t="s">
        <v>4441</v>
      </c>
      <c r="K302" s="221"/>
      <c r="L302" s="221"/>
      <c r="M302" s="28" t="s">
        <v>604</v>
      </c>
      <c r="N302" s="19" t="s">
        <v>4442</v>
      </c>
      <c r="O302" s="6" t="s">
        <v>604</v>
      </c>
      <c r="P302" s="221" t="s">
        <v>3774</v>
      </c>
      <c r="Q302" s="182" t="n">
        <f aca="false">Workload!F14</f>
        <v>1</v>
      </c>
      <c r="R302" s="28" t="s">
        <v>604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3719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4449</v>
      </c>
      <c r="B303" s="221" t="s">
        <v>3713</v>
      </c>
      <c r="C303" s="28" t="s">
        <v>4373</v>
      </c>
      <c r="D303" s="28" t="s">
        <v>3989</v>
      </c>
      <c r="E303" s="6" t="s">
        <v>388</v>
      </c>
      <c r="F303" s="28" t="s">
        <v>82</v>
      </c>
      <c r="G303" s="221" t="s">
        <v>3715</v>
      </c>
      <c r="H303" s="28" t="s">
        <v>604</v>
      </c>
      <c r="I303" s="6" t="s">
        <v>604</v>
      </c>
      <c r="J303" s="28" t="s">
        <v>4437</v>
      </c>
      <c r="K303" s="221"/>
      <c r="L303" s="221"/>
      <c r="M303" s="28" t="s">
        <v>604</v>
      </c>
      <c r="N303" s="6" t="s">
        <v>4438</v>
      </c>
      <c r="O303" s="6" t="s">
        <v>604</v>
      </c>
      <c r="P303" s="221" t="s">
        <v>1134</v>
      </c>
      <c r="Q303" s="182" t="n">
        <f aca="false">Workload!G13</f>
        <v>1</v>
      </c>
      <c r="R303" s="28" t="s">
        <v>604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3719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4450</v>
      </c>
      <c r="B304" s="221" t="s">
        <v>3713</v>
      </c>
      <c r="C304" s="28" t="s">
        <v>4373</v>
      </c>
      <c r="D304" s="28" t="s">
        <v>4451</v>
      </c>
      <c r="E304" s="19" t="s">
        <v>4440</v>
      </c>
      <c r="F304" s="28" t="s">
        <v>82</v>
      </c>
      <c r="G304" s="221" t="s">
        <v>3715</v>
      </c>
      <c r="H304" s="28" t="s">
        <v>604</v>
      </c>
      <c r="I304" s="6" t="s">
        <v>604</v>
      </c>
      <c r="J304" s="28" t="s">
        <v>4441</v>
      </c>
      <c r="K304" s="221"/>
      <c r="L304" s="221"/>
      <c r="M304" s="28" t="s">
        <v>604</v>
      </c>
      <c r="N304" s="19" t="s">
        <v>4442</v>
      </c>
      <c r="O304" s="6" t="s">
        <v>604</v>
      </c>
      <c r="P304" s="221" t="s">
        <v>3774</v>
      </c>
      <c r="Q304" s="182" t="n">
        <f aca="false">Workload!G14</f>
        <v>1</v>
      </c>
      <c r="R304" s="28" t="s">
        <v>604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3719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4452</v>
      </c>
      <c r="B305" s="221" t="s">
        <v>4453</v>
      </c>
      <c r="C305" s="28" t="s">
        <v>4373</v>
      </c>
      <c r="D305" s="28" t="s">
        <v>4171</v>
      </c>
      <c r="E305" s="19" t="s">
        <v>4454</v>
      </c>
      <c r="F305" s="195" t="s">
        <v>90</v>
      </c>
      <c r="G305" s="221" t="s">
        <v>3715</v>
      </c>
      <c r="H305" s="28" t="s">
        <v>604</v>
      </c>
      <c r="I305" s="225" t="s">
        <v>604</v>
      </c>
      <c r="J305" s="28" t="s">
        <v>604</v>
      </c>
      <c r="K305" s="221"/>
      <c r="L305" s="221"/>
      <c r="M305" s="221" t="s">
        <v>3618</v>
      </c>
      <c r="N305" s="19" t="s">
        <v>4455</v>
      </c>
      <c r="O305" s="6" t="s">
        <v>604</v>
      </c>
      <c r="P305" s="221" t="s">
        <v>3718</v>
      </c>
      <c r="Q305" s="31" t="n">
        <f aca="false">Workload!C40</f>
        <v>1</v>
      </c>
      <c r="R305" s="28" t="s">
        <v>604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3719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4456</v>
      </c>
      <c r="B306" s="221" t="s">
        <v>4453</v>
      </c>
      <c r="C306" s="28" t="s">
        <v>4373</v>
      </c>
      <c r="D306" s="28" t="s">
        <v>4176</v>
      </c>
      <c r="E306" s="19" t="s">
        <v>4454</v>
      </c>
      <c r="F306" s="221" t="s">
        <v>315</v>
      </c>
      <c r="G306" s="221" t="s">
        <v>3715</v>
      </c>
      <c r="H306" s="28" t="s">
        <v>4457</v>
      </c>
      <c r="I306" s="19" t="s">
        <v>3750</v>
      </c>
      <c r="J306" s="28" t="s">
        <v>604</v>
      </c>
      <c r="K306" s="221"/>
      <c r="L306" s="221"/>
      <c r="M306" s="28" t="s">
        <v>604</v>
      </c>
      <c r="N306" s="19" t="s">
        <v>4458</v>
      </c>
      <c r="O306" s="6" t="s">
        <v>604</v>
      </c>
      <c r="P306" s="221" t="s">
        <v>3718</v>
      </c>
      <c r="Q306" s="31" t="n">
        <f aca="false">Workload!E40</f>
        <v>4</v>
      </c>
      <c r="R306" s="174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3752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4459</v>
      </c>
      <c r="B307" s="221" t="s">
        <v>4453</v>
      </c>
      <c r="C307" s="28" t="s">
        <v>4373</v>
      </c>
      <c r="D307" s="28" t="s">
        <v>4178</v>
      </c>
      <c r="E307" s="19" t="s">
        <v>4454</v>
      </c>
      <c r="F307" s="221" t="s">
        <v>315</v>
      </c>
      <c r="G307" s="221" t="s">
        <v>3715</v>
      </c>
      <c r="H307" s="28" t="s">
        <v>4460</v>
      </c>
      <c r="I307" s="19" t="s">
        <v>3750</v>
      </c>
      <c r="J307" s="28" t="s">
        <v>604</v>
      </c>
      <c r="K307" s="221"/>
      <c r="L307" s="221"/>
      <c r="M307" s="28" t="s">
        <v>604</v>
      </c>
      <c r="N307" s="19" t="s">
        <v>4458</v>
      </c>
      <c r="O307" s="6" t="s">
        <v>604</v>
      </c>
      <c r="P307" s="221" t="s">
        <v>3718</v>
      </c>
      <c r="Q307" s="31" t="n">
        <f aca="false">Workload!F40</f>
        <v>15</v>
      </c>
      <c r="R307" s="174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3752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4461</v>
      </c>
      <c r="B308" s="221" t="s">
        <v>3713</v>
      </c>
      <c r="C308" s="28" t="s">
        <v>4462</v>
      </c>
      <c r="D308" s="28" t="s">
        <v>4374</v>
      </c>
      <c r="E308" s="6" t="s">
        <v>428</v>
      </c>
      <c r="F308" s="28" t="s">
        <v>94</v>
      </c>
      <c r="G308" s="221" t="s">
        <v>3715</v>
      </c>
      <c r="H308" s="28" t="s">
        <v>4463</v>
      </c>
      <c r="I308" s="19" t="s">
        <v>4464</v>
      </c>
      <c r="J308" s="28" t="s">
        <v>604</v>
      </c>
      <c r="K308" s="223" t="n">
        <v>0.15</v>
      </c>
      <c r="L308" s="223" t="n">
        <v>0.45</v>
      </c>
      <c r="M308" s="28" t="s">
        <v>4465</v>
      </c>
      <c r="N308" s="22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604</v>
      </c>
      <c r="P308" s="221" t="s">
        <v>1134</v>
      </c>
      <c r="Q308" s="184" t="n">
        <f aca="false">Calib!C5</f>
        <v>0.3</v>
      </c>
      <c r="R308" s="174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3719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4466</v>
      </c>
      <c r="B309" s="221" t="s">
        <v>3713</v>
      </c>
      <c r="C309" s="28" t="s">
        <v>4462</v>
      </c>
      <c r="D309" s="28" t="s">
        <v>4467</v>
      </c>
      <c r="E309" s="19" t="s">
        <v>436</v>
      </c>
      <c r="F309" s="221" t="s">
        <v>4468</v>
      </c>
      <c r="G309" s="221" t="s">
        <v>4469</v>
      </c>
      <c r="H309" s="28" t="s">
        <v>604</v>
      </c>
      <c r="I309" s="6" t="s">
        <v>604</v>
      </c>
      <c r="J309" s="28" t="s">
        <v>604</v>
      </c>
      <c r="K309" s="221"/>
      <c r="L309" s="221"/>
      <c r="M309" s="28" t="s">
        <v>604</v>
      </c>
      <c r="N309" s="19" t="s">
        <v>4470</v>
      </c>
      <c r="O309" s="6" t="s">
        <v>604</v>
      </c>
      <c r="P309" s="28" t="s">
        <v>604</v>
      </c>
      <c r="Q309" s="174" t="s">
        <v>604</v>
      </c>
      <c r="R309" s="28" t="s">
        <v>604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604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4471</v>
      </c>
      <c r="B310" s="221" t="s">
        <v>3713</v>
      </c>
      <c r="C310" s="28" t="s">
        <v>4462</v>
      </c>
      <c r="D310" s="28" t="s">
        <v>3977</v>
      </c>
      <c r="E310" s="6" t="s">
        <v>442</v>
      </c>
      <c r="F310" s="221" t="s">
        <v>315</v>
      </c>
      <c r="G310" s="221" t="s">
        <v>3715</v>
      </c>
      <c r="H310" s="28" t="s">
        <v>4472</v>
      </c>
      <c r="I310" s="19" t="s">
        <v>3750</v>
      </c>
      <c r="J310" s="28" t="s">
        <v>604</v>
      </c>
      <c r="K310" s="221"/>
      <c r="L310" s="221"/>
      <c r="M310" s="28" t="s">
        <v>604</v>
      </c>
      <c r="N310" s="19" t="s">
        <v>3853</v>
      </c>
      <c r="O310" s="6" t="s">
        <v>604</v>
      </c>
      <c r="P310" s="221" t="s">
        <v>3718</v>
      </c>
      <c r="Q310" s="31" t="n">
        <f aca="false">Calib!C13</f>
        <v>1</v>
      </c>
      <c r="R310" s="174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3752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4473</v>
      </c>
      <c r="B311" s="221" t="s">
        <v>3713</v>
      </c>
      <c r="C311" s="28" t="s">
        <v>4462</v>
      </c>
      <c r="D311" s="28" t="s">
        <v>4226</v>
      </c>
      <c r="E311" s="19" t="s">
        <v>443</v>
      </c>
      <c r="F311" s="221" t="s">
        <v>315</v>
      </c>
      <c r="G311" s="221" t="s">
        <v>3715</v>
      </c>
      <c r="H311" s="28" t="s">
        <v>4472</v>
      </c>
      <c r="I311" s="19" t="s">
        <v>3750</v>
      </c>
      <c r="J311" s="28" t="s">
        <v>604</v>
      </c>
      <c r="K311" s="221"/>
      <c r="L311" s="221"/>
      <c r="M311" s="28" t="s">
        <v>604</v>
      </c>
      <c r="N311" s="19" t="s">
        <v>3853</v>
      </c>
      <c r="O311" s="6" t="s">
        <v>604</v>
      </c>
      <c r="P311" s="221" t="s">
        <v>1134</v>
      </c>
      <c r="Q311" s="46" t="n">
        <f aca="false">Calib!C14</f>
        <v>72</v>
      </c>
      <c r="R311" s="174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3752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4474</v>
      </c>
      <c r="B312" s="221" t="s">
        <v>3713</v>
      </c>
      <c r="C312" s="28" t="s">
        <v>4462</v>
      </c>
      <c r="D312" s="28" t="s">
        <v>4230</v>
      </c>
      <c r="E312" s="6" t="s">
        <v>444</v>
      </c>
      <c r="F312" s="221" t="s">
        <v>315</v>
      </c>
      <c r="G312" s="221" t="s">
        <v>3715</v>
      </c>
      <c r="H312" s="28" t="s">
        <v>4472</v>
      </c>
      <c r="I312" s="19" t="s">
        <v>3750</v>
      </c>
      <c r="J312" s="28" t="s">
        <v>604</v>
      </c>
      <c r="K312" s="221"/>
      <c r="L312" s="221"/>
      <c r="M312" s="28" t="s">
        <v>604</v>
      </c>
      <c r="N312" s="19" t="s">
        <v>3853</v>
      </c>
      <c r="O312" s="6" t="s">
        <v>604</v>
      </c>
      <c r="P312" s="221" t="s">
        <v>1134</v>
      </c>
      <c r="Q312" s="46" t="n">
        <f aca="false">Calib!C15</f>
        <v>8192</v>
      </c>
      <c r="R312" s="174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3752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4475</v>
      </c>
      <c r="B313" s="221" t="s">
        <v>3713</v>
      </c>
      <c r="C313" s="28" t="s">
        <v>4462</v>
      </c>
      <c r="D313" s="28" t="s">
        <v>4235</v>
      </c>
      <c r="E313" s="6" t="s">
        <v>445</v>
      </c>
      <c r="F313" s="221" t="s">
        <v>315</v>
      </c>
      <c r="G313" s="221" t="s">
        <v>3715</v>
      </c>
      <c r="H313" s="28" t="s">
        <v>4472</v>
      </c>
      <c r="I313" s="19" t="s">
        <v>3750</v>
      </c>
      <c r="J313" s="28" t="s">
        <v>604</v>
      </c>
      <c r="K313" s="221"/>
      <c r="L313" s="221"/>
      <c r="M313" s="28" t="s">
        <v>604</v>
      </c>
      <c r="N313" s="19" t="s">
        <v>3853</v>
      </c>
      <c r="O313" s="6" t="s">
        <v>604</v>
      </c>
      <c r="P313" s="221" t="s">
        <v>1134</v>
      </c>
      <c r="Q313" s="46" t="n">
        <f aca="false">Calib!C16</f>
        <v>1024</v>
      </c>
      <c r="R313" s="174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3752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4476</v>
      </c>
      <c r="B314" s="221" t="s">
        <v>3713</v>
      </c>
      <c r="C314" s="28" t="s">
        <v>4462</v>
      </c>
      <c r="D314" s="28" t="s">
        <v>4257</v>
      </c>
      <c r="E314" s="19" t="s">
        <v>4477</v>
      </c>
      <c r="F314" s="221" t="s">
        <v>315</v>
      </c>
      <c r="G314" s="221" t="s">
        <v>3715</v>
      </c>
      <c r="H314" s="28" t="s">
        <v>4472</v>
      </c>
      <c r="I314" s="19" t="s">
        <v>4478</v>
      </c>
      <c r="J314" s="28" t="s">
        <v>604</v>
      </c>
      <c r="K314" s="221"/>
      <c r="L314" s="221"/>
      <c r="M314" s="28" t="s">
        <v>604</v>
      </c>
      <c r="N314" s="19" t="s">
        <v>3853</v>
      </c>
      <c r="O314" s="6" t="s">
        <v>4479</v>
      </c>
      <c r="P314" s="221" t="s">
        <v>1134</v>
      </c>
      <c r="Q314" s="46" t="n">
        <f aca="false">Calib!C17</f>
        <v>9342.1</v>
      </c>
      <c r="R314" s="174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3752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4480</v>
      </c>
      <c r="B315" s="221" t="s">
        <v>3713</v>
      </c>
      <c r="C315" s="28" t="s">
        <v>4462</v>
      </c>
      <c r="D315" s="28" t="s">
        <v>3746</v>
      </c>
      <c r="E315" s="6" t="s">
        <v>442</v>
      </c>
      <c r="F315" s="221" t="s">
        <v>315</v>
      </c>
      <c r="G315" s="221" t="s">
        <v>3715</v>
      </c>
      <c r="H315" s="28" t="s">
        <v>4481</v>
      </c>
      <c r="I315" s="19" t="s">
        <v>3750</v>
      </c>
      <c r="J315" s="28" t="s">
        <v>604</v>
      </c>
      <c r="K315" s="221"/>
      <c r="L315" s="221"/>
      <c r="M315" s="28" t="s">
        <v>604</v>
      </c>
      <c r="N315" s="19" t="s">
        <v>3853</v>
      </c>
      <c r="O315" s="6" t="s">
        <v>604</v>
      </c>
      <c r="P315" s="221" t="s">
        <v>3718</v>
      </c>
      <c r="Q315" s="31" t="n">
        <f aca="false">Calib!D13</f>
        <v>1</v>
      </c>
      <c r="R315" s="174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3752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4482</v>
      </c>
      <c r="B316" s="221" t="s">
        <v>3713</v>
      </c>
      <c r="C316" s="28" t="s">
        <v>4462</v>
      </c>
      <c r="D316" s="28" t="s">
        <v>3756</v>
      </c>
      <c r="E316" s="19" t="s">
        <v>443</v>
      </c>
      <c r="F316" s="221" t="s">
        <v>315</v>
      </c>
      <c r="G316" s="221" t="s">
        <v>3715</v>
      </c>
      <c r="H316" s="28" t="s">
        <v>4481</v>
      </c>
      <c r="I316" s="19" t="s">
        <v>3750</v>
      </c>
      <c r="J316" s="28" t="s">
        <v>604</v>
      </c>
      <c r="K316" s="221"/>
      <c r="L316" s="221"/>
      <c r="M316" s="28" t="s">
        <v>604</v>
      </c>
      <c r="N316" s="19" t="s">
        <v>3853</v>
      </c>
      <c r="O316" s="6" t="s">
        <v>604</v>
      </c>
      <c r="P316" s="221" t="s">
        <v>1134</v>
      </c>
      <c r="Q316" s="46" t="n">
        <f aca="false">Calib!D14</f>
        <v>130</v>
      </c>
      <c r="R316" s="174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3752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4483</v>
      </c>
      <c r="B317" s="221" t="s">
        <v>3713</v>
      </c>
      <c r="C317" s="28" t="s">
        <v>4462</v>
      </c>
      <c r="D317" s="28" t="s">
        <v>4233</v>
      </c>
      <c r="E317" s="6" t="s">
        <v>444</v>
      </c>
      <c r="F317" s="221" t="s">
        <v>315</v>
      </c>
      <c r="G317" s="221" t="s">
        <v>3715</v>
      </c>
      <c r="H317" s="28" t="s">
        <v>4481</v>
      </c>
      <c r="I317" s="19" t="s">
        <v>3750</v>
      </c>
      <c r="J317" s="28" t="s">
        <v>604</v>
      </c>
      <c r="K317" s="221"/>
      <c r="L317" s="221"/>
      <c r="M317" s="28" t="s">
        <v>604</v>
      </c>
      <c r="N317" s="19" t="s">
        <v>3853</v>
      </c>
      <c r="O317" s="6" t="s">
        <v>604</v>
      </c>
      <c r="P317" s="221" t="s">
        <v>1134</v>
      </c>
      <c r="Q317" s="46" t="n">
        <f aca="false">Calib!D15</f>
        <v>8192</v>
      </c>
      <c r="R317" s="174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3752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4484</v>
      </c>
      <c r="B318" s="221" t="s">
        <v>3713</v>
      </c>
      <c r="C318" s="28" t="s">
        <v>4462</v>
      </c>
      <c r="D318" s="28" t="s">
        <v>3762</v>
      </c>
      <c r="E318" s="6" t="s">
        <v>445</v>
      </c>
      <c r="F318" s="221" t="s">
        <v>315</v>
      </c>
      <c r="G318" s="221" t="s">
        <v>3715</v>
      </c>
      <c r="H318" s="28" t="s">
        <v>4481</v>
      </c>
      <c r="I318" s="19" t="s">
        <v>3750</v>
      </c>
      <c r="J318" s="28" t="s">
        <v>604</v>
      </c>
      <c r="K318" s="221"/>
      <c r="L318" s="221"/>
      <c r="M318" s="28" t="s">
        <v>604</v>
      </c>
      <c r="N318" s="19" t="s">
        <v>3853</v>
      </c>
      <c r="O318" s="6" t="s">
        <v>604</v>
      </c>
      <c r="P318" s="221" t="s">
        <v>1134</v>
      </c>
      <c r="Q318" s="46" t="n">
        <f aca="false">Calib!D16</f>
        <v>1024</v>
      </c>
      <c r="R318" s="174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3752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4485</v>
      </c>
      <c r="B319" s="221" t="s">
        <v>3713</v>
      </c>
      <c r="C319" s="28" t="s">
        <v>4462</v>
      </c>
      <c r="D319" s="28" t="s">
        <v>3768</v>
      </c>
      <c r="E319" s="19" t="s">
        <v>4477</v>
      </c>
      <c r="F319" s="221" t="s">
        <v>315</v>
      </c>
      <c r="G319" s="221" t="s">
        <v>3715</v>
      </c>
      <c r="H319" s="28" t="s">
        <v>4481</v>
      </c>
      <c r="I319" s="19" t="s">
        <v>4486</v>
      </c>
      <c r="J319" s="28" t="s">
        <v>604</v>
      </c>
      <c r="K319" s="221"/>
      <c r="L319" s="221"/>
      <c r="M319" s="28" t="s">
        <v>604</v>
      </c>
      <c r="N319" s="19" t="s">
        <v>3853</v>
      </c>
      <c r="O319" s="6" t="s">
        <v>4487</v>
      </c>
      <c r="P319" s="221" t="s">
        <v>1134</v>
      </c>
      <c r="Q319" s="46" t="n">
        <f aca="false">Calib!D17</f>
        <v>3405.2</v>
      </c>
      <c r="R319" s="174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3752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4488</v>
      </c>
      <c r="B320" s="221" t="s">
        <v>3713</v>
      </c>
      <c r="C320" s="28" t="s">
        <v>4462</v>
      </c>
      <c r="D320" s="28" t="s">
        <v>3593</v>
      </c>
      <c r="E320" s="6" t="s">
        <v>442</v>
      </c>
      <c r="F320" s="221" t="s">
        <v>315</v>
      </c>
      <c r="G320" s="221" t="s">
        <v>3715</v>
      </c>
      <c r="H320" s="28" t="s">
        <v>4489</v>
      </c>
      <c r="I320" s="19" t="s">
        <v>3750</v>
      </c>
      <c r="J320" s="28" t="s">
        <v>604</v>
      </c>
      <c r="K320" s="221"/>
      <c r="L320" s="221"/>
      <c r="M320" s="28" t="s">
        <v>604</v>
      </c>
      <c r="N320" s="19" t="s">
        <v>3853</v>
      </c>
      <c r="O320" s="6" t="s">
        <v>604</v>
      </c>
      <c r="P320" s="221" t="s">
        <v>3718</v>
      </c>
      <c r="Q320" s="31" t="n">
        <f aca="false">Calib!E13</f>
        <v>1</v>
      </c>
      <c r="R320" s="174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3752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4490</v>
      </c>
      <c r="B321" s="221" t="s">
        <v>3713</v>
      </c>
      <c r="C321" s="28" t="s">
        <v>4462</v>
      </c>
      <c r="D321" s="28" t="s">
        <v>3754</v>
      </c>
      <c r="E321" s="19" t="s">
        <v>443</v>
      </c>
      <c r="F321" s="221" t="s">
        <v>315</v>
      </c>
      <c r="G321" s="221" t="s">
        <v>3715</v>
      </c>
      <c r="H321" s="28" t="s">
        <v>4489</v>
      </c>
      <c r="I321" s="19" t="s">
        <v>3750</v>
      </c>
      <c r="J321" s="28" t="s">
        <v>604</v>
      </c>
      <c r="K321" s="221"/>
      <c r="L321" s="221"/>
      <c r="M321" s="28" t="s">
        <v>604</v>
      </c>
      <c r="N321" s="19" t="s">
        <v>3853</v>
      </c>
      <c r="O321" s="6" t="s">
        <v>604</v>
      </c>
      <c r="P321" s="221" t="s">
        <v>1134</v>
      </c>
      <c r="Q321" s="46" t="n">
        <f aca="false">Calib!E14</f>
        <v>50</v>
      </c>
      <c r="R321" s="174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3752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4491</v>
      </c>
      <c r="B322" s="221" t="s">
        <v>3713</v>
      </c>
      <c r="C322" s="28" t="s">
        <v>4462</v>
      </c>
      <c r="D322" s="28" t="s">
        <v>4281</v>
      </c>
      <c r="E322" s="6" t="s">
        <v>444</v>
      </c>
      <c r="F322" s="221" t="s">
        <v>315</v>
      </c>
      <c r="G322" s="221" t="s">
        <v>3715</v>
      </c>
      <c r="H322" s="28" t="s">
        <v>4489</v>
      </c>
      <c r="I322" s="19" t="s">
        <v>3750</v>
      </c>
      <c r="J322" s="28" t="s">
        <v>604</v>
      </c>
      <c r="K322" s="221"/>
      <c r="L322" s="221"/>
      <c r="M322" s="28" t="s">
        <v>604</v>
      </c>
      <c r="N322" s="19" t="s">
        <v>3853</v>
      </c>
      <c r="O322" s="6" t="s">
        <v>604</v>
      </c>
      <c r="P322" s="221" t="s">
        <v>1134</v>
      </c>
      <c r="Q322" s="46" t="n">
        <f aca="false">Calib!E15</f>
        <v>8192</v>
      </c>
      <c r="R322" s="174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3752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4492</v>
      </c>
      <c r="B323" s="221" t="s">
        <v>3713</v>
      </c>
      <c r="C323" s="28" t="s">
        <v>4462</v>
      </c>
      <c r="D323" s="28" t="s">
        <v>3760</v>
      </c>
      <c r="E323" s="6" t="s">
        <v>445</v>
      </c>
      <c r="F323" s="221" t="s">
        <v>315</v>
      </c>
      <c r="G323" s="221" t="s">
        <v>3715</v>
      </c>
      <c r="H323" s="28" t="s">
        <v>4489</v>
      </c>
      <c r="I323" s="19" t="s">
        <v>3750</v>
      </c>
      <c r="J323" s="28" t="s">
        <v>604</v>
      </c>
      <c r="K323" s="221"/>
      <c r="L323" s="221"/>
      <c r="M323" s="28" t="s">
        <v>604</v>
      </c>
      <c r="N323" s="19" t="s">
        <v>3853</v>
      </c>
      <c r="O323" s="6" t="s">
        <v>604</v>
      </c>
      <c r="P323" s="221" t="s">
        <v>1134</v>
      </c>
      <c r="Q323" s="46" t="n">
        <f aca="false">Calib!E16</f>
        <v>1024</v>
      </c>
      <c r="R323" s="174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3752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4493</v>
      </c>
      <c r="B324" s="221" t="s">
        <v>3713</v>
      </c>
      <c r="C324" s="28" t="s">
        <v>4462</v>
      </c>
      <c r="D324" s="28" t="s">
        <v>3766</v>
      </c>
      <c r="E324" s="19" t="s">
        <v>4477</v>
      </c>
      <c r="F324" s="221" t="s">
        <v>315</v>
      </c>
      <c r="G324" s="221" t="s">
        <v>3715</v>
      </c>
      <c r="H324" s="28" t="s">
        <v>4489</v>
      </c>
      <c r="I324" s="19" t="s">
        <v>3750</v>
      </c>
      <c r="J324" s="28" t="s">
        <v>604</v>
      </c>
      <c r="K324" s="221"/>
      <c r="L324" s="221"/>
      <c r="M324" s="28" t="s">
        <v>604</v>
      </c>
      <c r="N324" s="19" t="s">
        <v>3853</v>
      </c>
      <c r="O324" s="6" t="s">
        <v>604</v>
      </c>
      <c r="P324" s="221" t="s">
        <v>1134</v>
      </c>
      <c r="Q324" s="46" t="n">
        <f aca="false">Calib!E17</f>
        <v>11200</v>
      </c>
      <c r="R324" s="174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3752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4494</v>
      </c>
      <c r="B325" s="221" t="s">
        <v>3713</v>
      </c>
      <c r="C325" s="28" t="s">
        <v>4462</v>
      </c>
      <c r="D325" s="28" t="s">
        <v>3748</v>
      </c>
      <c r="E325" s="6" t="s">
        <v>442</v>
      </c>
      <c r="F325" s="221" t="s">
        <v>315</v>
      </c>
      <c r="G325" s="221" t="s">
        <v>3715</v>
      </c>
      <c r="H325" s="28" t="s">
        <v>4495</v>
      </c>
      <c r="I325" s="19" t="s">
        <v>3750</v>
      </c>
      <c r="J325" s="28" t="s">
        <v>604</v>
      </c>
      <c r="K325" s="221"/>
      <c r="L325" s="221"/>
      <c r="M325" s="28" t="s">
        <v>604</v>
      </c>
      <c r="N325" s="19" t="s">
        <v>3853</v>
      </c>
      <c r="O325" s="6" t="s">
        <v>604</v>
      </c>
      <c r="P325" s="221" t="s">
        <v>3718</v>
      </c>
      <c r="Q325" s="31" t="n">
        <f aca="false">Calib!F13</f>
        <v>0</v>
      </c>
      <c r="R325" s="174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3752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4496</v>
      </c>
      <c r="B326" s="221" t="s">
        <v>3713</v>
      </c>
      <c r="C326" s="28" t="s">
        <v>4462</v>
      </c>
      <c r="D326" s="28" t="s">
        <v>3758</v>
      </c>
      <c r="E326" s="19" t="s">
        <v>443</v>
      </c>
      <c r="F326" s="221" t="s">
        <v>315</v>
      </c>
      <c r="G326" s="221" t="s">
        <v>3715</v>
      </c>
      <c r="H326" s="28" t="s">
        <v>4495</v>
      </c>
      <c r="I326" s="19" t="s">
        <v>3750</v>
      </c>
      <c r="J326" s="28" t="s">
        <v>604</v>
      </c>
      <c r="K326" s="221"/>
      <c r="L326" s="221"/>
      <c r="M326" s="28" t="s">
        <v>604</v>
      </c>
      <c r="N326" s="19" t="s">
        <v>3853</v>
      </c>
      <c r="O326" s="6" t="s">
        <v>604</v>
      </c>
      <c r="P326" s="221" t="s">
        <v>1134</v>
      </c>
      <c r="Q326" s="46" t="n">
        <f aca="false">Calib!F14</f>
        <v>27</v>
      </c>
      <c r="R326" s="174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3752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4497</v>
      </c>
      <c r="B327" s="221" t="s">
        <v>3713</v>
      </c>
      <c r="C327" s="28" t="s">
        <v>4462</v>
      </c>
      <c r="D327" s="28" t="s">
        <v>4498</v>
      </c>
      <c r="E327" s="6" t="s">
        <v>444</v>
      </c>
      <c r="F327" s="221" t="s">
        <v>315</v>
      </c>
      <c r="G327" s="221" t="s">
        <v>3715</v>
      </c>
      <c r="H327" s="28" t="s">
        <v>4495</v>
      </c>
      <c r="I327" s="19" t="s">
        <v>3750</v>
      </c>
      <c r="J327" s="28" t="s">
        <v>604</v>
      </c>
      <c r="K327" s="221"/>
      <c r="L327" s="221"/>
      <c r="M327" s="28" t="s">
        <v>604</v>
      </c>
      <c r="N327" s="19" t="s">
        <v>3853</v>
      </c>
      <c r="O327" s="6" t="s">
        <v>604</v>
      </c>
      <c r="P327" s="221" t="s">
        <v>1134</v>
      </c>
      <c r="Q327" s="46" t="n">
        <f aca="false">Calib!F15</f>
        <v>8192</v>
      </c>
      <c r="R327" s="174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3752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4499</v>
      </c>
      <c r="B328" s="221" t="s">
        <v>3713</v>
      </c>
      <c r="C328" s="28" t="s">
        <v>4462</v>
      </c>
      <c r="D328" s="28" t="s">
        <v>3764</v>
      </c>
      <c r="E328" s="6" t="s">
        <v>445</v>
      </c>
      <c r="F328" s="221" t="s">
        <v>315</v>
      </c>
      <c r="G328" s="221" t="s">
        <v>3715</v>
      </c>
      <c r="H328" s="28" t="s">
        <v>4495</v>
      </c>
      <c r="I328" s="19" t="s">
        <v>3750</v>
      </c>
      <c r="J328" s="28" t="s">
        <v>604</v>
      </c>
      <c r="K328" s="221"/>
      <c r="L328" s="221"/>
      <c r="M328" s="28" t="s">
        <v>604</v>
      </c>
      <c r="N328" s="19" t="s">
        <v>3853</v>
      </c>
      <c r="O328" s="6" t="s">
        <v>604</v>
      </c>
      <c r="P328" s="221" t="s">
        <v>1134</v>
      </c>
      <c r="Q328" s="46" t="n">
        <f aca="false">Calib!F16</f>
        <v>1024</v>
      </c>
      <c r="R328" s="174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3752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4500</v>
      </c>
      <c r="B329" s="221" t="s">
        <v>3713</v>
      </c>
      <c r="C329" s="28" t="s">
        <v>4462</v>
      </c>
      <c r="D329" s="28" t="s">
        <v>3770</v>
      </c>
      <c r="E329" s="19" t="s">
        <v>4477</v>
      </c>
      <c r="F329" s="221" t="s">
        <v>315</v>
      </c>
      <c r="G329" s="221" t="s">
        <v>3715</v>
      </c>
      <c r="H329" s="28" t="s">
        <v>4495</v>
      </c>
      <c r="I329" s="19" t="s">
        <v>3750</v>
      </c>
      <c r="J329" s="28" t="s">
        <v>604</v>
      </c>
      <c r="K329" s="221"/>
      <c r="L329" s="221"/>
      <c r="M329" s="28" t="s">
        <v>604</v>
      </c>
      <c r="N329" s="19" t="s">
        <v>3853</v>
      </c>
      <c r="O329" s="6" t="s">
        <v>604</v>
      </c>
      <c r="P329" s="221" t="s">
        <v>1134</v>
      </c>
      <c r="Q329" s="46" t="n">
        <f aca="false">Calib!F17</f>
        <v>6182</v>
      </c>
      <c r="R329" s="174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3752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4501</v>
      </c>
      <c r="B330" s="221" t="s">
        <v>3713</v>
      </c>
      <c r="C330" s="28" t="s">
        <v>4462</v>
      </c>
      <c r="D330" s="28" t="s">
        <v>3989</v>
      </c>
      <c r="E330" s="6" t="s">
        <v>442</v>
      </c>
      <c r="F330" s="221" t="s">
        <v>315</v>
      </c>
      <c r="G330" s="221" t="s">
        <v>3715</v>
      </c>
      <c r="H330" s="28" t="s">
        <v>4502</v>
      </c>
      <c r="I330" s="19" t="s">
        <v>3750</v>
      </c>
      <c r="J330" s="28" t="s">
        <v>604</v>
      </c>
      <c r="K330" s="221"/>
      <c r="L330" s="221"/>
      <c r="M330" s="28" t="s">
        <v>604</v>
      </c>
      <c r="N330" s="19" t="s">
        <v>3853</v>
      </c>
      <c r="O330" s="6" t="s">
        <v>604</v>
      </c>
      <c r="P330" s="221" t="s">
        <v>3718</v>
      </c>
      <c r="Q330" s="31" t="n">
        <f aca="false">Calib!G13</f>
        <v>0</v>
      </c>
      <c r="R330" s="174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3752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4503</v>
      </c>
      <c r="B331" s="221" t="s">
        <v>3713</v>
      </c>
      <c r="C331" s="28" t="s">
        <v>4462</v>
      </c>
      <c r="D331" s="28" t="s">
        <v>4451</v>
      </c>
      <c r="E331" s="19" t="s">
        <v>443</v>
      </c>
      <c r="F331" s="221" t="s">
        <v>315</v>
      </c>
      <c r="G331" s="221" t="s">
        <v>3715</v>
      </c>
      <c r="H331" s="28" t="s">
        <v>4502</v>
      </c>
      <c r="I331" s="19" t="s">
        <v>3750</v>
      </c>
      <c r="J331" s="28" t="s">
        <v>604</v>
      </c>
      <c r="K331" s="221"/>
      <c r="L331" s="221"/>
      <c r="M331" s="28" t="s">
        <v>604</v>
      </c>
      <c r="N331" s="19" t="s">
        <v>3853</v>
      </c>
      <c r="O331" s="6" t="s">
        <v>604</v>
      </c>
      <c r="P331" s="221" t="s">
        <v>1134</v>
      </c>
      <c r="Q331" s="46" t="n">
        <f aca="false">Calib!G14</f>
        <v>27</v>
      </c>
      <c r="R331" s="174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3752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4504</v>
      </c>
      <c r="B332" s="221" t="s">
        <v>3713</v>
      </c>
      <c r="C332" s="28" t="s">
        <v>4462</v>
      </c>
      <c r="D332" s="28" t="s">
        <v>4505</v>
      </c>
      <c r="E332" s="6" t="s">
        <v>444</v>
      </c>
      <c r="F332" s="221" t="s">
        <v>315</v>
      </c>
      <c r="G332" s="221" t="s">
        <v>3715</v>
      </c>
      <c r="H332" s="28" t="s">
        <v>4502</v>
      </c>
      <c r="I332" s="19" t="s">
        <v>3750</v>
      </c>
      <c r="J332" s="28" t="s">
        <v>604</v>
      </c>
      <c r="K332" s="221"/>
      <c r="L332" s="221"/>
      <c r="M332" s="28" t="s">
        <v>604</v>
      </c>
      <c r="N332" s="19" t="s">
        <v>3853</v>
      </c>
      <c r="O332" s="6" t="s">
        <v>604</v>
      </c>
      <c r="P332" s="221" t="s">
        <v>1134</v>
      </c>
      <c r="Q332" s="46" t="n">
        <f aca="false">Calib!G15</f>
        <v>8192</v>
      </c>
      <c r="R332" s="174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3752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4506</v>
      </c>
      <c r="B333" s="221" t="s">
        <v>3713</v>
      </c>
      <c r="C333" s="28" t="s">
        <v>4462</v>
      </c>
      <c r="D333" s="28" t="s">
        <v>4507</v>
      </c>
      <c r="E333" s="6" t="s">
        <v>445</v>
      </c>
      <c r="F333" s="221" t="s">
        <v>315</v>
      </c>
      <c r="G333" s="221" t="s">
        <v>3715</v>
      </c>
      <c r="H333" s="28" t="s">
        <v>4502</v>
      </c>
      <c r="I333" s="19" t="s">
        <v>3750</v>
      </c>
      <c r="J333" s="28" t="s">
        <v>604</v>
      </c>
      <c r="K333" s="221"/>
      <c r="L333" s="221"/>
      <c r="M333" s="28" t="s">
        <v>604</v>
      </c>
      <c r="N333" s="19" t="s">
        <v>3853</v>
      </c>
      <c r="O333" s="6" t="s">
        <v>604</v>
      </c>
      <c r="P333" s="221" t="s">
        <v>1134</v>
      </c>
      <c r="Q333" s="46" t="n">
        <f aca="false">Calib!G16</f>
        <v>1024</v>
      </c>
      <c r="R333" s="174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3752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4508</v>
      </c>
      <c r="B334" s="221" t="s">
        <v>3713</v>
      </c>
      <c r="C334" s="28" t="s">
        <v>4462</v>
      </c>
      <c r="D334" s="28" t="s">
        <v>4509</v>
      </c>
      <c r="E334" s="19" t="s">
        <v>4477</v>
      </c>
      <c r="F334" s="221" t="s">
        <v>315</v>
      </c>
      <c r="G334" s="221" t="s">
        <v>3715</v>
      </c>
      <c r="H334" s="28" t="s">
        <v>4502</v>
      </c>
      <c r="I334" s="19" t="s">
        <v>3750</v>
      </c>
      <c r="J334" s="28" t="s">
        <v>604</v>
      </c>
      <c r="K334" s="221"/>
      <c r="L334" s="221"/>
      <c r="M334" s="28" t="s">
        <v>604</v>
      </c>
      <c r="N334" s="19" t="s">
        <v>3853</v>
      </c>
      <c r="O334" s="6" t="s">
        <v>604</v>
      </c>
      <c r="P334" s="221" t="s">
        <v>1134</v>
      </c>
      <c r="Q334" s="46" t="n">
        <f aca="false">Calib!G17</f>
        <v>2189</v>
      </c>
      <c r="R334" s="174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3752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4510</v>
      </c>
      <c r="B335" s="221" t="s">
        <v>3713</v>
      </c>
      <c r="C335" s="28" t="s">
        <v>4462</v>
      </c>
      <c r="D335" s="28" t="s">
        <v>4511</v>
      </c>
      <c r="E335" s="6" t="s">
        <v>442</v>
      </c>
      <c r="F335" s="221" t="s">
        <v>315</v>
      </c>
      <c r="G335" s="221" t="s">
        <v>3715</v>
      </c>
      <c r="H335" s="28" t="s">
        <v>4512</v>
      </c>
      <c r="I335" s="19" t="s">
        <v>3750</v>
      </c>
      <c r="J335" s="28" t="s">
        <v>604</v>
      </c>
      <c r="K335" s="221"/>
      <c r="L335" s="221"/>
      <c r="M335" s="28" t="s">
        <v>604</v>
      </c>
      <c r="N335" s="19" t="s">
        <v>3853</v>
      </c>
      <c r="O335" s="6" t="s">
        <v>604</v>
      </c>
      <c r="P335" s="221" t="s">
        <v>3718</v>
      </c>
      <c r="Q335" s="31" t="n">
        <f aca="false">Calib!H13</f>
        <v>1</v>
      </c>
      <c r="R335" s="174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3752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4513</v>
      </c>
      <c r="B336" s="221" t="s">
        <v>3713</v>
      </c>
      <c r="C336" s="28" t="s">
        <v>4462</v>
      </c>
      <c r="D336" s="28" t="s">
        <v>4514</v>
      </c>
      <c r="E336" s="19" t="s">
        <v>443</v>
      </c>
      <c r="F336" s="221" t="s">
        <v>315</v>
      </c>
      <c r="G336" s="221" t="s">
        <v>3715</v>
      </c>
      <c r="H336" s="28" t="s">
        <v>4512</v>
      </c>
      <c r="I336" s="19" t="s">
        <v>3750</v>
      </c>
      <c r="J336" s="28" t="s">
        <v>604</v>
      </c>
      <c r="K336" s="221"/>
      <c r="L336" s="221"/>
      <c r="M336" s="28" t="s">
        <v>604</v>
      </c>
      <c r="N336" s="19" t="s">
        <v>3853</v>
      </c>
      <c r="O336" s="6" t="s">
        <v>604</v>
      </c>
      <c r="P336" s="221" t="s">
        <v>1134</v>
      </c>
      <c r="Q336" s="46" t="n">
        <f aca="false">Calib!H14</f>
        <v>110</v>
      </c>
      <c r="R336" s="174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3752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4515</v>
      </c>
      <c r="B337" s="221" t="s">
        <v>3713</v>
      </c>
      <c r="C337" s="28" t="s">
        <v>4462</v>
      </c>
      <c r="D337" s="28" t="s">
        <v>4516</v>
      </c>
      <c r="E337" s="6" t="s">
        <v>444</v>
      </c>
      <c r="F337" s="221" t="s">
        <v>315</v>
      </c>
      <c r="G337" s="221" t="s">
        <v>3715</v>
      </c>
      <c r="H337" s="28" t="s">
        <v>4512</v>
      </c>
      <c r="I337" s="19" t="s">
        <v>3750</v>
      </c>
      <c r="J337" s="28" t="s">
        <v>604</v>
      </c>
      <c r="K337" s="221"/>
      <c r="L337" s="221"/>
      <c r="M337" s="28" t="s">
        <v>604</v>
      </c>
      <c r="N337" s="19" t="s">
        <v>3853</v>
      </c>
      <c r="O337" s="6" t="s">
        <v>604</v>
      </c>
      <c r="P337" s="221" t="s">
        <v>1134</v>
      </c>
      <c r="Q337" s="46" t="n">
        <f aca="false">Calib!H15</f>
        <v>8192</v>
      </c>
      <c r="R337" s="174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3752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4517</v>
      </c>
      <c r="B338" s="221" t="s">
        <v>3713</v>
      </c>
      <c r="C338" s="28" t="s">
        <v>4462</v>
      </c>
      <c r="D338" s="28" t="s">
        <v>4518</v>
      </c>
      <c r="E338" s="6" t="s">
        <v>445</v>
      </c>
      <c r="F338" s="221" t="s">
        <v>315</v>
      </c>
      <c r="G338" s="221" t="s">
        <v>3715</v>
      </c>
      <c r="H338" s="28" t="s">
        <v>4512</v>
      </c>
      <c r="I338" s="19" t="s">
        <v>3750</v>
      </c>
      <c r="J338" s="28" t="s">
        <v>604</v>
      </c>
      <c r="K338" s="221"/>
      <c r="L338" s="221"/>
      <c r="M338" s="28" t="s">
        <v>604</v>
      </c>
      <c r="N338" s="19" t="s">
        <v>3853</v>
      </c>
      <c r="O338" s="6" t="s">
        <v>604</v>
      </c>
      <c r="P338" s="221" t="s">
        <v>1134</v>
      </c>
      <c r="Q338" s="46" t="n">
        <f aca="false">Calib!H16</f>
        <v>1024</v>
      </c>
      <c r="R338" s="174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3752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4519</v>
      </c>
      <c r="B339" s="221" t="s">
        <v>3713</v>
      </c>
      <c r="C339" s="28" t="s">
        <v>4462</v>
      </c>
      <c r="D339" s="28" t="s">
        <v>4520</v>
      </c>
      <c r="E339" s="19" t="s">
        <v>4477</v>
      </c>
      <c r="F339" s="221" t="s">
        <v>315</v>
      </c>
      <c r="G339" s="221" t="s">
        <v>3715</v>
      </c>
      <c r="H339" s="28" t="s">
        <v>4512</v>
      </c>
      <c r="I339" s="19" t="s">
        <v>3750</v>
      </c>
      <c r="J339" s="28" t="s">
        <v>604</v>
      </c>
      <c r="K339" s="221"/>
      <c r="L339" s="221"/>
      <c r="M339" s="28" t="s">
        <v>604</v>
      </c>
      <c r="N339" s="19" t="s">
        <v>3853</v>
      </c>
      <c r="O339" s="6" t="s">
        <v>604</v>
      </c>
      <c r="P339" s="221" t="s">
        <v>1134</v>
      </c>
      <c r="Q339" s="46" t="n">
        <f aca="false">Calib!H17</f>
        <v>3795.5</v>
      </c>
      <c r="R339" s="174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3752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4521</v>
      </c>
      <c r="B340" s="221" t="s">
        <v>3713</v>
      </c>
      <c r="C340" s="28" t="s">
        <v>4462</v>
      </c>
      <c r="D340" s="28" t="s">
        <v>4522</v>
      </c>
      <c r="E340" s="6" t="s">
        <v>442</v>
      </c>
      <c r="F340" s="221" t="s">
        <v>315</v>
      </c>
      <c r="G340" s="221" t="s">
        <v>3715</v>
      </c>
      <c r="H340" s="28" t="s">
        <v>4523</v>
      </c>
      <c r="I340" s="19" t="s">
        <v>3750</v>
      </c>
      <c r="J340" s="28" t="s">
        <v>604</v>
      </c>
      <c r="K340" s="221"/>
      <c r="L340" s="221"/>
      <c r="M340" s="28" t="s">
        <v>604</v>
      </c>
      <c r="N340" s="19" t="s">
        <v>3853</v>
      </c>
      <c r="O340" s="6" t="s">
        <v>604</v>
      </c>
      <c r="P340" s="221" t="s">
        <v>3718</v>
      </c>
      <c r="Q340" s="31" t="n">
        <f aca="false">Calib!I13</f>
        <v>1</v>
      </c>
      <c r="R340" s="174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3752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4524</v>
      </c>
      <c r="B341" s="221" t="s">
        <v>3713</v>
      </c>
      <c r="C341" s="28" t="s">
        <v>4462</v>
      </c>
      <c r="D341" s="28" t="s">
        <v>4525</v>
      </c>
      <c r="E341" s="19" t="s">
        <v>443</v>
      </c>
      <c r="F341" s="221" t="s">
        <v>315</v>
      </c>
      <c r="G341" s="221" t="s">
        <v>3715</v>
      </c>
      <c r="H341" s="28" t="s">
        <v>4523</v>
      </c>
      <c r="I341" s="19" t="s">
        <v>3750</v>
      </c>
      <c r="J341" s="28" t="s">
        <v>604</v>
      </c>
      <c r="K341" s="221"/>
      <c r="L341" s="221"/>
      <c r="M341" s="28" t="s">
        <v>604</v>
      </c>
      <c r="N341" s="19" t="s">
        <v>3853</v>
      </c>
      <c r="O341" s="6" t="s">
        <v>604</v>
      </c>
      <c r="P341" s="221" t="s">
        <v>1134</v>
      </c>
      <c r="Q341" s="46" t="n">
        <f aca="false">Calib!I14</f>
        <v>110</v>
      </c>
      <c r="R341" s="174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3752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4526</v>
      </c>
      <c r="B342" s="221" t="s">
        <v>3713</v>
      </c>
      <c r="C342" s="28" t="s">
        <v>4462</v>
      </c>
      <c r="D342" s="28" t="s">
        <v>4527</v>
      </c>
      <c r="E342" s="6" t="s">
        <v>444</v>
      </c>
      <c r="F342" s="221" t="s">
        <v>315</v>
      </c>
      <c r="G342" s="221" t="s">
        <v>3715</v>
      </c>
      <c r="H342" s="28" t="s">
        <v>4523</v>
      </c>
      <c r="I342" s="19" t="s">
        <v>3750</v>
      </c>
      <c r="J342" s="28" t="s">
        <v>604</v>
      </c>
      <c r="K342" s="221"/>
      <c r="L342" s="221"/>
      <c r="M342" s="28" t="s">
        <v>604</v>
      </c>
      <c r="N342" s="19" t="s">
        <v>3853</v>
      </c>
      <c r="O342" s="6" t="s">
        <v>604</v>
      </c>
      <c r="P342" s="221" t="s">
        <v>1134</v>
      </c>
      <c r="Q342" s="46" t="n">
        <f aca="false">Calib!I15</f>
        <v>8192</v>
      </c>
      <c r="R342" s="174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3752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4528</v>
      </c>
      <c r="B343" s="221" t="s">
        <v>3713</v>
      </c>
      <c r="C343" s="28" t="s">
        <v>4462</v>
      </c>
      <c r="D343" s="28" t="s">
        <v>4529</v>
      </c>
      <c r="E343" s="6" t="s">
        <v>445</v>
      </c>
      <c r="F343" s="221" t="s">
        <v>315</v>
      </c>
      <c r="G343" s="221" t="s">
        <v>3715</v>
      </c>
      <c r="H343" s="28" t="s">
        <v>4523</v>
      </c>
      <c r="I343" s="19" t="s">
        <v>3750</v>
      </c>
      <c r="J343" s="28" t="s">
        <v>604</v>
      </c>
      <c r="K343" s="221"/>
      <c r="L343" s="221"/>
      <c r="M343" s="28" t="s">
        <v>604</v>
      </c>
      <c r="N343" s="19" t="s">
        <v>3853</v>
      </c>
      <c r="O343" s="6" t="s">
        <v>604</v>
      </c>
      <c r="P343" s="221" t="s">
        <v>1134</v>
      </c>
      <c r="Q343" s="46" t="n">
        <f aca="false">Calib!I16</f>
        <v>1024</v>
      </c>
      <c r="R343" s="174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3752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4530</v>
      </c>
      <c r="B344" s="221" t="s">
        <v>3713</v>
      </c>
      <c r="C344" s="28" t="s">
        <v>4462</v>
      </c>
      <c r="D344" s="28" t="s">
        <v>4531</v>
      </c>
      <c r="E344" s="19" t="s">
        <v>4477</v>
      </c>
      <c r="F344" s="221" t="s">
        <v>315</v>
      </c>
      <c r="G344" s="221" t="s">
        <v>3715</v>
      </c>
      <c r="H344" s="28" t="s">
        <v>4523</v>
      </c>
      <c r="I344" s="19" t="s">
        <v>3750</v>
      </c>
      <c r="J344" s="28" t="s">
        <v>604</v>
      </c>
      <c r="K344" s="221"/>
      <c r="L344" s="221"/>
      <c r="M344" s="28" t="s">
        <v>604</v>
      </c>
      <c r="N344" s="19" t="s">
        <v>3853</v>
      </c>
      <c r="O344" s="6" t="s">
        <v>604</v>
      </c>
      <c r="P344" s="221" t="s">
        <v>1134</v>
      </c>
      <c r="Q344" s="46" t="n">
        <f aca="false">Calib!I17</f>
        <v>6522.4</v>
      </c>
      <c r="R344" s="174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3752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4532</v>
      </c>
      <c r="B345" s="221" t="s">
        <v>3713</v>
      </c>
      <c r="C345" s="28" t="s">
        <v>4462</v>
      </c>
      <c r="D345" s="28" t="s">
        <v>4533</v>
      </c>
      <c r="E345" s="6" t="s">
        <v>502</v>
      </c>
      <c r="F345" s="28" t="s">
        <v>94</v>
      </c>
      <c r="G345" s="221" t="s">
        <v>3715</v>
      </c>
      <c r="H345" s="28" t="s">
        <v>4534</v>
      </c>
      <c r="I345" s="19" t="s">
        <v>4535</v>
      </c>
      <c r="J345" s="28" t="s">
        <v>604</v>
      </c>
      <c r="K345" s="223" t="n">
        <v>0.5</v>
      </c>
      <c r="L345" s="223" t="n">
        <v>2.5</v>
      </c>
      <c r="M345" s="28" t="s">
        <v>4536</v>
      </c>
      <c r="N345" s="22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604</v>
      </c>
      <c r="P345" s="221" t="s">
        <v>1134</v>
      </c>
      <c r="Q345" s="182" t="n">
        <f aca="false">Calib!C67</f>
        <v>1.5</v>
      </c>
      <c r="R345" s="174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3719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4537</v>
      </c>
      <c r="B346" s="221" t="s">
        <v>3713</v>
      </c>
      <c r="C346" s="28" t="s">
        <v>4462</v>
      </c>
      <c r="D346" s="28" t="s">
        <v>4538</v>
      </c>
      <c r="E346" s="6" t="s">
        <v>502</v>
      </c>
      <c r="F346" s="28" t="s">
        <v>94</v>
      </c>
      <c r="G346" s="221" t="s">
        <v>3715</v>
      </c>
      <c r="H346" s="28" t="s">
        <v>4472</v>
      </c>
      <c r="I346" s="19" t="s">
        <v>4539</v>
      </c>
      <c r="J346" s="28" t="s">
        <v>604</v>
      </c>
      <c r="K346" s="223" t="n">
        <v>0.5</v>
      </c>
      <c r="L346" s="223" t="n">
        <v>1.5</v>
      </c>
      <c r="M346" s="28" t="s">
        <v>4540</v>
      </c>
      <c r="N346" s="19" t="s">
        <v>4541</v>
      </c>
      <c r="O346" s="6" t="s">
        <v>604</v>
      </c>
      <c r="P346" s="221" t="s">
        <v>1134</v>
      </c>
      <c r="Q346" s="182" t="n">
        <f aca="false">Calib!D67</f>
        <v>1</v>
      </c>
      <c r="R346" s="174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3719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4542</v>
      </c>
      <c r="B347" s="221" t="s">
        <v>3713</v>
      </c>
      <c r="C347" s="28" t="s">
        <v>4462</v>
      </c>
      <c r="D347" s="28" t="s">
        <v>4543</v>
      </c>
      <c r="E347" s="6" t="s">
        <v>502</v>
      </c>
      <c r="F347" s="28" t="s">
        <v>94</v>
      </c>
      <c r="G347" s="221" t="s">
        <v>3715</v>
      </c>
      <c r="H347" s="28" t="s">
        <v>4472</v>
      </c>
      <c r="I347" s="19" t="s">
        <v>4539</v>
      </c>
      <c r="J347" s="28" t="s">
        <v>604</v>
      </c>
      <c r="K347" s="223" t="n">
        <v>0.5</v>
      </c>
      <c r="L347" s="223" t="n">
        <v>1.5</v>
      </c>
      <c r="M347" s="28" t="s">
        <v>4540</v>
      </c>
      <c r="N347" s="19" t="s">
        <v>4541</v>
      </c>
      <c r="O347" s="6" t="s">
        <v>604</v>
      </c>
      <c r="P347" s="221" t="s">
        <v>1134</v>
      </c>
      <c r="Q347" s="182" t="n">
        <f aca="false">Calib!E67</f>
        <v>1</v>
      </c>
      <c r="R347" s="174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3719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4544</v>
      </c>
      <c r="B348" s="221" t="s">
        <v>3713</v>
      </c>
      <c r="C348" s="28" t="s">
        <v>4462</v>
      </c>
      <c r="D348" s="28" t="s">
        <v>4545</v>
      </c>
      <c r="E348" s="6" t="s">
        <v>502</v>
      </c>
      <c r="F348" s="28" t="s">
        <v>94</v>
      </c>
      <c r="G348" s="221" t="s">
        <v>3715</v>
      </c>
      <c r="H348" s="28" t="s">
        <v>4472</v>
      </c>
      <c r="I348" s="19" t="s">
        <v>4539</v>
      </c>
      <c r="J348" s="28" t="s">
        <v>604</v>
      </c>
      <c r="K348" s="223" t="n">
        <v>0.5</v>
      </c>
      <c r="L348" s="223" t="n">
        <v>1.5</v>
      </c>
      <c r="M348" s="28" t="s">
        <v>4540</v>
      </c>
      <c r="N348" s="19" t="s">
        <v>4546</v>
      </c>
      <c r="O348" s="6" t="s">
        <v>604</v>
      </c>
      <c r="P348" s="221" t="s">
        <v>1134</v>
      </c>
      <c r="Q348" s="182" t="n">
        <f aca="false">Calib!F67</f>
        <v>1</v>
      </c>
      <c r="R348" s="174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3719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4547</v>
      </c>
      <c r="B349" s="221" t="s">
        <v>3713</v>
      </c>
      <c r="C349" s="28" t="s">
        <v>4462</v>
      </c>
      <c r="D349" s="28" t="s">
        <v>4548</v>
      </c>
      <c r="E349" s="6" t="s">
        <v>502</v>
      </c>
      <c r="F349" s="28" t="s">
        <v>94</v>
      </c>
      <c r="G349" s="221" t="s">
        <v>3715</v>
      </c>
      <c r="H349" s="28" t="s">
        <v>4472</v>
      </c>
      <c r="I349" s="19" t="s">
        <v>4539</v>
      </c>
      <c r="J349" s="28" t="s">
        <v>604</v>
      </c>
      <c r="K349" s="223" t="n">
        <v>0.5</v>
      </c>
      <c r="L349" s="223" t="n">
        <v>1.5</v>
      </c>
      <c r="M349" s="28" t="s">
        <v>4540</v>
      </c>
      <c r="N349" s="19" t="s">
        <v>4541</v>
      </c>
      <c r="O349" s="6" t="s">
        <v>604</v>
      </c>
      <c r="P349" s="221" t="s">
        <v>1134</v>
      </c>
      <c r="Q349" s="182" t="n">
        <f aca="false">Calib!G67</f>
        <v>1</v>
      </c>
      <c r="R349" s="174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3719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4549</v>
      </c>
      <c r="B350" s="221" t="s">
        <v>3713</v>
      </c>
      <c r="C350" s="28" t="s">
        <v>4462</v>
      </c>
      <c r="D350" s="28" t="s">
        <v>4550</v>
      </c>
      <c r="E350" s="19" t="s">
        <v>504</v>
      </c>
      <c r="F350" s="28" t="s">
        <v>90</v>
      </c>
      <c r="G350" s="221" t="s">
        <v>3715</v>
      </c>
      <c r="H350" s="28" t="s">
        <v>604</v>
      </c>
      <c r="I350" s="6" t="s">
        <v>604</v>
      </c>
      <c r="J350" s="28" t="s">
        <v>604</v>
      </c>
      <c r="K350" s="223" t="n">
        <v>1</v>
      </c>
      <c r="L350" s="223" t="n">
        <v>3</v>
      </c>
      <c r="M350" s="28" t="s">
        <v>4551</v>
      </c>
      <c r="N350" s="222" t="str">
        <f aca="false">Calib!$J$68</f>
        <v>Hopper EP 跨節點走 IB [Assumed 1.5，區間 1–3]</v>
      </c>
      <c r="O350" s="6" t="s">
        <v>604</v>
      </c>
      <c r="P350" s="221" t="s">
        <v>1134</v>
      </c>
      <c r="Q350" s="182" t="n">
        <f aca="false">Calib!C68</f>
        <v>1.5</v>
      </c>
      <c r="R350" s="28" t="s">
        <v>604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3719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4552</v>
      </c>
      <c r="B351" s="221" t="s">
        <v>3713</v>
      </c>
      <c r="C351" s="28" t="s">
        <v>4462</v>
      </c>
      <c r="D351" s="28" t="s">
        <v>4553</v>
      </c>
      <c r="E351" s="19" t="s">
        <v>504</v>
      </c>
      <c r="F351" s="28" t="s">
        <v>90</v>
      </c>
      <c r="G351" s="221" t="s">
        <v>3715</v>
      </c>
      <c r="H351" s="28" t="s">
        <v>604</v>
      </c>
      <c r="I351" s="6" t="s">
        <v>604</v>
      </c>
      <c r="J351" s="28" t="s">
        <v>604</v>
      </c>
      <c r="K351" s="223" t="n">
        <v>1</v>
      </c>
      <c r="L351" s="223" t="n">
        <v>1.5</v>
      </c>
      <c r="M351" s="28" t="s">
        <v>4554</v>
      </c>
      <c r="N351" s="19" t="s">
        <v>4555</v>
      </c>
      <c r="O351" s="6" t="s">
        <v>604</v>
      </c>
      <c r="P351" s="221" t="s">
        <v>1134</v>
      </c>
      <c r="Q351" s="182" t="n">
        <f aca="false">Calib!D68</f>
        <v>1</v>
      </c>
      <c r="R351" s="28" t="s">
        <v>604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3719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4556</v>
      </c>
      <c r="B352" s="221" t="s">
        <v>3713</v>
      </c>
      <c r="C352" s="28" t="s">
        <v>4462</v>
      </c>
      <c r="D352" s="28" t="s">
        <v>4557</v>
      </c>
      <c r="E352" s="19" t="s">
        <v>504</v>
      </c>
      <c r="F352" s="28" t="s">
        <v>90</v>
      </c>
      <c r="G352" s="221" t="s">
        <v>3715</v>
      </c>
      <c r="H352" s="28" t="s">
        <v>604</v>
      </c>
      <c r="I352" s="6" t="s">
        <v>604</v>
      </c>
      <c r="J352" s="28" t="s">
        <v>604</v>
      </c>
      <c r="K352" s="223" t="n">
        <v>1</v>
      </c>
      <c r="L352" s="223" t="n">
        <v>1.5</v>
      </c>
      <c r="M352" s="28" t="s">
        <v>4554</v>
      </c>
      <c r="N352" s="19" t="s">
        <v>4555</v>
      </c>
      <c r="O352" s="6" t="s">
        <v>604</v>
      </c>
      <c r="P352" s="221" t="s">
        <v>1134</v>
      </c>
      <c r="Q352" s="182" t="n">
        <f aca="false">Calib!E68</f>
        <v>1</v>
      </c>
      <c r="R352" s="28" t="s">
        <v>604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3719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4558</v>
      </c>
      <c r="B353" s="221" t="s">
        <v>3713</v>
      </c>
      <c r="C353" s="28" t="s">
        <v>4462</v>
      </c>
      <c r="D353" s="28" t="s">
        <v>4559</v>
      </c>
      <c r="E353" s="19" t="s">
        <v>504</v>
      </c>
      <c r="F353" s="28" t="s">
        <v>90</v>
      </c>
      <c r="G353" s="221" t="s">
        <v>3715</v>
      </c>
      <c r="H353" s="28" t="s">
        <v>604</v>
      </c>
      <c r="I353" s="6" t="s">
        <v>604</v>
      </c>
      <c r="J353" s="28" t="s">
        <v>604</v>
      </c>
      <c r="K353" s="223" t="n">
        <v>1</v>
      </c>
      <c r="L353" s="223" t="n">
        <v>1.5</v>
      </c>
      <c r="M353" s="28" t="s">
        <v>4554</v>
      </c>
      <c r="N353" s="19" t="s">
        <v>4555</v>
      </c>
      <c r="O353" s="6" t="s">
        <v>604</v>
      </c>
      <c r="P353" s="221" t="s">
        <v>1134</v>
      </c>
      <c r="Q353" s="182" t="n">
        <f aca="false">Calib!F68</f>
        <v>1</v>
      </c>
      <c r="R353" s="28" t="s">
        <v>604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3719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4560</v>
      </c>
      <c r="B354" s="221" t="s">
        <v>3713</v>
      </c>
      <c r="C354" s="28" t="s">
        <v>4462</v>
      </c>
      <c r="D354" s="28" t="s">
        <v>4561</v>
      </c>
      <c r="E354" s="19" t="s">
        <v>504</v>
      </c>
      <c r="F354" s="28" t="s">
        <v>90</v>
      </c>
      <c r="G354" s="221" t="s">
        <v>3715</v>
      </c>
      <c r="H354" s="28" t="s">
        <v>604</v>
      </c>
      <c r="I354" s="6" t="s">
        <v>604</v>
      </c>
      <c r="J354" s="28" t="s">
        <v>604</v>
      </c>
      <c r="K354" s="223" t="n">
        <v>1</v>
      </c>
      <c r="L354" s="223" t="n">
        <v>1.5</v>
      </c>
      <c r="M354" s="28" t="s">
        <v>4554</v>
      </c>
      <c r="N354" s="19" t="s">
        <v>4555</v>
      </c>
      <c r="O354" s="6" t="s">
        <v>604</v>
      </c>
      <c r="P354" s="221" t="s">
        <v>1134</v>
      </c>
      <c r="Q354" s="182" t="n">
        <f aca="false">Calib!G68</f>
        <v>1</v>
      </c>
      <c r="R354" s="28" t="s">
        <v>604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3719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4562</v>
      </c>
      <c r="B355" s="221" t="s">
        <v>3713</v>
      </c>
      <c r="C355" s="28" t="s">
        <v>4462</v>
      </c>
      <c r="D355" s="28" t="s">
        <v>4563</v>
      </c>
      <c r="E355" s="6" t="s">
        <v>506</v>
      </c>
      <c r="F355" s="28" t="s">
        <v>3807</v>
      </c>
      <c r="G355" s="221" t="s">
        <v>3715</v>
      </c>
      <c r="H355" s="28" t="s">
        <v>604</v>
      </c>
      <c r="I355" s="19" t="s">
        <v>4564</v>
      </c>
      <c r="J355" s="28" t="s">
        <v>604</v>
      </c>
      <c r="K355" s="223"/>
      <c r="L355" s="223"/>
      <c r="M355" s="28" t="s">
        <v>604</v>
      </c>
      <c r="N355" s="227" t="s">
        <v>4565</v>
      </c>
      <c r="O355" s="6" t="s">
        <v>4566</v>
      </c>
      <c r="P355" s="221" t="s">
        <v>3774</v>
      </c>
      <c r="Q355" s="182" t="n">
        <f aca="false">Calib!C69</f>
        <v>0.499747347145023</v>
      </c>
      <c r="R355" s="28" t="s">
        <v>604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3752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4567</v>
      </c>
      <c r="B356" s="221" t="s">
        <v>3713</v>
      </c>
      <c r="C356" s="28" t="s">
        <v>4462</v>
      </c>
      <c r="D356" s="28" t="s">
        <v>4568</v>
      </c>
      <c r="E356" s="6" t="s">
        <v>506</v>
      </c>
      <c r="F356" s="28" t="s">
        <v>90</v>
      </c>
      <c r="G356" s="221" t="s">
        <v>3715</v>
      </c>
      <c r="H356" s="28" t="s">
        <v>604</v>
      </c>
      <c r="I356" s="6" t="s">
        <v>604</v>
      </c>
      <c r="J356" s="28" t="s">
        <v>604</v>
      </c>
      <c r="K356" s="223" t="n">
        <v>0.5</v>
      </c>
      <c r="L356" s="223" t="n">
        <v>1.5</v>
      </c>
      <c r="M356" s="28" t="s">
        <v>4569</v>
      </c>
      <c r="N356" s="6" t="s">
        <v>4570</v>
      </c>
      <c r="O356" s="6" t="s">
        <v>604</v>
      </c>
      <c r="P356" s="221" t="s">
        <v>3774</v>
      </c>
      <c r="Q356" s="182" t="n">
        <f aca="false">Calib!D69</f>
        <v>1</v>
      </c>
      <c r="R356" s="28" t="s">
        <v>604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3719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4571</v>
      </c>
      <c r="B357" s="221" t="s">
        <v>3713</v>
      </c>
      <c r="C357" s="28" t="s">
        <v>4462</v>
      </c>
      <c r="D357" s="28" t="s">
        <v>4572</v>
      </c>
      <c r="E357" s="6" t="s">
        <v>506</v>
      </c>
      <c r="F357" s="28" t="s">
        <v>90</v>
      </c>
      <c r="G357" s="221" t="s">
        <v>3715</v>
      </c>
      <c r="H357" s="28" t="s">
        <v>604</v>
      </c>
      <c r="I357" s="6" t="s">
        <v>604</v>
      </c>
      <c r="J357" s="28" t="s">
        <v>604</v>
      </c>
      <c r="K357" s="223" t="n">
        <v>0.5</v>
      </c>
      <c r="L357" s="223" t="n">
        <v>1.5</v>
      </c>
      <c r="M357" s="28" t="s">
        <v>4569</v>
      </c>
      <c r="N357" s="6" t="s">
        <v>4570</v>
      </c>
      <c r="O357" s="6" t="s">
        <v>604</v>
      </c>
      <c r="P357" s="221" t="s">
        <v>3774</v>
      </c>
      <c r="Q357" s="182" t="n">
        <f aca="false">Calib!E69</f>
        <v>1</v>
      </c>
      <c r="R357" s="28" t="s">
        <v>604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3719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4573</v>
      </c>
      <c r="B358" s="221" t="s">
        <v>3713</v>
      </c>
      <c r="C358" s="28" t="s">
        <v>4462</v>
      </c>
      <c r="D358" s="28" t="s">
        <v>4574</v>
      </c>
      <c r="E358" s="6" t="s">
        <v>506</v>
      </c>
      <c r="F358" s="28" t="s">
        <v>90</v>
      </c>
      <c r="G358" s="221" t="s">
        <v>3715</v>
      </c>
      <c r="H358" s="28" t="s">
        <v>604</v>
      </c>
      <c r="I358" s="6" t="s">
        <v>604</v>
      </c>
      <c r="J358" s="28" t="s">
        <v>604</v>
      </c>
      <c r="K358" s="223" t="n">
        <v>0.5</v>
      </c>
      <c r="L358" s="223" t="n">
        <v>1.5</v>
      </c>
      <c r="M358" s="28" t="s">
        <v>4569</v>
      </c>
      <c r="N358" s="6" t="s">
        <v>4575</v>
      </c>
      <c r="O358" s="6" t="s">
        <v>604</v>
      </c>
      <c r="P358" s="221" t="s">
        <v>1134</v>
      </c>
      <c r="Q358" s="182" t="n">
        <f aca="false">Calib!F69</f>
        <v>1</v>
      </c>
      <c r="R358" s="28" t="s">
        <v>604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3719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4576</v>
      </c>
      <c r="B359" s="221" t="s">
        <v>3713</v>
      </c>
      <c r="C359" s="28" t="s">
        <v>4462</v>
      </c>
      <c r="D359" s="28" t="s">
        <v>4577</v>
      </c>
      <c r="E359" s="6" t="s">
        <v>506</v>
      </c>
      <c r="F359" s="28" t="s">
        <v>90</v>
      </c>
      <c r="G359" s="221" t="s">
        <v>3715</v>
      </c>
      <c r="H359" s="28" t="s">
        <v>604</v>
      </c>
      <c r="I359" s="6" t="s">
        <v>604</v>
      </c>
      <c r="J359" s="28" t="s">
        <v>604</v>
      </c>
      <c r="K359" s="223" t="n">
        <v>0.5</v>
      </c>
      <c r="L359" s="223" t="n">
        <v>1.5</v>
      </c>
      <c r="M359" s="28" t="s">
        <v>4569</v>
      </c>
      <c r="N359" s="6" t="s">
        <v>4570</v>
      </c>
      <c r="O359" s="6" t="s">
        <v>604</v>
      </c>
      <c r="P359" s="221" t="s">
        <v>3774</v>
      </c>
      <c r="Q359" s="182" t="n">
        <f aca="false">Calib!G69</f>
        <v>1</v>
      </c>
      <c r="R359" s="28" t="s">
        <v>604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3719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4578</v>
      </c>
      <c r="B360" s="221" t="s">
        <v>3713</v>
      </c>
      <c r="C360" s="28" t="s">
        <v>4462</v>
      </c>
      <c r="D360" s="28" t="s">
        <v>4579</v>
      </c>
      <c r="E360" s="6" t="s">
        <v>532</v>
      </c>
      <c r="F360" s="221" t="s">
        <v>365</v>
      </c>
      <c r="G360" s="221" t="s">
        <v>4469</v>
      </c>
      <c r="H360" s="28" t="s">
        <v>604</v>
      </c>
      <c r="I360" s="6" t="s">
        <v>604</v>
      </c>
      <c r="J360" s="28" t="s">
        <v>604</v>
      </c>
      <c r="K360" s="221"/>
      <c r="L360" s="221"/>
      <c r="M360" s="28" t="s">
        <v>604</v>
      </c>
      <c r="N360" s="6" t="s">
        <v>4580</v>
      </c>
      <c r="O360" s="6" t="s">
        <v>604</v>
      </c>
      <c r="P360" s="28" t="s">
        <v>604</v>
      </c>
      <c r="Q360" s="174" t="s">
        <v>604</v>
      </c>
      <c r="R360" s="28" t="s">
        <v>604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604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4581</v>
      </c>
      <c r="B361" s="221" t="s">
        <v>3713</v>
      </c>
      <c r="C361" s="28" t="s">
        <v>4462</v>
      </c>
      <c r="D361" s="28" t="s">
        <v>4582</v>
      </c>
      <c r="E361" s="19" t="s">
        <v>253</v>
      </c>
      <c r="F361" s="221" t="s">
        <v>315</v>
      </c>
      <c r="G361" s="221" t="s">
        <v>3715</v>
      </c>
      <c r="H361" s="28" t="s">
        <v>4583</v>
      </c>
      <c r="I361" s="19" t="s">
        <v>3750</v>
      </c>
      <c r="J361" s="28" t="s">
        <v>604</v>
      </c>
      <c r="K361" s="221"/>
      <c r="L361" s="221"/>
      <c r="M361" s="28" t="s">
        <v>604</v>
      </c>
      <c r="N361" s="19" t="s">
        <v>3853</v>
      </c>
      <c r="O361" s="6" t="s">
        <v>604</v>
      </c>
      <c r="P361" s="221" t="s">
        <v>3718</v>
      </c>
      <c r="Q361" s="46" t="n">
        <f aca="false">Calib!C100</f>
        <v>671</v>
      </c>
      <c r="R361" s="174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3752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4584</v>
      </c>
      <c r="B362" s="221" t="s">
        <v>3713</v>
      </c>
      <c r="C362" s="28" t="s">
        <v>4462</v>
      </c>
      <c r="D362" s="28" t="s">
        <v>4585</v>
      </c>
      <c r="E362" s="19" t="s">
        <v>257</v>
      </c>
      <c r="F362" s="221" t="s">
        <v>315</v>
      </c>
      <c r="G362" s="221" t="s">
        <v>3715</v>
      </c>
      <c r="H362" s="28" t="s">
        <v>4586</v>
      </c>
      <c r="I362" s="19" t="s">
        <v>3750</v>
      </c>
      <c r="J362" s="28" t="s">
        <v>604</v>
      </c>
      <c r="K362" s="221"/>
      <c r="L362" s="221"/>
      <c r="M362" s="28" t="s">
        <v>604</v>
      </c>
      <c r="N362" s="19" t="s">
        <v>3853</v>
      </c>
      <c r="O362" s="6" t="s">
        <v>604</v>
      </c>
      <c r="P362" s="221" t="s">
        <v>3718</v>
      </c>
      <c r="Q362" s="46" t="n">
        <f aca="false">Calib!C101</f>
        <v>37</v>
      </c>
      <c r="R362" s="174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3752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4587</v>
      </c>
      <c r="B363" s="221" t="s">
        <v>3713</v>
      </c>
      <c r="C363" s="28" t="s">
        <v>4462</v>
      </c>
      <c r="D363" s="28" t="s">
        <v>4588</v>
      </c>
      <c r="E363" s="19" t="s">
        <v>259</v>
      </c>
      <c r="F363" s="221" t="s">
        <v>315</v>
      </c>
      <c r="G363" s="221" t="s">
        <v>3715</v>
      </c>
      <c r="H363" s="28" t="s">
        <v>4589</v>
      </c>
      <c r="I363" s="19" t="s">
        <v>3750</v>
      </c>
      <c r="J363" s="28" t="s">
        <v>604</v>
      </c>
      <c r="K363" s="221"/>
      <c r="L363" s="221"/>
      <c r="M363" s="28" t="s">
        <v>604</v>
      </c>
      <c r="N363" s="19" t="s">
        <v>3853</v>
      </c>
      <c r="O363" s="6" t="s">
        <v>604</v>
      </c>
      <c r="P363" s="221" t="s">
        <v>3718</v>
      </c>
      <c r="Q363" s="46" t="n">
        <f aca="false">Calib!C102</f>
        <v>61</v>
      </c>
      <c r="R363" s="174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3752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4590</v>
      </c>
      <c r="B364" s="221" t="s">
        <v>3713</v>
      </c>
      <c r="C364" s="28" t="s">
        <v>4462</v>
      </c>
      <c r="D364" s="28" t="s">
        <v>4591</v>
      </c>
      <c r="E364" s="6" t="s">
        <v>262</v>
      </c>
      <c r="F364" s="221" t="s">
        <v>315</v>
      </c>
      <c r="G364" s="221" t="s">
        <v>3715</v>
      </c>
      <c r="H364" s="28" t="s">
        <v>4592</v>
      </c>
      <c r="I364" s="19" t="s">
        <v>3750</v>
      </c>
      <c r="J364" s="28" t="s">
        <v>604</v>
      </c>
      <c r="K364" s="221"/>
      <c r="L364" s="221"/>
      <c r="M364" s="28" t="s">
        <v>604</v>
      </c>
      <c r="N364" s="19" t="s">
        <v>3853</v>
      </c>
      <c r="O364" s="6" t="s">
        <v>604</v>
      </c>
      <c r="P364" s="221" t="s">
        <v>3718</v>
      </c>
      <c r="Q364" s="46" t="n">
        <f aca="false">Calib!C103</f>
        <v>7168</v>
      </c>
      <c r="R364" s="174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3752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4593</v>
      </c>
      <c r="B365" s="221" t="s">
        <v>3713</v>
      </c>
      <c r="C365" s="28" t="s">
        <v>4462</v>
      </c>
      <c r="D365" s="28" t="s">
        <v>4594</v>
      </c>
      <c r="E365" s="6" t="s">
        <v>268</v>
      </c>
      <c r="F365" s="221" t="s">
        <v>315</v>
      </c>
      <c r="G365" s="221" t="s">
        <v>3715</v>
      </c>
      <c r="H365" s="28" t="s">
        <v>4595</v>
      </c>
      <c r="I365" s="19" t="s">
        <v>3750</v>
      </c>
      <c r="J365" s="28" t="s">
        <v>604</v>
      </c>
      <c r="K365" s="221"/>
      <c r="L365" s="221"/>
      <c r="M365" s="28" t="s">
        <v>604</v>
      </c>
      <c r="N365" s="19" t="s">
        <v>3853</v>
      </c>
      <c r="O365" s="6" t="s">
        <v>604</v>
      </c>
      <c r="P365" s="221" t="s">
        <v>3718</v>
      </c>
      <c r="Q365" s="46" t="n">
        <f aca="false">Calib!C104</f>
        <v>256</v>
      </c>
      <c r="R365" s="174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3752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4596</v>
      </c>
      <c r="B366" s="221" t="s">
        <v>3713</v>
      </c>
      <c r="C366" s="28" t="s">
        <v>4462</v>
      </c>
      <c r="D366" s="28" t="s">
        <v>4597</v>
      </c>
      <c r="E366" s="19" t="s">
        <v>4598</v>
      </c>
      <c r="F366" s="221" t="s">
        <v>315</v>
      </c>
      <c r="G366" s="221" t="s">
        <v>3715</v>
      </c>
      <c r="H366" s="28" t="s">
        <v>4599</v>
      </c>
      <c r="I366" s="19" t="s">
        <v>3750</v>
      </c>
      <c r="J366" s="28" t="s">
        <v>604</v>
      </c>
      <c r="K366" s="221"/>
      <c r="L366" s="221"/>
      <c r="M366" s="28" t="s">
        <v>604</v>
      </c>
      <c r="N366" s="19" t="s">
        <v>3853</v>
      </c>
      <c r="O366" s="6" t="s">
        <v>604</v>
      </c>
      <c r="P366" s="221" t="s">
        <v>3718</v>
      </c>
      <c r="Q366" s="46" t="n">
        <f aca="false">Calib!C105</f>
        <v>8</v>
      </c>
      <c r="R366" s="174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3752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4600</v>
      </c>
      <c r="B367" s="221" t="s">
        <v>3713</v>
      </c>
      <c r="C367" s="28" t="s">
        <v>4462</v>
      </c>
      <c r="D367" s="28" t="s">
        <v>4601</v>
      </c>
      <c r="E367" s="6" t="s">
        <v>270</v>
      </c>
      <c r="F367" s="221" t="s">
        <v>315</v>
      </c>
      <c r="G367" s="221" t="s">
        <v>3715</v>
      </c>
      <c r="H367" s="28" t="s">
        <v>4602</v>
      </c>
      <c r="I367" s="19" t="s">
        <v>3750</v>
      </c>
      <c r="J367" s="28" t="s">
        <v>604</v>
      </c>
      <c r="K367" s="221"/>
      <c r="L367" s="221"/>
      <c r="M367" s="28" t="s">
        <v>604</v>
      </c>
      <c r="N367" s="19" t="s">
        <v>3853</v>
      </c>
      <c r="O367" s="6" t="s">
        <v>604</v>
      </c>
      <c r="P367" s="221" t="s">
        <v>3718</v>
      </c>
      <c r="Q367" s="46" t="n">
        <f aca="false">Calib!C106</f>
        <v>1</v>
      </c>
      <c r="R367" s="174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3752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4603</v>
      </c>
      <c r="B368" s="221" t="s">
        <v>3713</v>
      </c>
      <c r="C368" s="28" t="s">
        <v>4462</v>
      </c>
      <c r="D368" s="28" t="s">
        <v>4604</v>
      </c>
      <c r="E368" s="6" t="s">
        <v>271</v>
      </c>
      <c r="F368" s="221" t="s">
        <v>315</v>
      </c>
      <c r="G368" s="221" t="s">
        <v>3715</v>
      </c>
      <c r="H368" s="28" t="s">
        <v>4605</v>
      </c>
      <c r="I368" s="19" t="s">
        <v>3750</v>
      </c>
      <c r="J368" s="28" t="s">
        <v>604</v>
      </c>
      <c r="K368" s="221"/>
      <c r="L368" s="221"/>
      <c r="M368" s="28" t="s">
        <v>604</v>
      </c>
      <c r="N368" s="19" t="s">
        <v>3853</v>
      </c>
      <c r="O368" s="6" t="s">
        <v>604</v>
      </c>
      <c r="P368" s="221" t="s">
        <v>3718</v>
      </c>
      <c r="Q368" s="46" t="n">
        <f aca="false">Calib!C107</f>
        <v>129280</v>
      </c>
      <c r="R368" s="174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3752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4606</v>
      </c>
      <c r="B369" s="221" t="s">
        <v>3713</v>
      </c>
      <c r="C369" s="28" t="s">
        <v>4462</v>
      </c>
      <c r="D369" s="28" t="s">
        <v>4607</v>
      </c>
      <c r="E369" s="6" t="s">
        <v>543</v>
      </c>
      <c r="F369" s="221" t="s">
        <v>315</v>
      </c>
      <c r="G369" s="221" t="s">
        <v>3715</v>
      </c>
      <c r="H369" s="28" t="s">
        <v>4608</v>
      </c>
      <c r="I369" s="19" t="s">
        <v>4058</v>
      </c>
      <c r="J369" s="28" t="s">
        <v>604</v>
      </c>
      <c r="K369" s="221"/>
      <c r="L369" s="221"/>
      <c r="M369" s="28" t="s">
        <v>604</v>
      </c>
      <c r="N369" s="19" t="s">
        <v>3853</v>
      </c>
      <c r="O369" s="6" t="s">
        <v>604</v>
      </c>
      <c r="P369" s="221" t="s">
        <v>3718</v>
      </c>
      <c r="Q369" s="46" t="n">
        <f aca="false">Calib!C108</f>
        <v>35136</v>
      </c>
      <c r="R369" s="174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3752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4609</v>
      </c>
      <c r="B370" s="221" t="s">
        <v>3713</v>
      </c>
      <c r="C370" s="28" t="s">
        <v>4462</v>
      </c>
      <c r="D370" s="28" t="s">
        <v>4610</v>
      </c>
      <c r="E370" s="19" t="s">
        <v>4611</v>
      </c>
      <c r="F370" s="221" t="s">
        <v>315</v>
      </c>
      <c r="G370" s="221" t="s">
        <v>3715</v>
      </c>
      <c r="H370" s="28" t="s">
        <v>4612</v>
      </c>
      <c r="I370" s="19" t="s">
        <v>4058</v>
      </c>
      <c r="J370" s="28" t="s">
        <v>604</v>
      </c>
      <c r="K370" s="221"/>
      <c r="L370" s="221"/>
      <c r="M370" s="28" t="s">
        <v>604</v>
      </c>
      <c r="N370" s="19" t="s">
        <v>3853</v>
      </c>
      <c r="O370" s="6" t="s">
        <v>604</v>
      </c>
      <c r="P370" s="221" t="s">
        <v>3718</v>
      </c>
      <c r="Q370" s="46" t="n">
        <f aca="false">Calib!C109</f>
        <v>4997120</v>
      </c>
      <c r="R370" s="174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3752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4613</v>
      </c>
      <c r="B371" s="221" t="s">
        <v>3713</v>
      </c>
      <c r="C371" s="28" t="s">
        <v>4462</v>
      </c>
      <c r="D371" s="28" t="s">
        <v>4614</v>
      </c>
      <c r="E371" s="19" t="s">
        <v>4615</v>
      </c>
      <c r="F371" s="221" t="s">
        <v>315</v>
      </c>
      <c r="G371" s="221" t="s">
        <v>3715</v>
      </c>
      <c r="H371" s="28" t="s">
        <v>4616</v>
      </c>
      <c r="I371" s="19" t="s">
        <v>3750</v>
      </c>
      <c r="J371" s="28" t="s">
        <v>604</v>
      </c>
      <c r="K371" s="221"/>
      <c r="L371" s="221"/>
      <c r="M371" s="28" t="s">
        <v>604</v>
      </c>
      <c r="N371" s="19" t="s">
        <v>3853</v>
      </c>
      <c r="O371" s="6" t="s">
        <v>604</v>
      </c>
      <c r="P371" s="221" t="s">
        <v>3718</v>
      </c>
      <c r="Q371" s="46" t="n">
        <f aca="false">Calib!C110</f>
        <v>800</v>
      </c>
      <c r="R371" s="174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3752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4617</v>
      </c>
      <c r="B372" s="221" t="s">
        <v>3713</v>
      </c>
      <c r="C372" s="28" t="s">
        <v>4462</v>
      </c>
      <c r="D372" s="28" t="s">
        <v>4618</v>
      </c>
      <c r="E372" s="19" t="s">
        <v>4619</v>
      </c>
      <c r="F372" s="221" t="s">
        <v>315</v>
      </c>
      <c r="G372" s="221" t="s">
        <v>3715</v>
      </c>
      <c r="H372" s="28" t="s">
        <v>4620</v>
      </c>
      <c r="I372" s="19" t="s">
        <v>3750</v>
      </c>
      <c r="J372" s="28" t="s">
        <v>604</v>
      </c>
      <c r="K372" s="221"/>
      <c r="L372" s="221"/>
      <c r="M372" s="28" t="s">
        <v>604</v>
      </c>
      <c r="N372" s="19" t="s">
        <v>3853</v>
      </c>
      <c r="O372" s="6" t="s">
        <v>604</v>
      </c>
      <c r="P372" s="221" t="s">
        <v>3718</v>
      </c>
      <c r="Q372" s="46" t="n">
        <f aca="false">Calib!C111</f>
        <v>3880</v>
      </c>
      <c r="R372" s="174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3752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4621</v>
      </c>
      <c r="B373" s="221" t="s">
        <v>3713</v>
      </c>
      <c r="C373" s="28" t="s">
        <v>4462</v>
      </c>
      <c r="D373" s="28" t="s">
        <v>4622</v>
      </c>
      <c r="E373" s="19" t="s">
        <v>436</v>
      </c>
      <c r="F373" s="221" t="s">
        <v>4468</v>
      </c>
      <c r="G373" s="221" t="s">
        <v>4469</v>
      </c>
      <c r="H373" s="28" t="s">
        <v>604</v>
      </c>
      <c r="I373" s="6" t="s">
        <v>604</v>
      </c>
      <c r="J373" s="28" t="s">
        <v>604</v>
      </c>
      <c r="K373" s="221"/>
      <c r="L373" s="221"/>
      <c r="M373" s="28" t="s">
        <v>604</v>
      </c>
      <c r="N373" s="6" t="s">
        <v>4623</v>
      </c>
      <c r="O373" s="6" t="s">
        <v>604</v>
      </c>
      <c r="P373" s="28" t="s">
        <v>604</v>
      </c>
      <c r="Q373" s="174" t="s">
        <v>604</v>
      </c>
      <c r="R373" s="28" t="s">
        <v>604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604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4624</v>
      </c>
      <c r="B374" s="221" t="s">
        <v>3713</v>
      </c>
      <c r="C374" s="28" t="s">
        <v>4462</v>
      </c>
      <c r="D374" s="28" t="s">
        <v>4625</v>
      </c>
      <c r="E374" s="19" t="s">
        <v>4626</v>
      </c>
      <c r="F374" s="221" t="s">
        <v>315</v>
      </c>
      <c r="G374" s="221" t="s">
        <v>3715</v>
      </c>
      <c r="H374" s="28" t="s">
        <v>4627</v>
      </c>
      <c r="I374" s="19" t="s">
        <v>4058</v>
      </c>
      <c r="J374" s="28" t="s">
        <v>604</v>
      </c>
      <c r="K374" s="221"/>
      <c r="L374" s="221"/>
      <c r="M374" s="28" t="s">
        <v>604</v>
      </c>
      <c r="N374" s="19" t="s">
        <v>3853</v>
      </c>
      <c r="O374" s="6" t="s">
        <v>604</v>
      </c>
      <c r="P374" s="221" t="s">
        <v>3718</v>
      </c>
      <c r="Q374" s="185" t="n">
        <f aca="false">Calib!C118</f>
        <v>66.6666666666667</v>
      </c>
      <c r="R374" s="174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3752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4628</v>
      </c>
      <c r="B375" s="221" t="s">
        <v>3713</v>
      </c>
      <c r="C375" s="28" t="s">
        <v>4462</v>
      </c>
      <c r="D375" s="28" t="s">
        <v>4629</v>
      </c>
      <c r="E375" s="19" t="s">
        <v>4626</v>
      </c>
      <c r="F375" s="221" t="s">
        <v>315</v>
      </c>
      <c r="G375" s="221" t="s">
        <v>3715</v>
      </c>
      <c r="H375" s="28" t="s">
        <v>4627</v>
      </c>
      <c r="I375" s="19" t="s">
        <v>4058</v>
      </c>
      <c r="J375" s="28" t="s">
        <v>604</v>
      </c>
      <c r="K375" s="221"/>
      <c r="L375" s="221"/>
      <c r="M375" s="28" t="s">
        <v>604</v>
      </c>
      <c r="N375" s="19" t="s">
        <v>3853</v>
      </c>
      <c r="O375" s="6" t="s">
        <v>604</v>
      </c>
      <c r="P375" s="221" t="s">
        <v>3718</v>
      </c>
      <c r="Q375" s="185" t="n">
        <f aca="false">Calib!D118</f>
        <v>66.6666666666667</v>
      </c>
      <c r="R375" s="174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3752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4630</v>
      </c>
      <c r="B376" s="221" t="s">
        <v>3713</v>
      </c>
      <c r="C376" s="28" t="s">
        <v>4462</v>
      </c>
      <c r="D376" s="28" t="s">
        <v>4631</v>
      </c>
      <c r="E376" s="19" t="s">
        <v>4626</v>
      </c>
      <c r="F376" s="221" t="s">
        <v>315</v>
      </c>
      <c r="G376" s="221" t="s">
        <v>3715</v>
      </c>
      <c r="H376" s="28" t="s">
        <v>4627</v>
      </c>
      <c r="I376" s="19" t="s">
        <v>4058</v>
      </c>
      <c r="J376" s="28" t="s">
        <v>604</v>
      </c>
      <c r="K376" s="221"/>
      <c r="L376" s="221"/>
      <c r="M376" s="28" t="s">
        <v>604</v>
      </c>
      <c r="N376" s="19" t="s">
        <v>3853</v>
      </c>
      <c r="O376" s="6" t="s">
        <v>604</v>
      </c>
      <c r="P376" s="221" t="s">
        <v>3718</v>
      </c>
      <c r="Q376" s="185" t="n">
        <f aca="false">Calib!E118</f>
        <v>66.6666666666667</v>
      </c>
      <c r="R376" s="174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3752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4632</v>
      </c>
      <c r="B377" s="221" t="s">
        <v>3713</v>
      </c>
      <c r="C377" s="28" t="s">
        <v>4462</v>
      </c>
      <c r="D377" s="28" t="s">
        <v>4633</v>
      </c>
      <c r="E377" s="19" t="s">
        <v>4626</v>
      </c>
      <c r="F377" s="221" t="s">
        <v>315</v>
      </c>
      <c r="G377" s="221" t="s">
        <v>3715</v>
      </c>
      <c r="H377" s="28" t="s">
        <v>4634</v>
      </c>
      <c r="I377" s="19" t="s">
        <v>4058</v>
      </c>
      <c r="J377" s="28" t="s">
        <v>604</v>
      </c>
      <c r="K377" s="221"/>
      <c r="L377" s="221"/>
      <c r="M377" s="28" t="s">
        <v>604</v>
      </c>
      <c r="N377" s="19" t="s">
        <v>3853</v>
      </c>
      <c r="O377" s="6" t="s">
        <v>604</v>
      </c>
      <c r="P377" s="221" t="s">
        <v>3718</v>
      </c>
      <c r="Q377" s="185" t="n">
        <f aca="false">Calib!F118</f>
        <v>12.5</v>
      </c>
      <c r="R377" s="174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3752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4635</v>
      </c>
      <c r="B378" s="221" t="s">
        <v>3713</v>
      </c>
      <c r="C378" s="28" t="s">
        <v>4462</v>
      </c>
      <c r="D378" s="28" t="s">
        <v>4636</v>
      </c>
      <c r="E378" s="19" t="s">
        <v>4637</v>
      </c>
      <c r="F378" s="221" t="s">
        <v>3906</v>
      </c>
      <c r="G378" s="221" t="s">
        <v>3715</v>
      </c>
      <c r="H378" s="28" t="s">
        <v>4312</v>
      </c>
      <c r="I378" s="19" t="s">
        <v>4638</v>
      </c>
      <c r="J378" s="28" t="s">
        <v>604</v>
      </c>
      <c r="K378" s="221"/>
      <c r="L378" s="221"/>
      <c r="M378" s="28" t="s">
        <v>604</v>
      </c>
      <c r="N378" s="19" t="s">
        <v>4639</v>
      </c>
      <c r="O378" s="6" t="s">
        <v>604</v>
      </c>
      <c r="P378" s="221" t="s">
        <v>3718</v>
      </c>
      <c r="Q378" s="31" t="n">
        <f aca="false">Calib!C119</f>
        <v>1</v>
      </c>
      <c r="R378" s="174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3719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4640</v>
      </c>
      <c r="B379" s="221" t="s">
        <v>3713</v>
      </c>
      <c r="C379" s="28" t="s">
        <v>4462</v>
      </c>
      <c r="D379" s="28" t="s">
        <v>4641</v>
      </c>
      <c r="E379" s="19" t="s">
        <v>4637</v>
      </c>
      <c r="F379" s="221" t="s">
        <v>3906</v>
      </c>
      <c r="G379" s="221" t="s">
        <v>3715</v>
      </c>
      <c r="H379" s="28" t="s">
        <v>4312</v>
      </c>
      <c r="I379" s="19" t="s">
        <v>4638</v>
      </c>
      <c r="J379" s="28" t="s">
        <v>604</v>
      </c>
      <c r="K379" s="221"/>
      <c r="L379" s="221"/>
      <c r="M379" s="28" t="s">
        <v>604</v>
      </c>
      <c r="N379" s="19" t="s">
        <v>4639</v>
      </c>
      <c r="O379" s="6" t="s">
        <v>604</v>
      </c>
      <c r="P379" s="221" t="s">
        <v>3718</v>
      </c>
      <c r="Q379" s="31" t="n">
        <f aca="false">Calib!D119</f>
        <v>1</v>
      </c>
      <c r="R379" s="174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3719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4642</v>
      </c>
      <c r="B380" s="221" t="s">
        <v>3713</v>
      </c>
      <c r="C380" s="28" t="s">
        <v>4462</v>
      </c>
      <c r="D380" s="28" t="s">
        <v>4643</v>
      </c>
      <c r="E380" s="19" t="s">
        <v>4637</v>
      </c>
      <c r="F380" s="221" t="s">
        <v>3906</v>
      </c>
      <c r="G380" s="221" t="s">
        <v>3715</v>
      </c>
      <c r="H380" s="28" t="s">
        <v>4312</v>
      </c>
      <c r="I380" s="19" t="s">
        <v>4638</v>
      </c>
      <c r="J380" s="28" t="s">
        <v>604</v>
      </c>
      <c r="K380" s="221"/>
      <c r="L380" s="221"/>
      <c r="M380" s="28" t="s">
        <v>604</v>
      </c>
      <c r="N380" s="19" t="s">
        <v>4639</v>
      </c>
      <c r="O380" s="6" t="s">
        <v>604</v>
      </c>
      <c r="P380" s="221" t="s">
        <v>3718</v>
      </c>
      <c r="Q380" s="31" t="n">
        <f aca="false">Calib!E119</f>
        <v>1</v>
      </c>
      <c r="R380" s="174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3719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4644</v>
      </c>
      <c r="B381" s="221" t="s">
        <v>3713</v>
      </c>
      <c r="C381" s="28" t="s">
        <v>4462</v>
      </c>
      <c r="D381" s="28" t="s">
        <v>4645</v>
      </c>
      <c r="E381" s="19" t="s">
        <v>4637</v>
      </c>
      <c r="F381" s="221" t="s">
        <v>3906</v>
      </c>
      <c r="G381" s="221" t="s">
        <v>3715</v>
      </c>
      <c r="H381" s="28" t="s">
        <v>4312</v>
      </c>
      <c r="I381" s="19" t="s">
        <v>4646</v>
      </c>
      <c r="J381" s="28" t="s">
        <v>604</v>
      </c>
      <c r="K381" s="221"/>
      <c r="L381" s="221"/>
      <c r="M381" s="28" t="s">
        <v>604</v>
      </c>
      <c r="N381" s="19" t="s">
        <v>4647</v>
      </c>
      <c r="O381" s="6" t="s">
        <v>604</v>
      </c>
      <c r="P381" s="221" t="s">
        <v>3718</v>
      </c>
      <c r="Q381" s="31" t="n">
        <f aca="false">Calib!F119</f>
        <v>0</v>
      </c>
      <c r="R381" s="174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3719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4648</v>
      </c>
      <c r="B382" s="221" t="s">
        <v>3713</v>
      </c>
      <c r="C382" s="28" t="s">
        <v>4462</v>
      </c>
      <c r="D382" s="28" t="s">
        <v>4649</v>
      </c>
      <c r="E382" s="6" t="s">
        <v>555</v>
      </c>
      <c r="F382" s="221" t="s">
        <v>315</v>
      </c>
      <c r="G382" s="221" t="s">
        <v>3715</v>
      </c>
      <c r="H382" s="28" t="s">
        <v>4650</v>
      </c>
      <c r="I382" s="19" t="s">
        <v>4058</v>
      </c>
      <c r="J382" s="28" t="s">
        <v>604</v>
      </c>
      <c r="K382" s="221"/>
      <c r="L382" s="221"/>
      <c r="M382" s="28" t="s">
        <v>604</v>
      </c>
      <c r="N382" s="19" t="s">
        <v>3853</v>
      </c>
      <c r="O382" s="6" t="s">
        <v>604</v>
      </c>
      <c r="P382" s="221" t="s">
        <v>3718</v>
      </c>
      <c r="Q382" s="46" t="n">
        <f aca="false">Calib!C120</f>
        <v>3520.91666666667</v>
      </c>
      <c r="R382" s="174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3752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4651</v>
      </c>
      <c r="B383" s="221" t="s">
        <v>3713</v>
      </c>
      <c r="C383" s="28" t="s">
        <v>4462</v>
      </c>
      <c r="D383" s="28" t="s">
        <v>4652</v>
      </c>
      <c r="E383" s="6" t="s">
        <v>555</v>
      </c>
      <c r="F383" s="221" t="s">
        <v>315</v>
      </c>
      <c r="G383" s="221" t="s">
        <v>3715</v>
      </c>
      <c r="H383" s="28" t="s">
        <v>4653</v>
      </c>
      <c r="I383" s="19" t="s">
        <v>4058</v>
      </c>
      <c r="J383" s="28" t="s">
        <v>604</v>
      </c>
      <c r="K383" s="221"/>
      <c r="L383" s="221"/>
      <c r="M383" s="28" t="s">
        <v>604</v>
      </c>
      <c r="N383" s="19" t="s">
        <v>3853</v>
      </c>
      <c r="O383" s="6" t="s">
        <v>604</v>
      </c>
      <c r="P383" s="221" t="s">
        <v>3718</v>
      </c>
      <c r="Q383" s="46" t="n">
        <f aca="false">Calib!D120</f>
        <v>3337.75</v>
      </c>
      <c r="R383" s="174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3752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4654</v>
      </c>
      <c r="B384" s="221" t="s">
        <v>3713</v>
      </c>
      <c r="C384" s="28" t="s">
        <v>4462</v>
      </c>
      <c r="D384" s="28" t="s">
        <v>4655</v>
      </c>
      <c r="E384" s="6" t="s">
        <v>555</v>
      </c>
      <c r="F384" s="221" t="s">
        <v>315</v>
      </c>
      <c r="G384" s="221" t="s">
        <v>3715</v>
      </c>
      <c r="H384" s="28" t="s">
        <v>4656</v>
      </c>
      <c r="I384" s="19" t="s">
        <v>4058</v>
      </c>
      <c r="J384" s="28" t="s">
        <v>604</v>
      </c>
      <c r="K384" s="221"/>
      <c r="L384" s="221"/>
      <c r="M384" s="28" t="s">
        <v>604</v>
      </c>
      <c r="N384" s="19" t="s">
        <v>3853</v>
      </c>
      <c r="O384" s="6" t="s">
        <v>604</v>
      </c>
      <c r="P384" s="221" t="s">
        <v>3718</v>
      </c>
      <c r="Q384" s="46" t="n">
        <f aca="false">Calib!E120</f>
        <v>9065.97222222222</v>
      </c>
      <c r="R384" s="174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3752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4657</v>
      </c>
      <c r="B385" s="221" t="s">
        <v>3713</v>
      </c>
      <c r="C385" s="28" t="s">
        <v>4462</v>
      </c>
      <c r="D385" s="28" t="s">
        <v>4658</v>
      </c>
      <c r="E385" s="6" t="s">
        <v>555</v>
      </c>
      <c r="F385" s="221" t="s">
        <v>315</v>
      </c>
      <c r="G385" s="221" t="s">
        <v>3715</v>
      </c>
      <c r="H385" s="28" t="s">
        <v>4659</v>
      </c>
      <c r="I385" s="19" t="s">
        <v>3750</v>
      </c>
      <c r="J385" s="28" t="s">
        <v>604</v>
      </c>
      <c r="K385" s="221"/>
      <c r="L385" s="221"/>
      <c r="M385" s="28" t="s">
        <v>604</v>
      </c>
      <c r="N385" s="19" t="s">
        <v>3853</v>
      </c>
      <c r="O385" s="6" t="s">
        <v>604</v>
      </c>
      <c r="P385" s="221" t="s">
        <v>3718</v>
      </c>
      <c r="Q385" s="46" t="n">
        <f aca="false">Calib!F120</f>
        <v>8064</v>
      </c>
      <c r="R385" s="174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3752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4660</v>
      </c>
      <c r="B386" s="221" t="s">
        <v>3713</v>
      </c>
      <c r="C386" s="28" t="s">
        <v>4661</v>
      </c>
      <c r="D386" s="28" t="s">
        <v>4374</v>
      </c>
      <c r="E386" s="6" t="s">
        <v>3305</v>
      </c>
      <c r="F386" s="28" t="s">
        <v>90</v>
      </c>
      <c r="G386" s="221" t="s">
        <v>3715</v>
      </c>
      <c r="H386" s="28" t="s">
        <v>604</v>
      </c>
      <c r="I386" s="6" t="s">
        <v>604</v>
      </c>
      <c r="J386" s="28" t="s">
        <v>604</v>
      </c>
      <c r="K386" s="223" t="n">
        <v>0.4</v>
      </c>
      <c r="L386" s="223" t="n">
        <v>0.8</v>
      </c>
      <c r="M386" s="28" t="s">
        <v>4662</v>
      </c>
      <c r="N386" s="222" t="str">
        <f aca="false">Energy!$F$5</f>
        <v>Assumed：pJ/FLOP＝GPU 功率 × 此比例 ÷ 峰值（滿載上限口徑），區間 0.4–0.8</v>
      </c>
      <c r="O386" s="6" t="s">
        <v>604</v>
      </c>
      <c r="P386" s="221" t="s">
        <v>3718</v>
      </c>
      <c r="Q386" s="184" t="n">
        <f aca="false">Energy!C5</f>
        <v>0.6</v>
      </c>
      <c r="R386" s="28" t="s">
        <v>604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3719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4663</v>
      </c>
      <c r="B387" s="221" t="s">
        <v>3713</v>
      </c>
      <c r="C387" s="28" t="s">
        <v>4661</v>
      </c>
      <c r="D387" s="28" t="s">
        <v>3878</v>
      </c>
      <c r="E387" s="6" t="s">
        <v>3307</v>
      </c>
      <c r="F387" s="28" t="s">
        <v>94</v>
      </c>
      <c r="G387" s="221" t="s">
        <v>3715</v>
      </c>
      <c r="H387" s="28" t="s">
        <v>4664</v>
      </c>
      <c r="I387" s="19" t="s">
        <v>4665</v>
      </c>
      <c r="J387" s="28" t="s">
        <v>604</v>
      </c>
      <c r="K387" s="223" t="n">
        <v>5</v>
      </c>
      <c r="L387" s="223" t="n">
        <v>20</v>
      </c>
      <c r="M387" s="28" t="s">
        <v>4666</v>
      </c>
      <c r="N387" s="222" t="str">
        <f aca="false">Energy!$F$6</f>
        <v>Analogy：SerDes＋交換約 1–2 pJ/bit；區間 5–20</v>
      </c>
      <c r="O387" s="6" t="s">
        <v>604</v>
      </c>
      <c r="P387" s="221" t="s">
        <v>3718</v>
      </c>
      <c r="Q387" s="31" t="n">
        <f aca="false">Energy!C6</f>
        <v>10</v>
      </c>
      <c r="R387" s="174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3719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4667</v>
      </c>
      <c r="B388" s="221" t="s">
        <v>3713</v>
      </c>
      <c r="C388" s="28" t="s">
        <v>4661</v>
      </c>
      <c r="D388" s="28" t="s">
        <v>4205</v>
      </c>
      <c r="E388" s="6" t="s">
        <v>3310</v>
      </c>
      <c r="F388" s="28" t="s">
        <v>90</v>
      </c>
      <c r="G388" s="221" t="s">
        <v>3715</v>
      </c>
      <c r="H388" s="28" t="s">
        <v>604</v>
      </c>
      <c r="I388" s="6" t="s">
        <v>604</v>
      </c>
      <c r="J388" s="28" t="s">
        <v>604</v>
      </c>
      <c r="K388" s="223" t="n">
        <v>20</v>
      </c>
      <c r="L388" s="223" t="n">
        <v>80</v>
      </c>
      <c r="M388" s="28" t="s">
        <v>4668</v>
      </c>
      <c r="N388" s="222" t="str">
        <f aca="false">Energy!$F$7</f>
        <v>Analogy：含光模組與網卡；區間 20–80</v>
      </c>
      <c r="O388" s="6" t="s">
        <v>4113</v>
      </c>
      <c r="P388" s="221" t="s">
        <v>3718</v>
      </c>
      <c r="Q388" s="31" t="n">
        <f aca="false">Energy!C7</f>
        <v>40</v>
      </c>
      <c r="R388" s="28" t="s">
        <v>604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3719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4669</v>
      </c>
      <c r="B389" s="221" t="s">
        <v>3713</v>
      </c>
      <c r="C389" s="28" t="s">
        <v>4670</v>
      </c>
      <c r="D389" s="28" t="s">
        <v>4374</v>
      </c>
      <c r="E389" s="6" t="s">
        <v>3324</v>
      </c>
      <c r="F389" s="28" t="s">
        <v>90</v>
      </c>
      <c r="G389" s="221" t="s">
        <v>75</v>
      </c>
      <c r="H389" s="28" t="s">
        <v>604</v>
      </c>
      <c r="I389" s="6" t="s">
        <v>604</v>
      </c>
      <c r="J389" s="28" t="s">
        <v>604</v>
      </c>
      <c r="K389" s="182" t="n">
        <f aca="false">NonNV!B5</f>
        <v>0.5</v>
      </c>
      <c r="L389" s="182" t="n">
        <f aca="false">NonNV!D5</f>
        <v>1</v>
      </c>
      <c r="M389" s="28" t="s">
        <v>604</v>
      </c>
      <c r="N389" s="222" t="str">
        <f aca="false">NonNV!$L$5</f>
        <v>MI355X 在 V4-Pro 上 26 天內吞吐提升 110 倍（S20 所屬部落格），軟體成熟度為主要不確定</v>
      </c>
      <c r="O389" s="6" t="s">
        <v>604</v>
      </c>
      <c r="P389" s="221" t="s">
        <v>3718</v>
      </c>
      <c r="Q389" s="182" t="n">
        <f aca="false">NonNV!C5</f>
        <v>0.7</v>
      </c>
      <c r="R389" s="28" t="s">
        <v>604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3719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4671</v>
      </c>
      <c r="B390" s="221" t="s">
        <v>3713</v>
      </c>
      <c r="C390" s="28" t="s">
        <v>4670</v>
      </c>
      <c r="D390" s="28" t="s">
        <v>4382</v>
      </c>
      <c r="E390" s="6" t="s">
        <v>3324</v>
      </c>
      <c r="F390" s="28" t="s">
        <v>90</v>
      </c>
      <c r="G390" s="221" t="s">
        <v>75</v>
      </c>
      <c r="H390" s="28" t="s">
        <v>604</v>
      </c>
      <c r="I390" s="6" t="s">
        <v>604</v>
      </c>
      <c r="J390" s="28" t="s">
        <v>604</v>
      </c>
      <c r="K390" s="182" t="n">
        <f aca="false">NonNV!E5</f>
        <v>0.8</v>
      </c>
      <c r="L390" s="182" t="n">
        <f aca="false">NonNV!G5</f>
        <v>1</v>
      </c>
      <c r="M390" s="28" t="s">
        <v>604</v>
      </c>
      <c r="N390" s="222" t="str">
        <f aca="false">NonNV!$L$5</f>
        <v>MI355X 在 V4-Pro 上 26 天內吞吐提升 110 倍（S20 所屬部落格），軟體成熟度為主要不確定</v>
      </c>
      <c r="O390" s="6" t="s">
        <v>604</v>
      </c>
      <c r="P390" s="221" t="s">
        <v>3718</v>
      </c>
      <c r="Q390" s="182" t="n">
        <f aca="false">NonNV!F5</f>
        <v>0.9</v>
      </c>
      <c r="R390" s="28" t="s">
        <v>604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3719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4672</v>
      </c>
      <c r="B391" s="221" t="s">
        <v>3713</v>
      </c>
      <c r="C391" s="28" t="s">
        <v>4670</v>
      </c>
      <c r="D391" s="28" t="s">
        <v>4673</v>
      </c>
      <c r="E391" s="6" t="s">
        <v>3324</v>
      </c>
      <c r="F391" s="28" t="s">
        <v>90</v>
      </c>
      <c r="G391" s="221" t="s">
        <v>1133</v>
      </c>
      <c r="H391" s="28" t="s">
        <v>604</v>
      </c>
      <c r="I391" s="6" t="s">
        <v>604</v>
      </c>
      <c r="J391" s="28" t="s">
        <v>604</v>
      </c>
      <c r="K391" s="221"/>
      <c r="L391" s="221"/>
      <c r="M391" s="28" t="s">
        <v>604</v>
      </c>
      <c r="N391" s="222" t="str">
        <f aca="false">NonNV!$L$5</f>
        <v>MI355X 在 V4-Pro 上 26 天內吞吐提升 110 倍（S20 所屬部落格），軟體成熟度為主要不確定</v>
      </c>
      <c r="O391" s="6" t="s">
        <v>604</v>
      </c>
      <c r="P391" s="221" t="s">
        <v>3718</v>
      </c>
      <c r="Q391" s="182" t="n">
        <f aca="false">NonNV!B5</f>
        <v>0.5</v>
      </c>
      <c r="R391" s="28" t="s">
        <v>604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3719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4674</v>
      </c>
      <c r="B392" s="221" t="s">
        <v>3713</v>
      </c>
      <c r="C392" s="28" t="s">
        <v>4670</v>
      </c>
      <c r="D392" s="28" t="s">
        <v>4379</v>
      </c>
      <c r="E392" s="6" t="s">
        <v>3324</v>
      </c>
      <c r="F392" s="28" t="s">
        <v>90</v>
      </c>
      <c r="G392" s="221" t="s">
        <v>1134</v>
      </c>
      <c r="H392" s="28" t="s">
        <v>604</v>
      </c>
      <c r="I392" s="6" t="s">
        <v>604</v>
      </c>
      <c r="J392" s="28" t="s">
        <v>604</v>
      </c>
      <c r="K392" s="221"/>
      <c r="L392" s="221"/>
      <c r="M392" s="28" t="s">
        <v>604</v>
      </c>
      <c r="N392" s="222" t="str">
        <f aca="false">NonNV!$L$5</f>
        <v>MI355X 在 V4-Pro 上 26 天內吞吐提升 110 倍（S20 所屬部落格），軟體成熟度為主要不確定</v>
      </c>
      <c r="O392" s="6" t="s">
        <v>604</v>
      </c>
      <c r="P392" s="221" t="s">
        <v>3718</v>
      </c>
      <c r="Q392" s="182" t="n">
        <f aca="false">NonNV!D5</f>
        <v>1</v>
      </c>
      <c r="R392" s="28" t="s">
        <v>604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3719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4675</v>
      </c>
      <c r="B393" s="221" t="s">
        <v>3713</v>
      </c>
      <c r="C393" s="28" t="s">
        <v>4670</v>
      </c>
      <c r="D393" s="28" t="s">
        <v>3571</v>
      </c>
      <c r="E393" s="6" t="s">
        <v>3324</v>
      </c>
      <c r="F393" s="28" t="s">
        <v>90</v>
      </c>
      <c r="G393" s="221" t="s">
        <v>1133</v>
      </c>
      <c r="H393" s="28" t="s">
        <v>604</v>
      </c>
      <c r="I393" s="6" t="s">
        <v>604</v>
      </c>
      <c r="J393" s="28" t="s">
        <v>604</v>
      </c>
      <c r="K393" s="221"/>
      <c r="L393" s="221"/>
      <c r="M393" s="28" t="s">
        <v>604</v>
      </c>
      <c r="N393" s="222" t="str">
        <f aca="false">NonNV!$L$5</f>
        <v>MI355X 在 V4-Pro 上 26 天內吞吐提升 110 倍（S20 所屬部落格），軟體成熟度為主要不確定</v>
      </c>
      <c r="O393" s="6" t="s">
        <v>604</v>
      </c>
      <c r="P393" s="221" t="s">
        <v>3718</v>
      </c>
      <c r="Q393" s="182" t="n">
        <f aca="false">NonNV!E5</f>
        <v>0.8</v>
      </c>
      <c r="R393" s="28" t="s">
        <v>604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3719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4676</v>
      </c>
      <c r="B394" s="221" t="s">
        <v>3713</v>
      </c>
      <c r="C394" s="28" t="s">
        <v>4670</v>
      </c>
      <c r="D394" s="28" t="s">
        <v>4384</v>
      </c>
      <c r="E394" s="6" t="s">
        <v>3324</v>
      </c>
      <c r="F394" s="28" t="s">
        <v>90</v>
      </c>
      <c r="G394" s="221" t="s">
        <v>1134</v>
      </c>
      <c r="H394" s="28" t="s">
        <v>604</v>
      </c>
      <c r="I394" s="6" t="s">
        <v>604</v>
      </c>
      <c r="J394" s="28" t="s">
        <v>604</v>
      </c>
      <c r="K394" s="221"/>
      <c r="L394" s="221"/>
      <c r="M394" s="28" t="s">
        <v>604</v>
      </c>
      <c r="N394" s="222" t="str">
        <f aca="false">NonNV!$L$5</f>
        <v>MI355X 在 V4-Pro 上 26 天內吞吐提升 110 倍（S20 所屬部落格），軟體成熟度為主要不確定</v>
      </c>
      <c r="O394" s="6" t="s">
        <v>604</v>
      </c>
      <c r="P394" s="221" t="s">
        <v>3718</v>
      </c>
      <c r="Q394" s="182" t="n">
        <f aca="false">NonNV!G5</f>
        <v>1</v>
      </c>
      <c r="R394" s="28" t="s">
        <v>604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3719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4677</v>
      </c>
      <c r="B395" s="221" t="s">
        <v>3713</v>
      </c>
      <c r="C395" s="28" t="s">
        <v>4670</v>
      </c>
      <c r="D395" s="28" t="s">
        <v>3878</v>
      </c>
      <c r="E395" s="6" t="s">
        <v>3326</v>
      </c>
      <c r="F395" s="28" t="s">
        <v>90</v>
      </c>
      <c r="G395" s="221" t="s">
        <v>75</v>
      </c>
      <c r="H395" s="28" t="s">
        <v>604</v>
      </c>
      <c r="I395" s="6" t="s">
        <v>604</v>
      </c>
      <c r="J395" s="28" t="s">
        <v>604</v>
      </c>
      <c r="K395" s="182" t="n">
        <f aca="false">NonNV!B6</f>
        <v>0.6</v>
      </c>
      <c r="L395" s="182" t="n">
        <f aca="false">NonNV!D6</f>
        <v>1.1</v>
      </c>
      <c r="M395" s="28" t="s">
        <v>604</v>
      </c>
      <c r="N395" s="222" t="str">
        <f aca="false">NonNV!$L$6</f>
        <v>自用為主，無公開同口徑實測</v>
      </c>
      <c r="O395" s="6" t="s">
        <v>604</v>
      </c>
      <c r="P395" s="221" t="s">
        <v>3718</v>
      </c>
      <c r="Q395" s="182" t="n">
        <f aca="false">NonNV!C6</f>
        <v>0.8</v>
      </c>
      <c r="R395" s="28" t="s">
        <v>604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3719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4678</v>
      </c>
      <c r="B396" s="221" t="s">
        <v>3713</v>
      </c>
      <c r="C396" s="28" t="s">
        <v>4670</v>
      </c>
      <c r="D396" s="28" t="s">
        <v>3886</v>
      </c>
      <c r="E396" s="6" t="s">
        <v>3326</v>
      </c>
      <c r="F396" s="28" t="s">
        <v>90</v>
      </c>
      <c r="G396" s="221" t="s">
        <v>75</v>
      </c>
      <c r="H396" s="28" t="s">
        <v>604</v>
      </c>
      <c r="I396" s="6" t="s">
        <v>604</v>
      </c>
      <c r="J396" s="28" t="s">
        <v>604</v>
      </c>
      <c r="K396" s="182" t="n">
        <f aca="false">NonNV!E6</f>
        <v>0.7</v>
      </c>
      <c r="L396" s="182" t="n">
        <f aca="false">NonNV!G6</f>
        <v>1</v>
      </c>
      <c r="M396" s="28" t="s">
        <v>604</v>
      </c>
      <c r="N396" s="222" t="str">
        <f aca="false">NonNV!$L$6</f>
        <v>自用為主，無公開同口徑實測</v>
      </c>
      <c r="O396" s="6" t="s">
        <v>604</v>
      </c>
      <c r="P396" s="221" t="s">
        <v>3718</v>
      </c>
      <c r="Q396" s="182" t="n">
        <f aca="false">NonNV!F6</f>
        <v>0.8</v>
      </c>
      <c r="R396" s="28" t="s">
        <v>604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3719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4679</v>
      </c>
      <c r="B397" s="221" t="s">
        <v>3713</v>
      </c>
      <c r="C397" s="28" t="s">
        <v>4670</v>
      </c>
      <c r="D397" s="28" t="s">
        <v>4680</v>
      </c>
      <c r="E397" s="6" t="s">
        <v>3326</v>
      </c>
      <c r="F397" s="28" t="s">
        <v>90</v>
      </c>
      <c r="G397" s="221" t="s">
        <v>1133</v>
      </c>
      <c r="H397" s="28" t="s">
        <v>604</v>
      </c>
      <c r="I397" s="6" t="s">
        <v>604</v>
      </c>
      <c r="J397" s="28" t="s">
        <v>604</v>
      </c>
      <c r="K397" s="221"/>
      <c r="L397" s="221"/>
      <c r="M397" s="28" t="s">
        <v>604</v>
      </c>
      <c r="N397" s="222" t="str">
        <f aca="false">NonNV!$L$6</f>
        <v>自用為主，無公開同口徑實測</v>
      </c>
      <c r="O397" s="6" t="s">
        <v>604</v>
      </c>
      <c r="P397" s="221" t="s">
        <v>3718</v>
      </c>
      <c r="Q397" s="182" t="n">
        <f aca="false">NonNV!B6</f>
        <v>0.6</v>
      </c>
      <c r="R397" s="28" t="s">
        <v>604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3719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4681</v>
      </c>
      <c r="B398" s="221" t="s">
        <v>3713</v>
      </c>
      <c r="C398" s="28" t="s">
        <v>4670</v>
      </c>
      <c r="D398" s="28" t="s">
        <v>3882</v>
      </c>
      <c r="E398" s="6" t="s">
        <v>3326</v>
      </c>
      <c r="F398" s="28" t="s">
        <v>90</v>
      </c>
      <c r="G398" s="221" t="s">
        <v>1134</v>
      </c>
      <c r="H398" s="28" t="s">
        <v>604</v>
      </c>
      <c r="I398" s="6" t="s">
        <v>604</v>
      </c>
      <c r="J398" s="28" t="s">
        <v>604</v>
      </c>
      <c r="K398" s="221"/>
      <c r="L398" s="221"/>
      <c r="M398" s="28" t="s">
        <v>604</v>
      </c>
      <c r="N398" s="222" t="str">
        <f aca="false">NonNV!$L$6</f>
        <v>自用為主，無公開同口徑實測</v>
      </c>
      <c r="O398" s="6" t="s">
        <v>604</v>
      </c>
      <c r="P398" s="221" t="s">
        <v>3718</v>
      </c>
      <c r="Q398" s="182" t="n">
        <f aca="false">NonNV!D6</f>
        <v>1.1</v>
      </c>
      <c r="R398" s="28" t="s">
        <v>604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3719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4682</v>
      </c>
      <c r="B399" s="221" t="s">
        <v>3713</v>
      </c>
      <c r="C399" s="28" t="s">
        <v>4670</v>
      </c>
      <c r="D399" s="28" t="s">
        <v>3573</v>
      </c>
      <c r="E399" s="6" t="s">
        <v>3326</v>
      </c>
      <c r="F399" s="28" t="s">
        <v>90</v>
      </c>
      <c r="G399" s="221" t="s">
        <v>1133</v>
      </c>
      <c r="H399" s="28" t="s">
        <v>604</v>
      </c>
      <c r="I399" s="6" t="s">
        <v>604</v>
      </c>
      <c r="J399" s="28" t="s">
        <v>604</v>
      </c>
      <c r="K399" s="221"/>
      <c r="L399" s="221"/>
      <c r="M399" s="28" t="s">
        <v>604</v>
      </c>
      <c r="N399" s="222" t="str">
        <f aca="false">NonNV!$L$6</f>
        <v>自用為主，無公開同口徑實測</v>
      </c>
      <c r="O399" s="6" t="s">
        <v>604</v>
      </c>
      <c r="P399" s="221" t="s">
        <v>3718</v>
      </c>
      <c r="Q399" s="182" t="n">
        <f aca="false">NonNV!E6</f>
        <v>0.7</v>
      </c>
      <c r="R399" s="28" t="s">
        <v>604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3719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4683</v>
      </c>
      <c r="B400" s="221" t="s">
        <v>3713</v>
      </c>
      <c r="C400" s="28" t="s">
        <v>4670</v>
      </c>
      <c r="D400" s="28" t="s">
        <v>3888</v>
      </c>
      <c r="E400" s="6" t="s">
        <v>3326</v>
      </c>
      <c r="F400" s="28" t="s">
        <v>90</v>
      </c>
      <c r="G400" s="221" t="s">
        <v>1134</v>
      </c>
      <c r="H400" s="28" t="s">
        <v>604</v>
      </c>
      <c r="I400" s="6" t="s">
        <v>604</v>
      </c>
      <c r="J400" s="28" t="s">
        <v>604</v>
      </c>
      <c r="K400" s="221"/>
      <c r="L400" s="221"/>
      <c r="M400" s="28" t="s">
        <v>604</v>
      </c>
      <c r="N400" s="222" t="str">
        <f aca="false">NonNV!$L$6</f>
        <v>自用為主，無公開同口徑實測</v>
      </c>
      <c r="O400" s="6" t="s">
        <v>604</v>
      </c>
      <c r="P400" s="221" t="s">
        <v>3718</v>
      </c>
      <c r="Q400" s="182" t="n">
        <f aca="false">NonNV!G6</f>
        <v>1</v>
      </c>
      <c r="R400" s="28" t="s">
        <v>604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3719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4684</v>
      </c>
      <c r="B401" s="221" t="s">
        <v>3713</v>
      </c>
      <c r="C401" s="28" t="s">
        <v>4670</v>
      </c>
      <c r="D401" s="28" t="s">
        <v>4205</v>
      </c>
      <c r="E401" s="6" t="s">
        <v>3328</v>
      </c>
      <c r="F401" s="28" t="s">
        <v>90</v>
      </c>
      <c r="G401" s="221" t="s">
        <v>75</v>
      </c>
      <c r="H401" s="28" t="s">
        <v>604</v>
      </c>
      <c r="I401" s="6" t="s">
        <v>604</v>
      </c>
      <c r="J401" s="28" t="s">
        <v>604</v>
      </c>
      <c r="K401" s="182" t="n">
        <f aca="false">NonNV!B7</f>
        <v>0.3</v>
      </c>
      <c r="L401" s="182" t="n">
        <f aca="false">NonNV!D7</f>
        <v>0.8</v>
      </c>
      <c r="M401" s="28" t="s">
        <v>604</v>
      </c>
      <c r="N401" s="222" t="str">
        <f aca="false">NonNV!$L$7</f>
        <v>OpenAI v0.5 以 2GW Trainium 合約為輸入</v>
      </c>
      <c r="O401" s="6" t="s">
        <v>604</v>
      </c>
      <c r="P401" s="221" t="s">
        <v>3718</v>
      </c>
      <c r="Q401" s="182" t="n">
        <f aca="false">NonNV!C7</f>
        <v>0.5</v>
      </c>
      <c r="R401" s="28" t="s">
        <v>604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3719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4685</v>
      </c>
      <c r="B402" s="221" t="s">
        <v>3713</v>
      </c>
      <c r="C402" s="28" t="s">
        <v>4670</v>
      </c>
      <c r="D402" s="28" t="s">
        <v>4398</v>
      </c>
      <c r="E402" s="6" t="s">
        <v>3328</v>
      </c>
      <c r="F402" s="28" t="s">
        <v>90</v>
      </c>
      <c r="G402" s="221" t="s">
        <v>75</v>
      </c>
      <c r="H402" s="28" t="s">
        <v>604</v>
      </c>
      <c r="I402" s="6" t="s">
        <v>604</v>
      </c>
      <c r="J402" s="28" t="s">
        <v>604</v>
      </c>
      <c r="K402" s="182" t="n">
        <f aca="false">NonNV!E7</f>
        <v>0.6</v>
      </c>
      <c r="L402" s="182" t="n">
        <f aca="false">NonNV!G7</f>
        <v>0.9</v>
      </c>
      <c r="M402" s="28" t="s">
        <v>604</v>
      </c>
      <c r="N402" s="222" t="str">
        <f aca="false">NonNV!$L$7</f>
        <v>OpenAI v0.5 以 2GW Trainium 合約為輸入</v>
      </c>
      <c r="O402" s="6" t="s">
        <v>604</v>
      </c>
      <c r="P402" s="221" t="s">
        <v>3718</v>
      </c>
      <c r="Q402" s="182" t="n">
        <f aca="false">NonNV!F7</f>
        <v>0.7</v>
      </c>
      <c r="R402" s="28" t="s">
        <v>604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3719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4686</v>
      </c>
      <c r="B403" s="221" t="s">
        <v>3713</v>
      </c>
      <c r="C403" s="28" t="s">
        <v>4670</v>
      </c>
      <c r="D403" s="28" t="s">
        <v>4687</v>
      </c>
      <c r="E403" s="6" t="s">
        <v>3328</v>
      </c>
      <c r="F403" s="28" t="s">
        <v>90</v>
      </c>
      <c r="G403" s="221" t="s">
        <v>1133</v>
      </c>
      <c r="H403" s="28" t="s">
        <v>604</v>
      </c>
      <c r="I403" s="6" t="s">
        <v>604</v>
      </c>
      <c r="J403" s="28" t="s">
        <v>604</v>
      </c>
      <c r="K403" s="221"/>
      <c r="L403" s="221"/>
      <c r="M403" s="28" t="s">
        <v>604</v>
      </c>
      <c r="N403" s="222" t="str">
        <f aca="false">NonNV!$L$7</f>
        <v>OpenAI v0.5 以 2GW Trainium 合約為輸入</v>
      </c>
      <c r="O403" s="6" t="s">
        <v>604</v>
      </c>
      <c r="P403" s="221" t="s">
        <v>3718</v>
      </c>
      <c r="Q403" s="182" t="n">
        <f aca="false">NonNV!B7</f>
        <v>0.3</v>
      </c>
      <c r="R403" s="28" t="s">
        <v>604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3719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4688</v>
      </c>
      <c r="B404" s="221" t="s">
        <v>3713</v>
      </c>
      <c r="C404" s="28" t="s">
        <v>4670</v>
      </c>
      <c r="D404" s="28" t="s">
        <v>4208</v>
      </c>
      <c r="E404" s="6" t="s">
        <v>3328</v>
      </c>
      <c r="F404" s="28" t="s">
        <v>90</v>
      </c>
      <c r="G404" s="221" t="s">
        <v>1134</v>
      </c>
      <c r="H404" s="28" t="s">
        <v>604</v>
      </c>
      <c r="I404" s="6" t="s">
        <v>604</v>
      </c>
      <c r="J404" s="28" t="s">
        <v>604</v>
      </c>
      <c r="K404" s="221"/>
      <c r="L404" s="221"/>
      <c r="M404" s="28" t="s">
        <v>604</v>
      </c>
      <c r="N404" s="222" t="str">
        <f aca="false">NonNV!$L$7</f>
        <v>OpenAI v0.5 以 2GW Trainium 合約為輸入</v>
      </c>
      <c r="O404" s="6" t="s">
        <v>604</v>
      </c>
      <c r="P404" s="221" t="s">
        <v>3718</v>
      </c>
      <c r="Q404" s="182" t="n">
        <f aca="false">NonNV!D7</f>
        <v>0.8</v>
      </c>
      <c r="R404" s="28" t="s">
        <v>604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3719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4689</v>
      </c>
      <c r="B405" s="221" t="s">
        <v>3713</v>
      </c>
      <c r="C405" s="28" t="s">
        <v>4670</v>
      </c>
      <c r="D405" s="28" t="s">
        <v>3576</v>
      </c>
      <c r="E405" s="6" t="s">
        <v>3328</v>
      </c>
      <c r="F405" s="28" t="s">
        <v>90</v>
      </c>
      <c r="G405" s="221" t="s">
        <v>1133</v>
      </c>
      <c r="H405" s="28" t="s">
        <v>604</v>
      </c>
      <c r="I405" s="6" t="s">
        <v>604</v>
      </c>
      <c r="J405" s="28" t="s">
        <v>604</v>
      </c>
      <c r="K405" s="221"/>
      <c r="L405" s="221"/>
      <c r="M405" s="28" t="s">
        <v>604</v>
      </c>
      <c r="N405" s="222" t="str">
        <f aca="false">NonNV!$L$7</f>
        <v>OpenAI v0.5 以 2GW Trainium 合約為輸入</v>
      </c>
      <c r="O405" s="6" t="s">
        <v>604</v>
      </c>
      <c r="P405" s="221" t="s">
        <v>3718</v>
      </c>
      <c r="Q405" s="182" t="n">
        <f aca="false">NonNV!E7</f>
        <v>0.6</v>
      </c>
      <c r="R405" s="28" t="s">
        <v>604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3719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4690</v>
      </c>
      <c r="B406" s="221" t="s">
        <v>3713</v>
      </c>
      <c r="C406" s="28" t="s">
        <v>4670</v>
      </c>
      <c r="D406" s="28" t="s">
        <v>4400</v>
      </c>
      <c r="E406" s="6" t="s">
        <v>3328</v>
      </c>
      <c r="F406" s="28" t="s">
        <v>90</v>
      </c>
      <c r="G406" s="221" t="s">
        <v>1134</v>
      </c>
      <c r="H406" s="28" t="s">
        <v>604</v>
      </c>
      <c r="I406" s="6" t="s">
        <v>604</v>
      </c>
      <c r="J406" s="28" t="s">
        <v>604</v>
      </c>
      <c r="K406" s="221"/>
      <c r="L406" s="221"/>
      <c r="M406" s="28" t="s">
        <v>604</v>
      </c>
      <c r="N406" s="222" t="str">
        <f aca="false">NonNV!$L$7</f>
        <v>OpenAI v0.5 以 2GW Trainium 合約為輸入</v>
      </c>
      <c r="O406" s="6" t="s">
        <v>604</v>
      </c>
      <c r="P406" s="221" t="s">
        <v>3718</v>
      </c>
      <c r="Q406" s="182" t="n">
        <f aca="false">NonNV!G7</f>
        <v>0.9</v>
      </c>
      <c r="R406" s="28" t="s">
        <v>604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3719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4691</v>
      </c>
      <c r="B407" s="221" t="s">
        <v>3713</v>
      </c>
      <c r="C407" s="28" t="s">
        <v>4670</v>
      </c>
      <c r="D407" s="28" t="s">
        <v>3891</v>
      </c>
      <c r="E407" s="6" t="s">
        <v>3330</v>
      </c>
      <c r="F407" s="28" t="s">
        <v>90</v>
      </c>
      <c r="G407" s="221" t="s">
        <v>75</v>
      </c>
      <c r="H407" s="28" t="s">
        <v>604</v>
      </c>
      <c r="I407" s="6" t="s">
        <v>604</v>
      </c>
      <c r="J407" s="28" t="s">
        <v>604</v>
      </c>
      <c r="K407" s="182" t="n">
        <f aca="false">NonNV!B8</f>
        <v>0.2</v>
      </c>
      <c r="L407" s="182" t="n">
        <f aca="false">NonNV!D8</f>
        <v>0.8</v>
      </c>
      <c r="M407" s="28" t="s">
        <v>604</v>
      </c>
      <c r="N407" s="222" t="str">
        <f aca="false">NonNV!$L$8</f>
        <v>高互動性利基；每 GW 吞吐低、單用戶速度高</v>
      </c>
      <c r="O407" s="6" t="s">
        <v>604</v>
      </c>
      <c r="P407" s="221" t="s">
        <v>3718</v>
      </c>
      <c r="Q407" s="182" t="n">
        <f aca="false">NonNV!C8</f>
        <v>0.4</v>
      </c>
      <c r="R407" s="28" t="s">
        <v>604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3719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4692</v>
      </c>
      <c r="B408" s="221" t="s">
        <v>3713</v>
      </c>
      <c r="C408" s="28" t="s">
        <v>4670</v>
      </c>
      <c r="D408" s="28" t="s">
        <v>3899</v>
      </c>
      <c r="E408" s="6" t="s">
        <v>3330</v>
      </c>
      <c r="F408" s="28" t="s">
        <v>90</v>
      </c>
      <c r="G408" s="221" t="s">
        <v>75</v>
      </c>
      <c r="H408" s="28" t="s">
        <v>604</v>
      </c>
      <c r="I408" s="6" t="s">
        <v>604</v>
      </c>
      <c r="J408" s="28" t="s">
        <v>604</v>
      </c>
      <c r="K408" s="182" t="n">
        <f aca="false">NonNV!E8</f>
        <v>0.8</v>
      </c>
      <c r="L408" s="182" t="n">
        <f aca="false">NonNV!G8</f>
        <v>1.2</v>
      </c>
      <c r="M408" s="28" t="s">
        <v>604</v>
      </c>
      <c r="N408" s="222" t="str">
        <f aca="false">NonNV!$L$8</f>
        <v>高互動性利基；每 GW 吞吐低、單用戶速度高</v>
      </c>
      <c r="O408" s="6" t="s">
        <v>604</v>
      </c>
      <c r="P408" s="221" t="s">
        <v>3718</v>
      </c>
      <c r="Q408" s="182" t="n">
        <f aca="false">NonNV!F8</f>
        <v>1</v>
      </c>
      <c r="R408" s="28" t="s">
        <v>604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3719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4693</v>
      </c>
      <c r="B409" s="221" t="s">
        <v>3713</v>
      </c>
      <c r="C409" s="28" t="s">
        <v>4670</v>
      </c>
      <c r="D409" s="28" t="s">
        <v>4694</v>
      </c>
      <c r="E409" s="6" t="s">
        <v>3330</v>
      </c>
      <c r="F409" s="28" t="s">
        <v>90</v>
      </c>
      <c r="G409" s="221" t="s">
        <v>1133</v>
      </c>
      <c r="H409" s="28" t="s">
        <v>604</v>
      </c>
      <c r="I409" s="6" t="s">
        <v>604</v>
      </c>
      <c r="J409" s="28" t="s">
        <v>604</v>
      </c>
      <c r="K409" s="221"/>
      <c r="L409" s="221"/>
      <c r="M409" s="28" t="s">
        <v>604</v>
      </c>
      <c r="N409" s="222" t="str">
        <f aca="false">NonNV!$L$8</f>
        <v>高互動性利基；每 GW 吞吐低、單用戶速度高</v>
      </c>
      <c r="O409" s="6" t="s">
        <v>604</v>
      </c>
      <c r="P409" s="221" t="s">
        <v>3718</v>
      </c>
      <c r="Q409" s="182" t="n">
        <f aca="false">NonNV!B8</f>
        <v>0.2</v>
      </c>
      <c r="R409" s="28" t="s">
        <v>604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3719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4695</v>
      </c>
      <c r="B410" s="221" t="s">
        <v>3713</v>
      </c>
      <c r="C410" s="28" t="s">
        <v>4670</v>
      </c>
      <c r="D410" s="28" t="s">
        <v>3894</v>
      </c>
      <c r="E410" s="6" t="s">
        <v>3330</v>
      </c>
      <c r="F410" s="28" t="s">
        <v>90</v>
      </c>
      <c r="G410" s="221" t="s">
        <v>1134</v>
      </c>
      <c r="H410" s="28" t="s">
        <v>604</v>
      </c>
      <c r="I410" s="6" t="s">
        <v>604</v>
      </c>
      <c r="J410" s="28" t="s">
        <v>604</v>
      </c>
      <c r="K410" s="221"/>
      <c r="L410" s="221"/>
      <c r="M410" s="28" t="s">
        <v>604</v>
      </c>
      <c r="N410" s="222" t="str">
        <f aca="false">NonNV!$L$8</f>
        <v>高互動性利基；每 GW 吞吐低、單用戶速度高</v>
      </c>
      <c r="O410" s="6" t="s">
        <v>604</v>
      </c>
      <c r="P410" s="221" t="s">
        <v>3718</v>
      </c>
      <c r="Q410" s="182" t="n">
        <f aca="false">NonNV!D8</f>
        <v>0.8</v>
      </c>
      <c r="R410" s="28" t="s">
        <v>604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3719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4696</v>
      </c>
      <c r="B411" s="221" t="s">
        <v>3713</v>
      </c>
      <c r="C411" s="28" t="s">
        <v>4670</v>
      </c>
      <c r="D411" s="28" t="s">
        <v>3579</v>
      </c>
      <c r="E411" s="6" t="s">
        <v>3330</v>
      </c>
      <c r="F411" s="28" t="s">
        <v>90</v>
      </c>
      <c r="G411" s="221" t="s">
        <v>1133</v>
      </c>
      <c r="H411" s="28" t="s">
        <v>604</v>
      </c>
      <c r="I411" s="6" t="s">
        <v>604</v>
      </c>
      <c r="J411" s="28" t="s">
        <v>604</v>
      </c>
      <c r="K411" s="221"/>
      <c r="L411" s="221"/>
      <c r="M411" s="28" t="s">
        <v>604</v>
      </c>
      <c r="N411" s="222" t="str">
        <f aca="false">NonNV!$L$8</f>
        <v>高互動性利基；每 GW 吞吐低、單用戶速度高</v>
      </c>
      <c r="O411" s="6" t="s">
        <v>604</v>
      </c>
      <c r="P411" s="221" t="s">
        <v>3718</v>
      </c>
      <c r="Q411" s="182" t="n">
        <f aca="false">NonNV!E8</f>
        <v>0.8</v>
      </c>
      <c r="R411" s="28" t="s">
        <v>604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3719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4697</v>
      </c>
      <c r="B412" s="221" t="s">
        <v>3713</v>
      </c>
      <c r="C412" s="28" t="s">
        <v>4670</v>
      </c>
      <c r="D412" s="28" t="s">
        <v>3902</v>
      </c>
      <c r="E412" s="6" t="s">
        <v>3330</v>
      </c>
      <c r="F412" s="28" t="s">
        <v>90</v>
      </c>
      <c r="G412" s="221" t="s">
        <v>1134</v>
      </c>
      <c r="H412" s="28" t="s">
        <v>604</v>
      </c>
      <c r="I412" s="6" t="s">
        <v>604</v>
      </c>
      <c r="J412" s="28" t="s">
        <v>604</v>
      </c>
      <c r="K412" s="221"/>
      <c r="L412" s="221"/>
      <c r="M412" s="28" t="s">
        <v>604</v>
      </c>
      <c r="N412" s="222" t="str">
        <f aca="false">NonNV!$L$8</f>
        <v>高互動性利基；每 GW 吞吐低、單用戶速度高</v>
      </c>
      <c r="O412" s="6" t="s">
        <v>604</v>
      </c>
      <c r="P412" s="221" t="s">
        <v>3718</v>
      </c>
      <c r="Q412" s="182" t="n">
        <f aca="false">NonNV!G8</f>
        <v>1.2</v>
      </c>
      <c r="R412" s="28" t="s">
        <v>604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3719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4698</v>
      </c>
      <c r="B413" s="221" t="s">
        <v>3713</v>
      </c>
      <c r="C413" s="28" t="s">
        <v>4670</v>
      </c>
      <c r="D413" s="28" t="s">
        <v>3905</v>
      </c>
      <c r="E413" s="6" t="s">
        <v>3332</v>
      </c>
      <c r="F413" s="28" t="s">
        <v>90</v>
      </c>
      <c r="G413" s="221" t="s">
        <v>75</v>
      </c>
      <c r="H413" s="28" t="s">
        <v>604</v>
      </c>
      <c r="I413" s="6" t="s">
        <v>604</v>
      </c>
      <c r="J413" s="28" t="s">
        <v>604</v>
      </c>
      <c r="K413" s="182" t="n">
        <f aca="false">NonNV!B9</f>
        <v>0.4</v>
      </c>
      <c r="L413" s="182" t="n">
        <f aca="false">NonNV!D9</f>
        <v>0.9</v>
      </c>
      <c r="M413" s="28" t="s">
        <v>604</v>
      </c>
      <c r="N413" s="222" t="str">
        <f aca="false">NonNV!$L$9</f>
        <v>無公開規格；沿用 v0.5「自研／其他 0.6（0.4–1.0）」</v>
      </c>
      <c r="O413" s="6" t="s">
        <v>604</v>
      </c>
      <c r="P413" s="221" t="s">
        <v>3718</v>
      </c>
      <c r="Q413" s="182" t="n">
        <f aca="false">NonNV!C9</f>
        <v>0.6</v>
      </c>
      <c r="R413" s="28" t="s">
        <v>604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3719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4699</v>
      </c>
      <c r="B414" s="221" t="s">
        <v>3713</v>
      </c>
      <c r="C414" s="28" t="s">
        <v>4670</v>
      </c>
      <c r="D414" s="28" t="s">
        <v>3730</v>
      </c>
      <c r="E414" s="6" t="s">
        <v>3332</v>
      </c>
      <c r="F414" s="28" t="s">
        <v>90</v>
      </c>
      <c r="G414" s="221" t="s">
        <v>75</v>
      </c>
      <c r="H414" s="28" t="s">
        <v>604</v>
      </c>
      <c r="I414" s="6" t="s">
        <v>604</v>
      </c>
      <c r="J414" s="28" t="s">
        <v>604</v>
      </c>
      <c r="K414" s="182" t="n">
        <f aca="false">NonNV!E9</f>
        <v>0.7</v>
      </c>
      <c r="L414" s="182" t="n">
        <f aca="false">NonNV!G9</f>
        <v>1</v>
      </c>
      <c r="M414" s="28" t="s">
        <v>604</v>
      </c>
      <c r="N414" s="222" t="str">
        <f aca="false">NonNV!$L$9</f>
        <v>無公開規格；沿用 v0.5「自研／其他 0.6（0.4–1.0）」</v>
      </c>
      <c r="O414" s="6" t="s">
        <v>604</v>
      </c>
      <c r="P414" s="221" t="s">
        <v>3718</v>
      </c>
      <c r="Q414" s="182" t="n">
        <f aca="false">NonNV!F9</f>
        <v>0.8</v>
      </c>
      <c r="R414" s="28" t="s">
        <v>604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3719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4700</v>
      </c>
      <c r="B415" s="221" t="s">
        <v>3713</v>
      </c>
      <c r="C415" s="28" t="s">
        <v>4670</v>
      </c>
      <c r="D415" s="28" t="s">
        <v>4701</v>
      </c>
      <c r="E415" s="6" t="s">
        <v>3332</v>
      </c>
      <c r="F415" s="28" t="s">
        <v>90</v>
      </c>
      <c r="G415" s="221" t="s">
        <v>1133</v>
      </c>
      <c r="H415" s="28" t="s">
        <v>604</v>
      </c>
      <c r="I415" s="6" t="s">
        <v>604</v>
      </c>
      <c r="J415" s="28" t="s">
        <v>604</v>
      </c>
      <c r="K415" s="221"/>
      <c r="L415" s="221"/>
      <c r="M415" s="28" t="s">
        <v>604</v>
      </c>
      <c r="N415" s="222" t="str">
        <f aca="false">NonNV!$L$9</f>
        <v>無公開規格；沿用 v0.5「自研／其他 0.6（0.4–1.0）」</v>
      </c>
      <c r="O415" s="6" t="s">
        <v>604</v>
      </c>
      <c r="P415" s="221" t="s">
        <v>3718</v>
      </c>
      <c r="Q415" s="182" t="n">
        <f aca="false">NonNV!B9</f>
        <v>0.4</v>
      </c>
      <c r="R415" s="28" t="s">
        <v>604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3719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4702</v>
      </c>
      <c r="B416" s="221" t="s">
        <v>3713</v>
      </c>
      <c r="C416" s="28" t="s">
        <v>4670</v>
      </c>
      <c r="D416" s="28" t="s">
        <v>3728</v>
      </c>
      <c r="E416" s="6" t="s">
        <v>3332</v>
      </c>
      <c r="F416" s="28" t="s">
        <v>90</v>
      </c>
      <c r="G416" s="221" t="s">
        <v>1134</v>
      </c>
      <c r="H416" s="28" t="s">
        <v>604</v>
      </c>
      <c r="I416" s="6" t="s">
        <v>604</v>
      </c>
      <c r="J416" s="28" t="s">
        <v>604</v>
      </c>
      <c r="K416" s="221"/>
      <c r="L416" s="221"/>
      <c r="M416" s="28" t="s">
        <v>604</v>
      </c>
      <c r="N416" s="222" t="str">
        <f aca="false">NonNV!$L$9</f>
        <v>無公開規格；沿用 v0.5「自研／其他 0.6（0.4–1.0）」</v>
      </c>
      <c r="O416" s="6" t="s">
        <v>604</v>
      </c>
      <c r="P416" s="221" t="s">
        <v>3718</v>
      </c>
      <c r="Q416" s="182" t="n">
        <f aca="false">NonNV!D9</f>
        <v>0.9</v>
      </c>
      <c r="R416" s="28" t="s">
        <v>604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3719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4703</v>
      </c>
      <c r="B417" s="221" t="s">
        <v>3713</v>
      </c>
      <c r="C417" s="28" t="s">
        <v>4670</v>
      </c>
      <c r="D417" s="28" t="s">
        <v>3582</v>
      </c>
      <c r="E417" s="6" t="s">
        <v>3332</v>
      </c>
      <c r="F417" s="28" t="s">
        <v>90</v>
      </c>
      <c r="G417" s="221" t="s">
        <v>1133</v>
      </c>
      <c r="H417" s="28" t="s">
        <v>604</v>
      </c>
      <c r="I417" s="6" t="s">
        <v>604</v>
      </c>
      <c r="J417" s="28" t="s">
        <v>604</v>
      </c>
      <c r="K417" s="221"/>
      <c r="L417" s="221"/>
      <c r="M417" s="28" t="s">
        <v>604</v>
      </c>
      <c r="N417" s="222" t="str">
        <f aca="false">NonNV!$L$9</f>
        <v>無公開規格；沿用 v0.5「自研／其他 0.6（0.4–1.0）」</v>
      </c>
      <c r="O417" s="6" t="s">
        <v>604</v>
      </c>
      <c r="P417" s="221" t="s">
        <v>3718</v>
      </c>
      <c r="Q417" s="182" t="n">
        <f aca="false">NonNV!E9</f>
        <v>0.7</v>
      </c>
      <c r="R417" s="28" t="s">
        <v>604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3719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4704</v>
      </c>
      <c r="B418" s="221" t="s">
        <v>3713</v>
      </c>
      <c r="C418" s="28" t="s">
        <v>4670</v>
      </c>
      <c r="D418" s="28" t="s">
        <v>3920</v>
      </c>
      <c r="E418" s="6" t="s">
        <v>3332</v>
      </c>
      <c r="F418" s="28" t="s">
        <v>90</v>
      </c>
      <c r="G418" s="221" t="s">
        <v>1134</v>
      </c>
      <c r="H418" s="28" t="s">
        <v>604</v>
      </c>
      <c r="I418" s="6" t="s">
        <v>604</v>
      </c>
      <c r="J418" s="28" t="s">
        <v>604</v>
      </c>
      <c r="K418" s="221"/>
      <c r="L418" s="221"/>
      <c r="M418" s="28" t="s">
        <v>604</v>
      </c>
      <c r="N418" s="222" t="str">
        <f aca="false">NonNV!$L$9</f>
        <v>無公開規格；沿用 v0.5「自研／其他 0.6（0.4–1.0）」</v>
      </c>
      <c r="O418" s="6" t="s">
        <v>604</v>
      </c>
      <c r="P418" s="221" t="s">
        <v>3718</v>
      </c>
      <c r="Q418" s="182" t="n">
        <f aca="false">NonNV!G9</f>
        <v>1</v>
      </c>
      <c r="R418" s="28" t="s">
        <v>604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3719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4705</v>
      </c>
      <c r="B419" s="221" t="s">
        <v>3713</v>
      </c>
      <c r="C419" s="28" t="s">
        <v>4706</v>
      </c>
      <c r="D419" s="28" t="s">
        <v>4707</v>
      </c>
      <c r="E419" s="19" t="s">
        <v>436</v>
      </c>
      <c r="F419" s="221" t="s">
        <v>4468</v>
      </c>
      <c r="G419" s="221" t="s">
        <v>4469</v>
      </c>
      <c r="H419" s="28" t="s">
        <v>604</v>
      </c>
      <c r="I419" s="6" t="s">
        <v>604</v>
      </c>
      <c r="J419" s="28" t="s">
        <v>604</v>
      </c>
      <c r="K419" s="221"/>
      <c r="L419" s="221"/>
      <c r="M419" s="28" t="s">
        <v>604</v>
      </c>
      <c r="N419" s="19" t="s">
        <v>4708</v>
      </c>
      <c r="O419" s="6" t="s">
        <v>604</v>
      </c>
      <c r="P419" s="28" t="s">
        <v>604</v>
      </c>
      <c r="Q419" s="174" t="s">
        <v>604</v>
      </c>
      <c r="R419" s="28" t="s">
        <v>604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604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4709</v>
      </c>
      <c r="B420" s="221" t="s">
        <v>3713</v>
      </c>
      <c r="C420" s="28" t="s">
        <v>4706</v>
      </c>
      <c r="D420" s="28" t="s">
        <v>4710</v>
      </c>
      <c r="E420" s="19" t="s">
        <v>707</v>
      </c>
      <c r="F420" s="221" t="s">
        <v>4468</v>
      </c>
      <c r="G420" s="221" t="s">
        <v>4469</v>
      </c>
      <c r="H420" s="28" t="s">
        <v>604</v>
      </c>
      <c r="I420" s="6" t="s">
        <v>604</v>
      </c>
      <c r="J420" s="28" t="s">
        <v>604</v>
      </c>
      <c r="K420" s="221"/>
      <c r="L420" s="221"/>
      <c r="M420" s="28" t="s">
        <v>604</v>
      </c>
      <c r="N420" s="19" t="s">
        <v>4708</v>
      </c>
      <c r="O420" s="6" t="s">
        <v>604</v>
      </c>
      <c r="P420" s="28" t="s">
        <v>604</v>
      </c>
      <c r="Q420" s="174" t="s">
        <v>604</v>
      </c>
      <c r="R420" s="28" t="s">
        <v>604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604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4711</v>
      </c>
      <c r="B421" s="221" t="s">
        <v>3713</v>
      </c>
      <c r="C421" s="28" t="s">
        <v>3422</v>
      </c>
      <c r="D421" s="28" t="s">
        <v>4712</v>
      </c>
      <c r="E421" s="19" t="s">
        <v>436</v>
      </c>
      <c r="F421" s="221" t="s">
        <v>4468</v>
      </c>
      <c r="G421" s="221" t="s">
        <v>4469</v>
      </c>
      <c r="H421" s="28" t="s">
        <v>604</v>
      </c>
      <c r="I421" s="6" t="s">
        <v>604</v>
      </c>
      <c r="J421" s="28" t="s">
        <v>604</v>
      </c>
      <c r="K421" s="221"/>
      <c r="L421" s="221"/>
      <c r="M421" s="28" t="s">
        <v>604</v>
      </c>
      <c r="N421" s="19" t="s">
        <v>4708</v>
      </c>
      <c r="O421" s="6" t="s">
        <v>604</v>
      </c>
      <c r="P421" s="28" t="s">
        <v>604</v>
      </c>
      <c r="Q421" s="174" t="s">
        <v>604</v>
      </c>
      <c r="R421" s="28" t="s">
        <v>604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604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4713</v>
      </c>
      <c r="B422" s="221" t="s">
        <v>3713</v>
      </c>
      <c r="C422" s="28" t="s">
        <v>3422</v>
      </c>
      <c r="D422" s="28" t="s">
        <v>4714</v>
      </c>
      <c r="E422" s="19" t="s">
        <v>707</v>
      </c>
      <c r="F422" s="221" t="s">
        <v>4468</v>
      </c>
      <c r="G422" s="221" t="s">
        <v>4469</v>
      </c>
      <c r="H422" s="28" t="s">
        <v>604</v>
      </c>
      <c r="I422" s="6" t="s">
        <v>604</v>
      </c>
      <c r="J422" s="28" t="s">
        <v>604</v>
      </c>
      <c r="K422" s="221"/>
      <c r="L422" s="221"/>
      <c r="M422" s="28" t="s">
        <v>604</v>
      </c>
      <c r="N422" s="19" t="s">
        <v>4708</v>
      </c>
      <c r="O422" s="6" t="s">
        <v>604</v>
      </c>
      <c r="P422" s="28" t="s">
        <v>604</v>
      </c>
      <c r="Q422" s="174" t="s">
        <v>604</v>
      </c>
      <c r="R422" s="28" t="s">
        <v>604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604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4715</v>
      </c>
      <c r="B423" s="221" t="s">
        <v>3713</v>
      </c>
      <c r="C423" s="28" t="s">
        <v>3422</v>
      </c>
      <c r="D423" s="28" t="s">
        <v>4716</v>
      </c>
      <c r="E423" s="19" t="s">
        <v>459</v>
      </c>
      <c r="F423" s="221" t="s">
        <v>365</v>
      </c>
      <c r="G423" s="221" t="s">
        <v>4469</v>
      </c>
      <c r="H423" s="28" t="s">
        <v>604</v>
      </c>
      <c r="I423" s="6" t="s">
        <v>604</v>
      </c>
      <c r="J423" s="28" t="s">
        <v>604</v>
      </c>
      <c r="K423" s="221"/>
      <c r="L423" s="221"/>
      <c r="M423" s="28" t="s">
        <v>604</v>
      </c>
      <c r="N423" s="19" t="s">
        <v>4717</v>
      </c>
      <c r="O423" s="6" t="s">
        <v>604</v>
      </c>
      <c r="P423" s="221" t="s">
        <v>3718</v>
      </c>
      <c r="Q423" s="43" t="n">
        <f aca="false">Sens_Perf!M14</f>
        <v>50</v>
      </c>
      <c r="R423" s="28" t="s">
        <v>604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3719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4718</v>
      </c>
      <c r="B424" s="221" t="s">
        <v>3713</v>
      </c>
      <c r="C424" s="28" t="s">
        <v>3422</v>
      </c>
      <c r="D424" s="28" t="s">
        <v>4719</v>
      </c>
      <c r="E424" s="6" t="s">
        <v>354</v>
      </c>
      <c r="F424" s="221" t="s">
        <v>365</v>
      </c>
      <c r="G424" s="221" t="s">
        <v>4469</v>
      </c>
      <c r="H424" s="28" t="s">
        <v>604</v>
      </c>
      <c r="I424" s="6" t="s">
        <v>604</v>
      </c>
      <c r="J424" s="28" t="s">
        <v>604</v>
      </c>
      <c r="K424" s="221"/>
      <c r="L424" s="221"/>
      <c r="M424" s="28" t="s">
        <v>604</v>
      </c>
      <c r="N424" s="19" t="s">
        <v>4717</v>
      </c>
      <c r="O424" s="6" t="s">
        <v>604</v>
      </c>
      <c r="P424" s="28" t="s">
        <v>604</v>
      </c>
      <c r="Q424" s="174" t="s">
        <v>604</v>
      </c>
      <c r="R424" s="28" t="s">
        <v>604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604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4720</v>
      </c>
      <c r="B425" s="221" t="s">
        <v>3713</v>
      </c>
      <c r="C425" s="28" t="s">
        <v>3422</v>
      </c>
      <c r="D425" s="28" t="s">
        <v>4721</v>
      </c>
      <c r="E425" s="19" t="s">
        <v>4722</v>
      </c>
      <c r="F425" s="221" t="s">
        <v>365</v>
      </c>
      <c r="G425" s="221" t="s">
        <v>4469</v>
      </c>
      <c r="H425" s="28" t="s">
        <v>604</v>
      </c>
      <c r="I425" s="6" t="s">
        <v>604</v>
      </c>
      <c r="J425" s="28" t="s">
        <v>604</v>
      </c>
      <c r="K425" s="221"/>
      <c r="L425" s="221"/>
      <c r="M425" s="28" t="s">
        <v>604</v>
      </c>
      <c r="N425" s="19" t="s">
        <v>4717</v>
      </c>
      <c r="O425" s="6" t="s">
        <v>604</v>
      </c>
      <c r="P425" s="28" t="s">
        <v>604</v>
      </c>
      <c r="Q425" s="174" t="s">
        <v>604</v>
      </c>
      <c r="R425" s="28" t="s">
        <v>604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604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4723</v>
      </c>
      <c r="B426" s="221" t="s">
        <v>3713</v>
      </c>
      <c r="C426" s="28" t="s">
        <v>3422</v>
      </c>
      <c r="D426" s="28" t="s">
        <v>4724</v>
      </c>
      <c r="E426" s="19" t="s">
        <v>736</v>
      </c>
      <c r="F426" s="221" t="s">
        <v>365</v>
      </c>
      <c r="G426" s="221" t="s">
        <v>4469</v>
      </c>
      <c r="H426" s="28" t="s">
        <v>604</v>
      </c>
      <c r="I426" s="6" t="s">
        <v>604</v>
      </c>
      <c r="J426" s="28" t="s">
        <v>604</v>
      </c>
      <c r="K426" s="221"/>
      <c r="L426" s="221"/>
      <c r="M426" s="28" t="s">
        <v>604</v>
      </c>
      <c r="N426" s="19" t="s">
        <v>4717</v>
      </c>
      <c r="O426" s="6" t="s">
        <v>604</v>
      </c>
      <c r="P426" s="28" t="s">
        <v>604</v>
      </c>
      <c r="Q426" s="174" t="s">
        <v>604</v>
      </c>
      <c r="R426" s="28" t="s">
        <v>604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604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4725</v>
      </c>
      <c r="B427" s="221" t="s">
        <v>3713</v>
      </c>
      <c r="C427" s="28" t="s">
        <v>3422</v>
      </c>
      <c r="D427" s="28" t="s">
        <v>4726</v>
      </c>
      <c r="E427" s="19" t="s">
        <v>350</v>
      </c>
      <c r="F427" s="221" t="s">
        <v>365</v>
      </c>
      <c r="G427" s="221" t="s">
        <v>4469</v>
      </c>
      <c r="H427" s="28" t="s">
        <v>604</v>
      </c>
      <c r="I427" s="6" t="s">
        <v>604</v>
      </c>
      <c r="J427" s="28" t="s">
        <v>604</v>
      </c>
      <c r="K427" s="221"/>
      <c r="L427" s="221"/>
      <c r="M427" s="28" t="s">
        <v>604</v>
      </c>
      <c r="N427" s="19" t="s">
        <v>4717</v>
      </c>
      <c r="O427" s="6" t="s">
        <v>604</v>
      </c>
      <c r="P427" s="28" t="s">
        <v>604</v>
      </c>
      <c r="Q427" s="174" t="s">
        <v>604</v>
      </c>
      <c r="R427" s="28" t="s">
        <v>604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604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4727</v>
      </c>
      <c r="B428" s="221" t="s">
        <v>3713</v>
      </c>
      <c r="C428" s="28" t="s">
        <v>3422</v>
      </c>
      <c r="D428" s="28" t="s">
        <v>4728</v>
      </c>
      <c r="E428" s="6" t="s">
        <v>739</v>
      </c>
      <c r="F428" s="221" t="s">
        <v>365</v>
      </c>
      <c r="G428" s="221" t="s">
        <v>4469</v>
      </c>
      <c r="H428" s="28" t="s">
        <v>604</v>
      </c>
      <c r="I428" s="6" t="s">
        <v>604</v>
      </c>
      <c r="J428" s="28" t="s">
        <v>604</v>
      </c>
      <c r="K428" s="221"/>
      <c r="L428" s="221"/>
      <c r="M428" s="28" t="s">
        <v>604</v>
      </c>
      <c r="N428" s="19" t="s">
        <v>4717</v>
      </c>
      <c r="O428" s="6" t="s">
        <v>604</v>
      </c>
      <c r="P428" s="28" t="s">
        <v>604</v>
      </c>
      <c r="Q428" s="174" t="s">
        <v>604</v>
      </c>
      <c r="R428" s="28" t="s">
        <v>604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604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4729</v>
      </c>
      <c r="B429" s="221" t="s">
        <v>3713</v>
      </c>
      <c r="C429" s="28" t="s">
        <v>3422</v>
      </c>
      <c r="D429" s="28" t="s">
        <v>4730</v>
      </c>
      <c r="E429" s="19" t="s">
        <v>4731</v>
      </c>
      <c r="F429" s="221" t="s">
        <v>365</v>
      </c>
      <c r="G429" s="221" t="s">
        <v>4469</v>
      </c>
      <c r="H429" s="28" t="s">
        <v>604</v>
      </c>
      <c r="I429" s="6" t="s">
        <v>604</v>
      </c>
      <c r="J429" s="28" t="s">
        <v>604</v>
      </c>
      <c r="K429" s="221"/>
      <c r="L429" s="221"/>
      <c r="M429" s="28" t="s">
        <v>604</v>
      </c>
      <c r="N429" s="19" t="s">
        <v>4717</v>
      </c>
      <c r="O429" s="6" t="s">
        <v>604</v>
      </c>
      <c r="P429" s="28" t="s">
        <v>604</v>
      </c>
      <c r="Q429" s="174" t="s">
        <v>604</v>
      </c>
      <c r="R429" s="28" t="s">
        <v>604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604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4732</v>
      </c>
      <c r="B430" s="221" t="s">
        <v>3713</v>
      </c>
      <c r="C430" s="28" t="s">
        <v>4733</v>
      </c>
      <c r="D430" s="28" t="s">
        <v>4707</v>
      </c>
      <c r="E430" s="19" t="s">
        <v>436</v>
      </c>
      <c r="F430" s="221" t="s">
        <v>4468</v>
      </c>
      <c r="G430" s="221" t="s">
        <v>4469</v>
      </c>
      <c r="H430" s="28" t="s">
        <v>604</v>
      </c>
      <c r="I430" s="6" t="s">
        <v>604</v>
      </c>
      <c r="J430" s="28" t="s">
        <v>604</v>
      </c>
      <c r="K430" s="221"/>
      <c r="L430" s="221"/>
      <c r="M430" s="28" t="s">
        <v>604</v>
      </c>
      <c r="N430" s="19" t="s">
        <v>4708</v>
      </c>
      <c r="O430" s="6" t="s">
        <v>604</v>
      </c>
      <c r="P430" s="28" t="s">
        <v>604</v>
      </c>
      <c r="Q430" s="174" t="s">
        <v>604</v>
      </c>
      <c r="R430" s="28" t="s">
        <v>604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604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4734</v>
      </c>
      <c r="B431" s="221" t="s">
        <v>4735</v>
      </c>
      <c r="C431" s="28" t="s">
        <v>4736</v>
      </c>
      <c r="D431" s="28" t="s">
        <v>4024</v>
      </c>
      <c r="E431" s="19" t="s">
        <v>4737</v>
      </c>
      <c r="F431" s="221" t="s">
        <v>315</v>
      </c>
      <c r="G431" s="221" t="s">
        <v>3715</v>
      </c>
      <c r="H431" s="28" t="s">
        <v>4738</v>
      </c>
      <c r="I431" s="19" t="s">
        <v>3750</v>
      </c>
      <c r="J431" s="28" t="s">
        <v>604</v>
      </c>
      <c r="K431" s="221"/>
      <c r="L431" s="221"/>
      <c r="M431" s="28" t="s">
        <v>604</v>
      </c>
      <c r="N431" s="19" t="s">
        <v>3853</v>
      </c>
      <c r="O431" s="6" t="s">
        <v>604</v>
      </c>
      <c r="P431" s="221" t="s">
        <v>1134</v>
      </c>
      <c r="Q431" s="185" t="n">
        <f aca="false">Train_In!C25</f>
        <v>32</v>
      </c>
      <c r="R431" s="174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3752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4739</v>
      </c>
      <c r="B432" s="221" t="s">
        <v>4735</v>
      </c>
      <c r="C432" s="28" t="s">
        <v>4736</v>
      </c>
      <c r="D432" s="28" t="s">
        <v>4027</v>
      </c>
      <c r="E432" s="19" t="s">
        <v>4737</v>
      </c>
      <c r="F432" s="221" t="s">
        <v>315</v>
      </c>
      <c r="G432" s="221" t="s">
        <v>3715</v>
      </c>
      <c r="H432" s="28" t="s">
        <v>4740</v>
      </c>
      <c r="I432" s="19" t="s">
        <v>3750</v>
      </c>
      <c r="J432" s="28" t="s">
        <v>604</v>
      </c>
      <c r="K432" s="221"/>
      <c r="L432" s="221"/>
      <c r="M432" s="28" t="s">
        <v>604</v>
      </c>
      <c r="N432" s="19" t="s">
        <v>3853</v>
      </c>
      <c r="O432" s="6" t="s">
        <v>604</v>
      </c>
      <c r="P432" s="221" t="s">
        <v>1134</v>
      </c>
      <c r="Q432" s="185" t="n">
        <f aca="false">Train_In!D25</f>
        <v>33</v>
      </c>
      <c r="R432" s="174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3752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4741</v>
      </c>
      <c r="B433" s="221" t="s">
        <v>4735</v>
      </c>
      <c r="C433" s="28" t="s">
        <v>4736</v>
      </c>
      <c r="D433" s="28" t="s">
        <v>4040</v>
      </c>
      <c r="E433" s="19" t="s">
        <v>4742</v>
      </c>
      <c r="F433" s="221" t="s">
        <v>315</v>
      </c>
      <c r="G433" s="221" t="s">
        <v>3715</v>
      </c>
      <c r="H433" s="28" t="s">
        <v>4743</v>
      </c>
      <c r="I433" s="19" t="s">
        <v>3750</v>
      </c>
      <c r="J433" s="28" t="s">
        <v>604</v>
      </c>
      <c r="K433" s="221"/>
      <c r="L433" s="221"/>
      <c r="M433" s="28" t="s">
        <v>604</v>
      </c>
      <c r="N433" s="19" t="s">
        <v>3853</v>
      </c>
      <c r="O433" s="6" t="s">
        <v>604</v>
      </c>
      <c r="P433" s="221" t="s">
        <v>3774</v>
      </c>
      <c r="Q433" s="46" t="n">
        <f aca="false">Train_In!C26</f>
        <v>4096</v>
      </c>
      <c r="R433" s="174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3752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4744</v>
      </c>
      <c r="B434" s="221" t="s">
        <v>4735</v>
      </c>
      <c r="C434" s="28" t="s">
        <v>4736</v>
      </c>
      <c r="D434" s="28" t="s">
        <v>4043</v>
      </c>
      <c r="E434" s="19" t="s">
        <v>4742</v>
      </c>
      <c r="F434" s="221" t="s">
        <v>315</v>
      </c>
      <c r="G434" s="221" t="s">
        <v>3715</v>
      </c>
      <c r="H434" s="28" t="s">
        <v>4743</v>
      </c>
      <c r="I434" s="19" t="s">
        <v>3750</v>
      </c>
      <c r="J434" s="28" t="s">
        <v>604</v>
      </c>
      <c r="K434" s="221"/>
      <c r="L434" s="221"/>
      <c r="M434" s="28" t="s">
        <v>604</v>
      </c>
      <c r="N434" s="19" t="s">
        <v>3853</v>
      </c>
      <c r="O434" s="6" t="s">
        <v>604</v>
      </c>
      <c r="P434" s="221" t="s">
        <v>3774</v>
      </c>
      <c r="Q434" s="46" t="n">
        <f aca="false">Train_In!D26</f>
        <v>4096</v>
      </c>
      <c r="R434" s="174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3752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4745</v>
      </c>
      <c r="B435" s="221" t="s">
        <v>4735</v>
      </c>
      <c r="C435" s="28" t="s">
        <v>4736</v>
      </c>
      <c r="D435" s="28" t="s">
        <v>4185</v>
      </c>
      <c r="E435" s="6" t="s">
        <v>963</v>
      </c>
      <c r="F435" s="221" t="s">
        <v>315</v>
      </c>
      <c r="G435" s="221" t="s">
        <v>3715</v>
      </c>
      <c r="H435" s="28" t="s">
        <v>4746</v>
      </c>
      <c r="I435" s="19" t="s">
        <v>3750</v>
      </c>
      <c r="J435" s="28" t="s">
        <v>604</v>
      </c>
      <c r="K435" s="221"/>
      <c r="L435" s="221"/>
      <c r="M435" s="28" t="s">
        <v>604</v>
      </c>
      <c r="N435" s="19" t="s">
        <v>3853</v>
      </c>
      <c r="O435" s="6" t="s">
        <v>604</v>
      </c>
      <c r="P435" s="221" t="s">
        <v>3718</v>
      </c>
      <c r="Q435" s="185" t="n">
        <f aca="false">Train_In!C41</f>
        <v>14.8</v>
      </c>
      <c r="R435" s="174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3752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4747</v>
      </c>
      <c r="B436" s="221" t="s">
        <v>4735</v>
      </c>
      <c r="C436" s="28" t="s">
        <v>4736</v>
      </c>
      <c r="D436" s="28" t="s">
        <v>4748</v>
      </c>
      <c r="E436" s="6" t="s">
        <v>965</v>
      </c>
      <c r="F436" s="221" t="s">
        <v>315</v>
      </c>
      <c r="G436" s="221" t="s">
        <v>3715</v>
      </c>
      <c r="H436" s="28" t="s">
        <v>4749</v>
      </c>
      <c r="I436" s="19" t="s">
        <v>3750</v>
      </c>
      <c r="J436" s="28" t="s">
        <v>604</v>
      </c>
      <c r="K436" s="221"/>
      <c r="L436" s="221"/>
      <c r="M436" s="28" t="s">
        <v>604</v>
      </c>
      <c r="N436" s="19" t="s">
        <v>3853</v>
      </c>
      <c r="O436" s="6" t="s">
        <v>604</v>
      </c>
      <c r="P436" s="221" t="s">
        <v>3718</v>
      </c>
      <c r="Q436" s="43" t="n">
        <f aca="false">Train_In!C42</f>
        <v>2.664</v>
      </c>
      <c r="R436" s="174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3752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4750</v>
      </c>
      <c r="B437" s="221" t="s">
        <v>4735</v>
      </c>
      <c r="C437" s="28" t="s">
        <v>4736</v>
      </c>
      <c r="D437" s="28" t="s">
        <v>4751</v>
      </c>
      <c r="E437" s="6" t="s">
        <v>968</v>
      </c>
      <c r="F437" s="221" t="s">
        <v>315</v>
      </c>
      <c r="G437" s="221" t="s">
        <v>3715</v>
      </c>
      <c r="H437" s="28" t="s">
        <v>4752</v>
      </c>
      <c r="I437" s="19" t="s">
        <v>3750</v>
      </c>
      <c r="J437" s="28" t="s">
        <v>604</v>
      </c>
      <c r="K437" s="221"/>
      <c r="L437" s="221"/>
      <c r="M437" s="28" t="s">
        <v>604</v>
      </c>
      <c r="N437" s="19" t="s">
        <v>3853</v>
      </c>
      <c r="O437" s="6" t="s">
        <v>604</v>
      </c>
      <c r="P437" s="221" t="s">
        <v>3718</v>
      </c>
      <c r="Q437" s="46" t="n">
        <f aca="false">Train_In!C43</f>
        <v>4096</v>
      </c>
      <c r="R437" s="174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3752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4753</v>
      </c>
      <c r="B438" s="221" t="s">
        <v>4735</v>
      </c>
      <c r="C438" s="28" t="s">
        <v>4736</v>
      </c>
      <c r="D438" s="28" t="s">
        <v>4754</v>
      </c>
      <c r="E438" s="6" t="s">
        <v>972</v>
      </c>
      <c r="F438" s="221" t="s">
        <v>315</v>
      </c>
      <c r="G438" s="221" t="s">
        <v>3715</v>
      </c>
      <c r="H438" s="28" t="s">
        <v>2798</v>
      </c>
      <c r="I438" s="19" t="s">
        <v>3750</v>
      </c>
      <c r="J438" s="28" t="s">
        <v>604</v>
      </c>
      <c r="K438" s="221"/>
      <c r="L438" s="221"/>
      <c r="M438" s="28" t="s">
        <v>604</v>
      </c>
      <c r="N438" s="19" t="s">
        <v>3853</v>
      </c>
      <c r="O438" s="6" t="s">
        <v>604</v>
      </c>
      <c r="P438" s="221" t="s">
        <v>3718</v>
      </c>
      <c r="Q438" s="189" t="n">
        <f aca="false">Train_In!C45</f>
        <v>1</v>
      </c>
      <c r="R438" s="174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3752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4755</v>
      </c>
      <c r="B439" s="221" t="s">
        <v>4735</v>
      </c>
      <c r="C439" s="28" t="s">
        <v>24</v>
      </c>
      <c r="D439" s="28" t="s">
        <v>4756</v>
      </c>
      <c r="E439" s="6" t="s">
        <v>651</v>
      </c>
      <c r="F439" s="221" t="s">
        <v>315</v>
      </c>
      <c r="G439" s="221" t="s">
        <v>3715</v>
      </c>
      <c r="H439" s="28" t="s">
        <v>4757</v>
      </c>
      <c r="I439" s="19" t="s">
        <v>4758</v>
      </c>
      <c r="J439" s="28" t="s">
        <v>604</v>
      </c>
      <c r="K439" s="221"/>
      <c r="L439" s="221"/>
      <c r="M439" s="28" t="s">
        <v>604</v>
      </c>
      <c r="N439" s="6" t="s">
        <v>4759</v>
      </c>
      <c r="O439" s="6" t="s">
        <v>604</v>
      </c>
      <c r="P439" s="221" t="s">
        <v>3718</v>
      </c>
      <c r="Q439" s="31" t="n">
        <f aca="false">Tech_Registry!J14</f>
        <v>4</v>
      </c>
      <c r="R439" s="174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3752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4760</v>
      </c>
      <c r="B440" s="221" t="s">
        <v>3713</v>
      </c>
      <c r="C440" s="28" t="s">
        <v>4200</v>
      </c>
      <c r="D440" s="28" t="s">
        <v>4120</v>
      </c>
      <c r="E440" s="19" t="s">
        <v>4761</v>
      </c>
      <c r="F440" s="28" t="s">
        <v>90</v>
      </c>
      <c r="G440" s="221" t="s">
        <v>3715</v>
      </c>
      <c r="H440" s="28" t="s">
        <v>604</v>
      </c>
      <c r="I440" s="6" t="s">
        <v>604</v>
      </c>
      <c r="J440" s="28" t="s">
        <v>604</v>
      </c>
      <c r="K440" s="221"/>
      <c r="L440" s="221"/>
      <c r="M440" s="221" t="s">
        <v>3618</v>
      </c>
      <c r="N440" s="19" t="s">
        <v>4762</v>
      </c>
      <c r="O440" s="6" t="s">
        <v>604</v>
      </c>
      <c r="P440" s="221" t="s">
        <v>3718</v>
      </c>
      <c r="Q440" s="46" t="n">
        <f aca="false">Arch!C32</f>
        <v>128000</v>
      </c>
      <c r="R440" s="28" t="s">
        <v>604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3719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4763</v>
      </c>
      <c r="B441" s="221" t="s">
        <v>4764</v>
      </c>
      <c r="C441" s="28" t="s">
        <v>4765</v>
      </c>
      <c r="D441" s="28" t="s">
        <v>4766</v>
      </c>
      <c r="E441" s="19" t="s">
        <v>4767</v>
      </c>
      <c r="F441" s="221" t="s">
        <v>365</v>
      </c>
      <c r="G441" s="221" t="s">
        <v>4469</v>
      </c>
      <c r="H441" s="28" t="s">
        <v>604</v>
      </c>
      <c r="I441" s="6" t="s">
        <v>604</v>
      </c>
      <c r="J441" s="28" t="s">
        <v>604</v>
      </c>
      <c r="K441" s="221"/>
      <c r="L441" s="221"/>
      <c r="M441" s="28" t="s">
        <v>604</v>
      </c>
      <c r="N441" s="6" t="s">
        <v>4768</v>
      </c>
      <c r="O441" s="6" t="s">
        <v>604</v>
      </c>
      <c r="P441" s="28" t="s">
        <v>604</v>
      </c>
      <c r="Q441" s="174" t="s">
        <v>604</v>
      </c>
      <c r="R441" s="28" t="s">
        <v>604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604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4769</v>
      </c>
      <c r="B442" s="221" t="s">
        <v>4764</v>
      </c>
      <c r="C442" s="28" t="s">
        <v>4765</v>
      </c>
      <c r="D442" s="28" t="s">
        <v>4770</v>
      </c>
      <c r="E442" s="19" t="s">
        <v>4771</v>
      </c>
      <c r="F442" s="221" t="s">
        <v>365</v>
      </c>
      <c r="G442" s="221" t="s">
        <v>4469</v>
      </c>
      <c r="H442" s="28" t="s">
        <v>604</v>
      </c>
      <c r="I442" s="6" t="s">
        <v>604</v>
      </c>
      <c r="J442" s="28" t="s">
        <v>604</v>
      </c>
      <c r="K442" s="221"/>
      <c r="L442" s="221"/>
      <c r="M442" s="28" t="s">
        <v>604</v>
      </c>
      <c r="N442" s="6" t="s">
        <v>4772</v>
      </c>
      <c r="O442" s="6" t="s">
        <v>604</v>
      </c>
      <c r="P442" s="28" t="s">
        <v>604</v>
      </c>
      <c r="Q442" s="174" t="s">
        <v>604</v>
      </c>
      <c r="R442" s="28" t="s">
        <v>604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604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4773</v>
      </c>
      <c r="B443" s="221" t="s">
        <v>4764</v>
      </c>
      <c r="C443" s="28" t="s">
        <v>4774</v>
      </c>
      <c r="D443" s="28" t="s">
        <v>4775</v>
      </c>
      <c r="E443" s="6" t="s">
        <v>4776</v>
      </c>
      <c r="F443" s="221" t="s">
        <v>365</v>
      </c>
      <c r="G443" s="221" t="s">
        <v>3715</v>
      </c>
      <c r="H443" s="28" t="s">
        <v>604</v>
      </c>
      <c r="I443" s="6" t="s">
        <v>604</v>
      </c>
      <c r="J443" s="28" t="s">
        <v>604</v>
      </c>
      <c r="K443" s="221"/>
      <c r="L443" s="221"/>
      <c r="M443" s="28" t="s">
        <v>604</v>
      </c>
      <c r="N443" s="6" t="s">
        <v>4777</v>
      </c>
      <c r="O443" s="6" t="s">
        <v>604</v>
      </c>
      <c r="P443" s="221" t="s">
        <v>3718</v>
      </c>
      <c r="Q443" s="182" t="n">
        <f aca="false">Sens_Rev!B18</f>
        <v>0.5</v>
      </c>
      <c r="R443" s="28" t="s">
        <v>604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3719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4778</v>
      </c>
      <c r="B444" s="221" t="s">
        <v>4764</v>
      </c>
      <c r="C444" s="28" t="s">
        <v>24</v>
      </c>
      <c r="D444" s="28" t="s">
        <v>4779</v>
      </c>
      <c r="E444" s="19" t="s">
        <v>4780</v>
      </c>
      <c r="F444" s="28" t="s">
        <v>82</v>
      </c>
      <c r="G444" s="221" t="s">
        <v>3715</v>
      </c>
      <c r="H444" s="28" t="s">
        <v>604</v>
      </c>
      <c r="I444" s="6" t="s">
        <v>604</v>
      </c>
      <c r="J444" s="28" t="s">
        <v>4756</v>
      </c>
      <c r="K444" s="221"/>
      <c r="L444" s="221"/>
      <c r="M444" s="28" t="s">
        <v>604</v>
      </c>
      <c r="N444" s="6" t="s">
        <v>4781</v>
      </c>
      <c r="O444" s="6" t="s">
        <v>604</v>
      </c>
      <c r="P444" s="221" t="s">
        <v>3718</v>
      </c>
      <c r="Q444" s="31" t="n">
        <f aca="false">Tech_Registry!J17</f>
        <v>2</v>
      </c>
      <c r="R444" s="28" t="s">
        <v>604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3719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4782</v>
      </c>
      <c r="B445" s="221" t="s">
        <v>4783</v>
      </c>
      <c r="C445" s="28" t="s">
        <v>4784</v>
      </c>
      <c r="D445" s="28" t="s">
        <v>3957</v>
      </c>
      <c r="E445" s="19" t="s">
        <v>4785</v>
      </c>
      <c r="F445" s="28" t="s">
        <v>90</v>
      </c>
      <c r="G445" s="221" t="s">
        <v>75</v>
      </c>
      <c r="H445" s="28" t="s">
        <v>604</v>
      </c>
      <c r="I445" s="6" t="s">
        <v>604</v>
      </c>
      <c r="J445" s="28" t="s">
        <v>604</v>
      </c>
      <c r="K445" s="184" t="n">
        <f aca="false">Cap_In!D12</f>
        <v>0.1</v>
      </c>
      <c r="L445" s="184" t="n">
        <f aca="false">Cap_In!E12</f>
        <v>0.4</v>
      </c>
      <c r="M445" s="28" t="s">
        <v>4786</v>
      </c>
      <c r="N445" s="19" t="s">
        <v>4787</v>
      </c>
      <c r="O445" s="6" t="s">
        <v>604</v>
      </c>
      <c r="P445" s="221" t="s">
        <v>3774</v>
      </c>
      <c r="Q445" s="184" t="n">
        <f aca="false">Cap_In!C12</f>
        <v>0.2</v>
      </c>
      <c r="R445" s="28" t="s">
        <v>604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3719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4788</v>
      </c>
      <c r="B446" s="221" t="s">
        <v>4783</v>
      </c>
      <c r="C446" s="28" t="s">
        <v>4784</v>
      </c>
      <c r="D446" s="28" t="s">
        <v>4789</v>
      </c>
      <c r="E446" s="19" t="s">
        <v>4785</v>
      </c>
      <c r="F446" s="28" t="s">
        <v>90</v>
      </c>
      <c r="G446" s="221" t="s">
        <v>4790</v>
      </c>
      <c r="H446" s="28" t="s">
        <v>604</v>
      </c>
      <c r="I446" s="6" t="s">
        <v>604</v>
      </c>
      <c r="J446" s="28" t="s">
        <v>604</v>
      </c>
      <c r="K446" s="221"/>
      <c r="L446" s="221"/>
      <c r="M446" s="28" t="s">
        <v>4791</v>
      </c>
      <c r="N446" s="19" t="s">
        <v>4787</v>
      </c>
      <c r="O446" s="6" t="s">
        <v>604</v>
      </c>
      <c r="P446" s="221" t="s">
        <v>3774</v>
      </c>
      <c r="Q446" s="174" t="s">
        <v>604</v>
      </c>
      <c r="R446" s="28" t="s">
        <v>604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604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4792</v>
      </c>
      <c r="B447" s="221" t="s">
        <v>4783</v>
      </c>
      <c r="C447" s="28" t="s">
        <v>4784</v>
      </c>
      <c r="D447" s="28" t="s">
        <v>3977</v>
      </c>
      <c r="E447" s="19" t="s">
        <v>4793</v>
      </c>
      <c r="F447" s="28" t="s">
        <v>90</v>
      </c>
      <c r="G447" s="221" t="s">
        <v>75</v>
      </c>
      <c r="H447" s="28" t="s">
        <v>604</v>
      </c>
      <c r="I447" s="6" t="s">
        <v>604</v>
      </c>
      <c r="J447" s="28" t="s">
        <v>604</v>
      </c>
      <c r="K447" s="184" t="n">
        <f aca="false">Cap_In!D13</f>
        <v>0.3</v>
      </c>
      <c r="L447" s="184" t="n">
        <f aca="false">Cap_In!E13</f>
        <v>0.75</v>
      </c>
      <c r="M447" s="28" t="s">
        <v>604</v>
      </c>
      <c r="N447" s="19" t="s">
        <v>4794</v>
      </c>
      <c r="O447" s="6" t="s">
        <v>604</v>
      </c>
      <c r="P447" s="221" t="s">
        <v>3774</v>
      </c>
      <c r="Q447" s="184" t="n">
        <f aca="false">Cap_In!C13</f>
        <v>0.55</v>
      </c>
      <c r="R447" s="28" t="s">
        <v>604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3719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4795</v>
      </c>
      <c r="B448" s="221" t="s">
        <v>4783</v>
      </c>
      <c r="C448" s="28" t="s">
        <v>4784</v>
      </c>
      <c r="D448" s="28" t="s">
        <v>4796</v>
      </c>
      <c r="E448" s="19" t="s">
        <v>4793</v>
      </c>
      <c r="F448" s="28" t="s">
        <v>90</v>
      </c>
      <c r="G448" s="221" t="s">
        <v>4790</v>
      </c>
      <c r="H448" s="28" t="s">
        <v>604</v>
      </c>
      <c r="I448" s="6" t="s">
        <v>604</v>
      </c>
      <c r="J448" s="28" t="s">
        <v>604</v>
      </c>
      <c r="K448" s="221"/>
      <c r="L448" s="221"/>
      <c r="M448" s="28" t="s">
        <v>4797</v>
      </c>
      <c r="N448" s="19" t="s">
        <v>4794</v>
      </c>
      <c r="O448" s="6" t="s">
        <v>604</v>
      </c>
      <c r="P448" s="221" t="s">
        <v>3774</v>
      </c>
      <c r="Q448" s="174" t="s">
        <v>604</v>
      </c>
      <c r="R448" s="28" t="s">
        <v>604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604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4798</v>
      </c>
      <c r="B449" s="221" t="s">
        <v>4783</v>
      </c>
      <c r="C449" s="28" t="s">
        <v>4784</v>
      </c>
      <c r="D449" s="28" t="s">
        <v>4226</v>
      </c>
      <c r="E449" s="19" t="s">
        <v>4799</v>
      </c>
      <c r="F449" s="28" t="s">
        <v>82</v>
      </c>
      <c r="G449" s="221" t="s">
        <v>75</v>
      </c>
      <c r="H449" s="28" t="s">
        <v>604</v>
      </c>
      <c r="I449" s="6" t="s">
        <v>604</v>
      </c>
      <c r="J449" s="28" t="s">
        <v>3657</v>
      </c>
      <c r="K449" s="182" t="n">
        <f aca="false">Cap_In!D14</f>
        <v>0</v>
      </c>
      <c r="L449" s="182" t="n">
        <f aca="false">Cap_In!E14</f>
        <v>0.5</v>
      </c>
      <c r="M449" s="28" t="s">
        <v>604</v>
      </c>
      <c r="N449" s="6" t="s">
        <v>4800</v>
      </c>
      <c r="O449" s="6" t="s">
        <v>604</v>
      </c>
      <c r="P449" s="221" t="s">
        <v>3718</v>
      </c>
      <c r="Q449" s="182" t="n">
        <f aca="false">Cap_In!C14</f>
        <v>0</v>
      </c>
      <c r="R449" s="28" t="s">
        <v>604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3719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4801</v>
      </c>
      <c r="B450" s="221" t="s">
        <v>4783</v>
      </c>
      <c r="C450" s="28" t="s">
        <v>4784</v>
      </c>
      <c r="D450" s="28" t="s">
        <v>4802</v>
      </c>
      <c r="E450" s="19" t="s">
        <v>4799</v>
      </c>
      <c r="F450" s="28" t="s">
        <v>82</v>
      </c>
      <c r="G450" s="221" t="s">
        <v>4790</v>
      </c>
      <c r="H450" s="28" t="s">
        <v>604</v>
      </c>
      <c r="I450" s="6" t="s">
        <v>604</v>
      </c>
      <c r="J450" s="28" t="s">
        <v>3657</v>
      </c>
      <c r="K450" s="221"/>
      <c r="L450" s="221"/>
      <c r="M450" s="28" t="s">
        <v>4803</v>
      </c>
      <c r="N450" s="6" t="s">
        <v>4800</v>
      </c>
      <c r="O450" s="6" t="s">
        <v>604</v>
      </c>
      <c r="P450" s="221" t="s">
        <v>3718</v>
      </c>
      <c r="Q450" s="174" t="s">
        <v>604</v>
      </c>
      <c r="R450" s="28" t="s">
        <v>604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604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4804</v>
      </c>
      <c r="B451" s="221" t="s">
        <v>4783</v>
      </c>
      <c r="C451" s="28" t="s">
        <v>4784</v>
      </c>
      <c r="D451" s="28" t="s">
        <v>4230</v>
      </c>
      <c r="E451" s="19" t="s">
        <v>4805</v>
      </c>
      <c r="F451" s="221" t="s">
        <v>365</v>
      </c>
      <c r="G451" s="221" t="s">
        <v>75</v>
      </c>
      <c r="H451" s="28" t="s">
        <v>604</v>
      </c>
      <c r="I451" s="6" t="s">
        <v>604</v>
      </c>
      <c r="J451" s="28" t="s">
        <v>604</v>
      </c>
      <c r="K451" s="182" t="n">
        <f aca="false">Cap_In!D15</f>
        <v>0.5</v>
      </c>
      <c r="L451" s="182" t="n">
        <f aca="false">Cap_In!E15</f>
        <v>7</v>
      </c>
      <c r="M451" s="28" t="s">
        <v>604</v>
      </c>
      <c r="N451" s="19" t="s">
        <v>4806</v>
      </c>
      <c r="O451" s="6" t="s">
        <v>604</v>
      </c>
      <c r="P451" s="221" t="s">
        <v>3718</v>
      </c>
      <c r="Q451" s="182" t="n">
        <f aca="false">Cap_In!C15</f>
        <v>1</v>
      </c>
      <c r="R451" s="28" t="s">
        <v>604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3719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4807</v>
      </c>
      <c r="B452" s="221" t="s">
        <v>4783</v>
      </c>
      <c r="C452" s="28" t="s">
        <v>4784</v>
      </c>
      <c r="D452" s="28" t="s">
        <v>4808</v>
      </c>
      <c r="E452" s="19" t="s">
        <v>4805</v>
      </c>
      <c r="F452" s="221" t="s">
        <v>365</v>
      </c>
      <c r="G452" s="221" t="s">
        <v>4790</v>
      </c>
      <c r="H452" s="28" t="s">
        <v>604</v>
      </c>
      <c r="I452" s="6" t="s">
        <v>604</v>
      </c>
      <c r="J452" s="28" t="s">
        <v>604</v>
      </c>
      <c r="K452" s="221"/>
      <c r="L452" s="221"/>
      <c r="M452" s="28" t="s">
        <v>4809</v>
      </c>
      <c r="N452" s="19" t="s">
        <v>4806</v>
      </c>
      <c r="O452" s="6" t="s">
        <v>604</v>
      </c>
      <c r="P452" s="221" t="s">
        <v>3718</v>
      </c>
      <c r="Q452" s="174" t="s">
        <v>604</v>
      </c>
      <c r="R452" s="28" t="s">
        <v>604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604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4810</v>
      </c>
      <c r="B453" s="221" t="s">
        <v>4783</v>
      </c>
      <c r="C453" s="28" t="s">
        <v>4784</v>
      </c>
      <c r="D453" s="28" t="s">
        <v>4811</v>
      </c>
      <c r="E453" s="19" t="s">
        <v>4812</v>
      </c>
      <c r="F453" s="28" t="s">
        <v>82</v>
      </c>
      <c r="G453" s="221" t="s">
        <v>4469</v>
      </c>
      <c r="H453" s="28" t="s">
        <v>604</v>
      </c>
      <c r="I453" s="6" t="s">
        <v>604</v>
      </c>
      <c r="J453" s="28" t="s">
        <v>4813</v>
      </c>
      <c r="K453" s="221"/>
      <c r="L453" s="221"/>
      <c r="M453" s="28" t="s">
        <v>604</v>
      </c>
      <c r="N453" s="6" t="s">
        <v>4814</v>
      </c>
      <c r="O453" s="6" t="s">
        <v>604</v>
      </c>
      <c r="P453" s="221" t="s">
        <v>3718</v>
      </c>
      <c r="Q453" s="174" t="s">
        <v>604</v>
      </c>
      <c r="R453" s="28" t="s">
        <v>604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604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4815</v>
      </c>
      <c r="B454" s="221" t="s">
        <v>4783</v>
      </c>
      <c r="C454" s="28" t="s">
        <v>4784</v>
      </c>
      <c r="D454" s="28" t="s">
        <v>4816</v>
      </c>
      <c r="E454" s="19" t="s">
        <v>1151</v>
      </c>
      <c r="F454" s="28" t="s">
        <v>90</v>
      </c>
      <c r="G454" s="221" t="s">
        <v>4469</v>
      </c>
      <c r="H454" s="28" t="s">
        <v>604</v>
      </c>
      <c r="I454" s="6" t="s">
        <v>604</v>
      </c>
      <c r="J454" s="28" t="s">
        <v>3660</v>
      </c>
      <c r="K454" s="221"/>
      <c r="L454" s="221"/>
      <c r="M454" s="221" t="s">
        <v>4817</v>
      </c>
      <c r="N454" s="6" t="s">
        <v>4818</v>
      </c>
      <c r="O454" s="6" t="s">
        <v>604</v>
      </c>
      <c r="P454" s="221" t="s">
        <v>3718</v>
      </c>
      <c r="Q454" s="174" t="s">
        <v>604</v>
      </c>
      <c r="R454" s="28" t="s">
        <v>604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604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4819</v>
      </c>
      <c r="B455" s="221" t="s">
        <v>4783</v>
      </c>
      <c r="C455" s="28" t="s">
        <v>4784</v>
      </c>
      <c r="D455" s="28" t="s">
        <v>4820</v>
      </c>
      <c r="E455" s="19" t="s">
        <v>1154</v>
      </c>
      <c r="F455" s="28" t="s">
        <v>90</v>
      </c>
      <c r="G455" s="221" t="s">
        <v>1133</v>
      </c>
      <c r="H455" s="28" t="s">
        <v>604</v>
      </c>
      <c r="I455" s="6" t="s">
        <v>604</v>
      </c>
      <c r="J455" s="28" t="s">
        <v>3660</v>
      </c>
      <c r="K455" s="221"/>
      <c r="L455" s="221"/>
      <c r="M455" s="28" t="s">
        <v>604</v>
      </c>
      <c r="N455" s="6" t="s">
        <v>4818</v>
      </c>
      <c r="O455" s="6" t="s">
        <v>604</v>
      </c>
      <c r="P455" s="221" t="s">
        <v>3718</v>
      </c>
      <c r="Q455" s="174" t="s">
        <v>604</v>
      </c>
      <c r="R455" s="28" t="s">
        <v>604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604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4821</v>
      </c>
      <c r="B456" s="221" t="s">
        <v>4783</v>
      </c>
      <c r="C456" s="28" t="s">
        <v>4784</v>
      </c>
      <c r="D456" s="28" t="s">
        <v>4822</v>
      </c>
      <c r="E456" s="19" t="s">
        <v>1155</v>
      </c>
      <c r="F456" s="28" t="s">
        <v>90</v>
      </c>
      <c r="G456" s="221" t="s">
        <v>1134</v>
      </c>
      <c r="H456" s="28" t="s">
        <v>604</v>
      </c>
      <c r="I456" s="6" t="s">
        <v>604</v>
      </c>
      <c r="J456" s="28" t="s">
        <v>3660</v>
      </c>
      <c r="K456" s="221"/>
      <c r="L456" s="221"/>
      <c r="M456" s="28" t="s">
        <v>604</v>
      </c>
      <c r="N456" s="6" t="s">
        <v>4818</v>
      </c>
      <c r="O456" s="6" t="s">
        <v>604</v>
      </c>
      <c r="P456" s="221" t="s">
        <v>3718</v>
      </c>
      <c r="Q456" s="174" t="s">
        <v>604</v>
      </c>
      <c r="R456" s="28" t="s">
        <v>604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604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4823</v>
      </c>
      <c r="B457" s="221" t="s">
        <v>4783</v>
      </c>
      <c r="C457" s="28" t="s">
        <v>4784</v>
      </c>
      <c r="D457" s="28" t="s">
        <v>4071</v>
      </c>
      <c r="E457" s="19" t="s">
        <v>1157</v>
      </c>
      <c r="F457" s="221" t="s">
        <v>3906</v>
      </c>
      <c r="G457" s="221" t="s">
        <v>75</v>
      </c>
      <c r="H457" s="28" t="s">
        <v>4824</v>
      </c>
      <c r="I457" s="19" t="s">
        <v>4825</v>
      </c>
      <c r="J457" s="28" t="s">
        <v>3666</v>
      </c>
      <c r="K457" s="184" t="n">
        <f aca="false">Cap_In!D28</f>
        <v>0.3</v>
      </c>
      <c r="L457" s="184" t="n">
        <f aca="false">Cap_In!E28</f>
        <v>0.6</v>
      </c>
      <c r="M457" s="28" t="s">
        <v>604</v>
      </c>
      <c r="N457" s="19" t="s">
        <v>4826</v>
      </c>
      <c r="O457" s="6" t="s">
        <v>4827</v>
      </c>
      <c r="P457" s="221" t="s">
        <v>1134</v>
      </c>
      <c r="Q457" s="184" t="n">
        <f aca="false">Cap_In!C28</f>
        <v>0.41</v>
      </c>
      <c r="R457" s="174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3719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4828</v>
      </c>
      <c r="B458" s="221" t="s">
        <v>4783</v>
      </c>
      <c r="C458" s="28" t="s">
        <v>4784</v>
      </c>
      <c r="D458" s="28" t="s">
        <v>4829</v>
      </c>
      <c r="E458" s="19" t="s">
        <v>1157</v>
      </c>
      <c r="F458" s="28" t="s">
        <v>90</v>
      </c>
      <c r="G458" s="221" t="s">
        <v>4790</v>
      </c>
      <c r="H458" s="28" t="s">
        <v>604</v>
      </c>
      <c r="I458" s="6" t="s">
        <v>604</v>
      </c>
      <c r="J458" s="28" t="s">
        <v>3666</v>
      </c>
      <c r="K458" s="221"/>
      <c r="L458" s="221"/>
      <c r="M458" s="28" t="s">
        <v>4830</v>
      </c>
      <c r="N458" s="6" t="s">
        <v>4831</v>
      </c>
      <c r="O458" s="6" t="s">
        <v>604</v>
      </c>
      <c r="P458" s="221" t="s">
        <v>1134</v>
      </c>
      <c r="Q458" s="174" t="s">
        <v>604</v>
      </c>
      <c r="R458" s="28" t="s">
        <v>604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604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4832</v>
      </c>
      <c r="B459" s="221" t="s">
        <v>4783</v>
      </c>
      <c r="C459" s="28" t="s">
        <v>4784</v>
      </c>
      <c r="D459" s="28" t="s">
        <v>4081</v>
      </c>
      <c r="E459" s="19" t="s">
        <v>1160</v>
      </c>
      <c r="F459" s="221" t="s">
        <v>3906</v>
      </c>
      <c r="G459" s="221" t="s">
        <v>75</v>
      </c>
      <c r="H459" s="28" t="s">
        <v>2914</v>
      </c>
      <c r="I459" s="19" t="s">
        <v>4833</v>
      </c>
      <c r="J459" s="28" t="s">
        <v>3666</v>
      </c>
      <c r="K459" s="184" t="n">
        <f aca="false">Cap_In!D29</f>
        <v>0.35</v>
      </c>
      <c r="L459" s="184" t="n">
        <f aca="false">Cap_In!E29</f>
        <v>0.6</v>
      </c>
      <c r="M459" s="28" t="s">
        <v>604</v>
      </c>
      <c r="N459" s="19" t="s">
        <v>4834</v>
      </c>
      <c r="O459" s="6" t="s">
        <v>4835</v>
      </c>
      <c r="P459" s="221" t="s">
        <v>1134</v>
      </c>
      <c r="Q459" s="184" t="n">
        <f aca="false">Cap_In!C29</f>
        <v>0.46</v>
      </c>
      <c r="R459" s="174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3719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4836</v>
      </c>
      <c r="B460" s="221" t="s">
        <v>4783</v>
      </c>
      <c r="C460" s="28" t="s">
        <v>4784</v>
      </c>
      <c r="D460" s="28" t="s">
        <v>4837</v>
      </c>
      <c r="E460" s="19" t="s">
        <v>1160</v>
      </c>
      <c r="F460" s="28" t="s">
        <v>90</v>
      </c>
      <c r="G460" s="221" t="s">
        <v>4790</v>
      </c>
      <c r="H460" s="28" t="s">
        <v>604</v>
      </c>
      <c r="I460" s="6" t="s">
        <v>604</v>
      </c>
      <c r="J460" s="28" t="s">
        <v>3666</v>
      </c>
      <c r="K460" s="221"/>
      <c r="L460" s="221"/>
      <c r="M460" s="28" t="s">
        <v>4838</v>
      </c>
      <c r="N460" s="6" t="s">
        <v>4839</v>
      </c>
      <c r="O460" s="6" t="s">
        <v>604</v>
      </c>
      <c r="P460" s="221" t="s">
        <v>1134</v>
      </c>
      <c r="Q460" s="174" t="s">
        <v>604</v>
      </c>
      <c r="R460" s="28" t="s">
        <v>604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604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4840</v>
      </c>
      <c r="B461" s="221" t="s">
        <v>4783</v>
      </c>
      <c r="C461" s="28" t="s">
        <v>4784</v>
      </c>
      <c r="D461" s="28" t="s">
        <v>4841</v>
      </c>
      <c r="E461" s="19" t="s">
        <v>4842</v>
      </c>
      <c r="F461" s="28" t="s">
        <v>90</v>
      </c>
      <c r="G461" s="221" t="s">
        <v>4469</v>
      </c>
      <c r="H461" s="28" t="s">
        <v>604</v>
      </c>
      <c r="I461" s="6" t="s">
        <v>604</v>
      </c>
      <c r="J461" s="28" t="s">
        <v>3666</v>
      </c>
      <c r="K461" s="221"/>
      <c r="L461" s="221"/>
      <c r="M461" s="221" t="s">
        <v>4843</v>
      </c>
      <c r="N461" s="6" t="s">
        <v>4844</v>
      </c>
      <c r="O461" s="6" t="s">
        <v>604</v>
      </c>
      <c r="P461" s="221" t="s">
        <v>3718</v>
      </c>
      <c r="Q461" s="174" t="s">
        <v>604</v>
      </c>
      <c r="R461" s="28" t="s">
        <v>604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604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4845</v>
      </c>
      <c r="B462" s="221" t="s">
        <v>4783</v>
      </c>
      <c r="C462" s="28" t="s">
        <v>4784</v>
      </c>
      <c r="D462" s="28" t="s">
        <v>4846</v>
      </c>
      <c r="E462" s="19" t="s">
        <v>4847</v>
      </c>
      <c r="F462" s="28" t="s">
        <v>90</v>
      </c>
      <c r="G462" s="221" t="s">
        <v>4469</v>
      </c>
      <c r="H462" s="28" t="s">
        <v>604</v>
      </c>
      <c r="I462" s="6" t="s">
        <v>604</v>
      </c>
      <c r="J462" s="28" t="s">
        <v>3666</v>
      </c>
      <c r="K462" s="221"/>
      <c r="L462" s="221"/>
      <c r="M462" s="28" t="s">
        <v>4848</v>
      </c>
      <c r="N462" s="6" t="s">
        <v>4849</v>
      </c>
      <c r="O462" s="6" t="s">
        <v>604</v>
      </c>
      <c r="P462" s="221" t="s">
        <v>3718</v>
      </c>
      <c r="Q462" s="174" t="s">
        <v>604</v>
      </c>
      <c r="R462" s="28" t="s">
        <v>604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604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4850</v>
      </c>
      <c r="B463" s="221" t="s">
        <v>4783</v>
      </c>
      <c r="C463" s="28" t="s">
        <v>4784</v>
      </c>
      <c r="D463" s="28" t="s">
        <v>4851</v>
      </c>
      <c r="E463" s="19" t="s">
        <v>4852</v>
      </c>
      <c r="F463" s="28" t="s">
        <v>90</v>
      </c>
      <c r="G463" s="221" t="s">
        <v>75</v>
      </c>
      <c r="H463" s="28" t="s">
        <v>604</v>
      </c>
      <c r="I463" s="6" t="s">
        <v>604</v>
      </c>
      <c r="J463" s="28" t="s">
        <v>4853</v>
      </c>
      <c r="K463" s="31" t="n">
        <f aca="false">Cap_In!D36</f>
        <v>1</v>
      </c>
      <c r="L463" s="31" t="n">
        <f aca="false">Cap_In!E36</f>
        <v>3</v>
      </c>
      <c r="M463" s="28" t="s">
        <v>604</v>
      </c>
      <c r="N463" s="6" t="s">
        <v>4854</v>
      </c>
      <c r="O463" s="6" t="s">
        <v>604</v>
      </c>
      <c r="P463" s="221" t="s">
        <v>1134</v>
      </c>
      <c r="Q463" s="31" t="n">
        <f aca="false">Cap_In!C36</f>
        <v>2</v>
      </c>
      <c r="R463" s="28" t="s">
        <v>604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3719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4855</v>
      </c>
      <c r="B464" s="221" t="s">
        <v>4783</v>
      </c>
      <c r="C464" s="28" t="s">
        <v>4784</v>
      </c>
      <c r="D464" s="28" t="s">
        <v>4856</v>
      </c>
      <c r="E464" s="19" t="s">
        <v>4852</v>
      </c>
      <c r="F464" s="28" t="s">
        <v>90</v>
      </c>
      <c r="G464" s="221" t="s">
        <v>4790</v>
      </c>
      <c r="H464" s="28" t="s">
        <v>604</v>
      </c>
      <c r="I464" s="6" t="s">
        <v>604</v>
      </c>
      <c r="J464" s="28" t="s">
        <v>4853</v>
      </c>
      <c r="K464" s="221"/>
      <c r="L464" s="221"/>
      <c r="M464" s="28" t="s">
        <v>4857</v>
      </c>
      <c r="N464" s="6" t="s">
        <v>4858</v>
      </c>
      <c r="O464" s="6" t="s">
        <v>604</v>
      </c>
      <c r="P464" s="221" t="s">
        <v>3718</v>
      </c>
      <c r="Q464" s="174" t="s">
        <v>604</v>
      </c>
      <c r="R464" s="28" t="s">
        <v>604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604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4859</v>
      </c>
      <c r="B465" s="221" t="s">
        <v>4783</v>
      </c>
      <c r="C465" s="28" t="s">
        <v>4784</v>
      </c>
      <c r="D465" s="28" t="s">
        <v>4860</v>
      </c>
      <c r="E465" s="19" t="s">
        <v>1169</v>
      </c>
      <c r="F465" s="28" t="s">
        <v>90</v>
      </c>
      <c r="G465" s="221" t="s">
        <v>75</v>
      </c>
      <c r="H465" s="28" t="s">
        <v>604</v>
      </c>
      <c r="I465" s="6" t="s">
        <v>604</v>
      </c>
      <c r="J465" s="28" t="s">
        <v>4853</v>
      </c>
      <c r="K465" s="204" t="n">
        <f aca="false">Cap_In!D37</f>
        <v>0.0833333333333333</v>
      </c>
      <c r="L465" s="204" t="n">
        <f aca="false">Cap_In!E37</f>
        <v>1</v>
      </c>
      <c r="M465" s="28" t="s">
        <v>604</v>
      </c>
      <c r="N465" s="6" t="s">
        <v>4861</v>
      </c>
      <c r="O465" s="6" t="s">
        <v>4862</v>
      </c>
      <c r="P465" s="221" t="s">
        <v>1133</v>
      </c>
      <c r="Q465" s="204" t="n">
        <f aca="false">Cap_In!C37</f>
        <v>0.0833333333333333</v>
      </c>
      <c r="R465" s="28" t="s">
        <v>604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3719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4863</v>
      </c>
      <c r="B466" s="221" t="s">
        <v>4783</v>
      </c>
      <c r="C466" s="28" t="s">
        <v>4784</v>
      </c>
      <c r="D466" s="28" t="s">
        <v>4864</v>
      </c>
      <c r="E466" s="19" t="s">
        <v>1169</v>
      </c>
      <c r="F466" s="28" t="s">
        <v>90</v>
      </c>
      <c r="G466" s="221" t="s">
        <v>4790</v>
      </c>
      <c r="H466" s="28" t="s">
        <v>604</v>
      </c>
      <c r="I466" s="6" t="s">
        <v>604</v>
      </c>
      <c r="J466" s="28" t="s">
        <v>4853</v>
      </c>
      <c r="K466" s="221"/>
      <c r="L466" s="221"/>
      <c r="M466" s="28" t="s">
        <v>4865</v>
      </c>
      <c r="N466" s="6" t="s">
        <v>4866</v>
      </c>
      <c r="O466" s="6" t="s">
        <v>604</v>
      </c>
      <c r="P466" s="221" t="s">
        <v>1133</v>
      </c>
      <c r="Q466" s="174" t="s">
        <v>604</v>
      </c>
      <c r="R466" s="28" t="s">
        <v>604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604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4867</v>
      </c>
      <c r="B467" s="221" t="s">
        <v>4783</v>
      </c>
      <c r="C467" s="28" t="s">
        <v>4784</v>
      </c>
      <c r="D467" s="28" t="s">
        <v>4868</v>
      </c>
      <c r="E467" s="19" t="s">
        <v>1171</v>
      </c>
      <c r="F467" s="28" t="s">
        <v>90</v>
      </c>
      <c r="G467" s="221" t="s">
        <v>75</v>
      </c>
      <c r="H467" s="28" t="s">
        <v>604</v>
      </c>
      <c r="I467" s="6" t="s">
        <v>604</v>
      </c>
      <c r="J467" s="28" t="s">
        <v>4853</v>
      </c>
      <c r="K467" s="31" t="n">
        <f aca="false">Cap_In!D38</f>
        <v>1</v>
      </c>
      <c r="L467" s="31" t="n">
        <f aca="false">Cap_In!E38</f>
        <v>20</v>
      </c>
      <c r="M467" s="28" t="s">
        <v>604</v>
      </c>
      <c r="N467" s="6" t="s">
        <v>4869</v>
      </c>
      <c r="O467" s="6" t="s">
        <v>604</v>
      </c>
      <c r="P467" s="221" t="s">
        <v>1133</v>
      </c>
      <c r="Q467" s="31" t="n">
        <f aca="false">Cap_In!C38</f>
        <v>5</v>
      </c>
      <c r="R467" s="28" t="s">
        <v>604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3719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4870</v>
      </c>
      <c r="B468" s="221" t="s">
        <v>4783</v>
      </c>
      <c r="C468" s="28" t="s">
        <v>4784</v>
      </c>
      <c r="D468" s="28" t="s">
        <v>4871</v>
      </c>
      <c r="E468" s="19" t="s">
        <v>1171</v>
      </c>
      <c r="F468" s="28" t="s">
        <v>90</v>
      </c>
      <c r="G468" s="221" t="s">
        <v>4790</v>
      </c>
      <c r="H468" s="28" t="s">
        <v>604</v>
      </c>
      <c r="I468" s="6" t="s">
        <v>604</v>
      </c>
      <c r="J468" s="28" t="s">
        <v>4853</v>
      </c>
      <c r="K468" s="221"/>
      <c r="L468" s="221"/>
      <c r="M468" s="28" t="s">
        <v>4872</v>
      </c>
      <c r="N468" s="6" t="s">
        <v>4873</v>
      </c>
      <c r="O468" s="6" t="s">
        <v>604</v>
      </c>
      <c r="P468" s="221" t="s">
        <v>1133</v>
      </c>
      <c r="Q468" s="174" t="s">
        <v>604</v>
      </c>
      <c r="R468" s="28" t="s">
        <v>604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604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4874</v>
      </c>
      <c r="B469" s="221" t="s">
        <v>4783</v>
      </c>
      <c r="C469" s="28" t="s">
        <v>4784</v>
      </c>
      <c r="D469" s="28" t="s">
        <v>4158</v>
      </c>
      <c r="E469" s="6" t="s">
        <v>1174</v>
      </c>
      <c r="F469" s="28" t="s">
        <v>90</v>
      </c>
      <c r="G469" s="221" t="s">
        <v>75</v>
      </c>
      <c r="H469" s="28" t="s">
        <v>604</v>
      </c>
      <c r="I469" s="6" t="s">
        <v>604</v>
      </c>
      <c r="J469" s="28" t="s">
        <v>604</v>
      </c>
      <c r="K469" s="182" t="n">
        <f aca="false">Cap_In!D39</f>
        <v>5</v>
      </c>
      <c r="L469" s="182" t="n">
        <f aca="false">Cap_In!E39</f>
        <v>20</v>
      </c>
      <c r="M469" s="28" t="s">
        <v>604</v>
      </c>
      <c r="N469" s="6" t="s">
        <v>4875</v>
      </c>
      <c r="O469" s="6" t="s">
        <v>604</v>
      </c>
      <c r="P469" s="221" t="s">
        <v>1133</v>
      </c>
      <c r="Q469" s="182" t="n">
        <f aca="false">Cap_In!C39</f>
        <v>10</v>
      </c>
      <c r="R469" s="28" t="s">
        <v>604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3719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4876</v>
      </c>
      <c r="B470" s="221" t="s">
        <v>4783</v>
      </c>
      <c r="C470" s="28" t="s">
        <v>4784</v>
      </c>
      <c r="D470" s="28" t="s">
        <v>4877</v>
      </c>
      <c r="E470" s="6" t="s">
        <v>1174</v>
      </c>
      <c r="F470" s="28" t="s">
        <v>90</v>
      </c>
      <c r="G470" s="221" t="s">
        <v>4790</v>
      </c>
      <c r="H470" s="28" t="s">
        <v>604</v>
      </c>
      <c r="I470" s="6" t="s">
        <v>604</v>
      </c>
      <c r="J470" s="28" t="s">
        <v>604</v>
      </c>
      <c r="K470" s="221"/>
      <c r="L470" s="221"/>
      <c r="M470" s="28" t="s">
        <v>4878</v>
      </c>
      <c r="N470" s="6" t="s">
        <v>4879</v>
      </c>
      <c r="O470" s="6" t="s">
        <v>604</v>
      </c>
      <c r="P470" s="221" t="s">
        <v>1133</v>
      </c>
      <c r="Q470" s="174" t="s">
        <v>604</v>
      </c>
      <c r="R470" s="28" t="s">
        <v>604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604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4880</v>
      </c>
      <c r="B471" s="221" t="s">
        <v>4783</v>
      </c>
      <c r="C471" s="28" t="s">
        <v>4784</v>
      </c>
      <c r="D471" s="28" t="s">
        <v>4171</v>
      </c>
      <c r="E471" s="6" t="s">
        <v>1177</v>
      </c>
      <c r="F471" s="28" t="s">
        <v>90</v>
      </c>
      <c r="G471" s="221" t="s">
        <v>75</v>
      </c>
      <c r="H471" s="28" t="s">
        <v>604</v>
      </c>
      <c r="I471" s="6" t="s">
        <v>604</v>
      </c>
      <c r="J471" s="28" t="s">
        <v>604</v>
      </c>
      <c r="K471" s="31" t="n">
        <f aca="false">Cap_In!D40</f>
        <v>3</v>
      </c>
      <c r="L471" s="31" t="n">
        <f aca="false">Cap_In!E40</f>
        <v>6</v>
      </c>
      <c r="M471" s="28" t="s">
        <v>604</v>
      </c>
      <c r="N471" s="6" t="s">
        <v>4881</v>
      </c>
      <c r="O471" s="6" t="s">
        <v>604</v>
      </c>
      <c r="P471" s="221" t="s">
        <v>1133</v>
      </c>
      <c r="Q471" s="31" t="n">
        <f aca="false">Cap_In!C40</f>
        <v>4</v>
      </c>
      <c r="R471" s="28" t="s">
        <v>604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3719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4882</v>
      </c>
      <c r="B472" s="221" t="s">
        <v>4783</v>
      </c>
      <c r="C472" s="28" t="s">
        <v>4784</v>
      </c>
      <c r="D472" s="28" t="s">
        <v>4883</v>
      </c>
      <c r="E472" s="6" t="s">
        <v>1177</v>
      </c>
      <c r="F472" s="28" t="s">
        <v>90</v>
      </c>
      <c r="G472" s="221" t="s">
        <v>4790</v>
      </c>
      <c r="H472" s="28" t="s">
        <v>604</v>
      </c>
      <c r="I472" s="6" t="s">
        <v>604</v>
      </c>
      <c r="J472" s="28" t="s">
        <v>604</v>
      </c>
      <c r="K472" s="221"/>
      <c r="L472" s="221"/>
      <c r="M472" s="28" t="s">
        <v>4884</v>
      </c>
      <c r="N472" s="6" t="s">
        <v>1177</v>
      </c>
      <c r="O472" s="6" t="s">
        <v>604</v>
      </c>
      <c r="P472" s="221" t="s">
        <v>1133</v>
      </c>
      <c r="Q472" s="174" t="s">
        <v>604</v>
      </c>
      <c r="R472" s="28" t="s">
        <v>604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604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4885</v>
      </c>
      <c r="B473" s="221" t="s">
        <v>4783</v>
      </c>
      <c r="C473" s="28" t="s">
        <v>4784</v>
      </c>
      <c r="D473" s="28" t="s">
        <v>4185</v>
      </c>
      <c r="E473" s="6" t="s">
        <v>1178</v>
      </c>
      <c r="F473" s="28" t="s">
        <v>90</v>
      </c>
      <c r="G473" s="221" t="s">
        <v>75</v>
      </c>
      <c r="H473" s="28" t="s">
        <v>604</v>
      </c>
      <c r="I473" s="6" t="s">
        <v>604</v>
      </c>
      <c r="J473" s="28" t="s">
        <v>604</v>
      </c>
      <c r="K473" s="182" t="n">
        <f aca="false">Cap_In!D41</f>
        <v>0.05</v>
      </c>
      <c r="L473" s="182" t="n">
        <f aca="false">Cap_In!E41</f>
        <v>0.3</v>
      </c>
      <c r="M473" s="28" t="s">
        <v>604</v>
      </c>
      <c r="N473" s="19" t="s">
        <v>4886</v>
      </c>
      <c r="O473" s="6" t="s">
        <v>604</v>
      </c>
      <c r="P473" s="221" t="s">
        <v>3718</v>
      </c>
      <c r="Q473" s="182" t="n">
        <f aca="false">Cap_In!C41</f>
        <v>0.1</v>
      </c>
      <c r="R473" s="28" t="s">
        <v>604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3719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4887</v>
      </c>
      <c r="B474" s="221" t="s">
        <v>4783</v>
      </c>
      <c r="C474" s="28" t="s">
        <v>4784</v>
      </c>
      <c r="D474" s="28" t="s">
        <v>4888</v>
      </c>
      <c r="E474" s="6" t="s">
        <v>1178</v>
      </c>
      <c r="F474" s="28" t="s">
        <v>90</v>
      </c>
      <c r="G474" s="221" t="s">
        <v>4790</v>
      </c>
      <c r="H474" s="28" t="s">
        <v>604</v>
      </c>
      <c r="I474" s="6" t="s">
        <v>604</v>
      </c>
      <c r="J474" s="28" t="s">
        <v>604</v>
      </c>
      <c r="K474" s="221"/>
      <c r="L474" s="221"/>
      <c r="M474" s="28" t="s">
        <v>4889</v>
      </c>
      <c r="N474" s="19" t="s">
        <v>4886</v>
      </c>
      <c r="O474" s="6" t="s">
        <v>604</v>
      </c>
      <c r="P474" s="221" t="s">
        <v>3718</v>
      </c>
      <c r="Q474" s="174" t="s">
        <v>604</v>
      </c>
      <c r="R474" s="28" t="s">
        <v>604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604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4890</v>
      </c>
      <c r="B475" s="221" t="s">
        <v>4783</v>
      </c>
      <c r="C475" s="28" t="s">
        <v>4784</v>
      </c>
      <c r="D475" s="28" t="s">
        <v>4748</v>
      </c>
      <c r="E475" s="6" t="s">
        <v>1180</v>
      </c>
      <c r="F475" s="28" t="s">
        <v>90</v>
      </c>
      <c r="G475" s="221" t="s">
        <v>75</v>
      </c>
      <c r="H475" s="28" t="s">
        <v>604</v>
      </c>
      <c r="I475" s="6" t="s">
        <v>604</v>
      </c>
      <c r="J475" s="28" t="s">
        <v>604</v>
      </c>
      <c r="K475" s="31" t="n">
        <f aca="false">Cap_In!D42</f>
        <v>3</v>
      </c>
      <c r="L475" s="31" t="n">
        <f aca="false">Cap_In!E42</f>
        <v>6</v>
      </c>
      <c r="M475" s="28" t="s">
        <v>604</v>
      </c>
      <c r="N475" s="6" t="s">
        <v>1180</v>
      </c>
      <c r="O475" s="6" t="s">
        <v>604</v>
      </c>
      <c r="P475" s="221" t="s">
        <v>3718</v>
      </c>
      <c r="Q475" s="31" t="n">
        <f aca="false">Cap_In!C42</f>
        <v>5</v>
      </c>
      <c r="R475" s="28" t="s">
        <v>604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3719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4891</v>
      </c>
      <c r="B476" s="221" t="s">
        <v>4783</v>
      </c>
      <c r="C476" s="28" t="s">
        <v>4784</v>
      </c>
      <c r="D476" s="28" t="s">
        <v>4892</v>
      </c>
      <c r="E476" s="6" t="s">
        <v>1180</v>
      </c>
      <c r="F476" s="28" t="s">
        <v>90</v>
      </c>
      <c r="G476" s="221" t="s">
        <v>4790</v>
      </c>
      <c r="H476" s="28" t="s">
        <v>604</v>
      </c>
      <c r="I476" s="6" t="s">
        <v>604</v>
      </c>
      <c r="J476" s="28" t="s">
        <v>604</v>
      </c>
      <c r="K476" s="221"/>
      <c r="L476" s="221"/>
      <c r="M476" s="28" t="s">
        <v>4893</v>
      </c>
      <c r="N476" s="6" t="s">
        <v>1180</v>
      </c>
      <c r="O476" s="6" t="s">
        <v>604</v>
      </c>
      <c r="P476" s="221" t="s">
        <v>3718</v>
      </c>
      <c r="Q476" s="174" t="s">
        <v>604</v>
      </c>
      <c r="R476" s="28" t="s">
        <v>604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604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4894</v>
      </c>
      <c r="B477" s="221" t="s">
        <v>4783</v>
      </c>
      <c r="C477" s="28" t="s">
        <v>4784</v>
      </c>
      <c r="D477" s="28" t="s">
        <v>4895</v>
      </c>
      <c r="E477" s="6" t="s">
        <v>1194</v>
      </c>
      <c r="F477" s="221" t="s">
        <v>4896</v>
      </c>
      <c r="G477" s="221" t="s">
        <v>4469</v>
      </c>
      <c r="H477" s="28" t="s">
        <v>4897</v>
      </c>
      <c r="I477" s="19" t="s">
        <v>4898</v>
      </c>
      <c r="J477" s="28" t="s">
        <v>4813</v>
      </c>
      <c r="K477" s="221"/>
      <c r="L477" s="221"/>
      <c r="M477" s="221" t="s">
        <v>3618</v>
      </c>
      <c r="N477" s="19" t="s">
        <v>4899</v>
      </c>
      <c r="O477" s="6" t="s">
        <v>604</v>
      </c>
      <c r="P477" s="221" t="s">
        <v>3718</v>
      </c>
      <c r="Q477" s="174" t="s">
        <v>604</v>
      </c>
      <c r="R477" s="174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604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4900</v>
      </c>
      <c r="B478" s="221" t="s">
        <v>4783</v>
      </c>
      <c r="C478" s="28" t="s">
        <v>4784</v>
      </c>
      <c r="D478" s="28" t="s">
        <v>4901</v>
      </c>
      <c r="E478" s="6" t="s">
        <v>1194</v>
      </c>
      <c r="F478" s="28" t="s">
        <v>3807</v>
      </c>
      <c r="G478" s="221" t="s">
        <v>4469</v>
      </c>
      <c r="H478" s="28" t="s">
        <v>604</v>
      </c>
      <c r="I478" s="6" t="s">
        <v>604</v>
      </c>
      <c r="J478" s="28" t="s">
        <v>4902</v>
      </c>
      <c r="K478" s="221"/>
      <c r="L478" s="221"/>
      <c r="M478" s="221" t="s">
        <v>3618</v>
      </c>
      <c r="N478" s="19" t="s">
        <v>4903</v>
      </c>
      <c r="O478" s="6" t="s">
        <v>604</v>
      </c>
      <c r="P478" s="221" t="s">
        <v>3718</v>
      </c>
      <c r="Q478" s="174" t="s">
        <v>604</v>
      </c>
      <c r="R478" s="28" t="s">
        <v>604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604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4904</v>
      </c>
      <c r="B479" s="221" t="s">
        <v>4783</v>
      </c>
      <c r="C479" s="28" t="s">
        <v>4784</v>
      </c>
      <c r="D479" s="28" t="s">
        <v>4905</v>
      </c>
      <c r="E479" s="6" t="s">
        <v>1209</v>
      </c>
      <c r="F479" s="28" t="s">
        <v>90</v>
      </c>
      <c r="G479" s="221" t="s">
        <v>3715</v>
      </c>
      <c r="H479" s="28" t="s">
        <v>604</v>
      </c>
      <c r="I479" s="6" t="s">
        <v>604</v>
      </c>
      <c r="J479" s="28" t="s">
        <v>604</v>
      </c>
      <c r="K479" s="223" t="n">
        <v>0.125</v>
      </c>
      <c r="L479" s="223" t="n">
        <v>0.5</v>
      </c>
      <c r="M479" s="28" t="s">
        <v>4906</v>
      </c>
      <c r="N479" s="6" t="s">
        <v>4907</v>
      </c>
      <c r="O479" s="6" t="s">
        <v>4908</v>
      </c>
      <c r="P479" s="221" t="s">
        <v>3718</v>
      </c>
      <c r="Q479" s="43" t="n">
        <f aca="false">Cap_In!F50</f>
        <v>0.5</v>
      </c>
      <c r="R479" s="28" t="s">
        <v>604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3719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4909</v>
      </c>
      <c r="B480" s="221" t="s">
        <v>4783</v>
      </c>
      <c r="C480" s="28" t="s">
        <v>4784</v>
      </c>
      <c r="D480" s="28" t="s">
        <v>4910</v>
      </c>
      <c r="E480" s="6" t="s">
        <v>1212</v>
      </c>
      <c r="F480" s="28" t="s">
        <v>90</v>
      </c>
      <c r="G480" s="221" t="s">
        <v>3715</v>
      </c>
      <c r="H480" s="28" t="s">
        <v>604</v>
      </c>
      <c r="I480" s="6" t="s">
        <v>604</v>
      </c>
      <c r="J480" s="28" t="s">
        <v>604</v>
      </c>
      <c r="K480" s="223" t="n">
        <v>0.1</v>
      </c>
      <c r="L480" s="223" t="n">
        <v>0.4</v>
      </c>
      <c r="M480" s="28" t="s">
        <v>4911</v>
      </c>
      <c r="N480" s="6" t="s">
        <v>4912</v>
      </c>
      <c r="O480" s="6" t="s">
        <v>4908</v>
      </c>
      <c r="P480" s="221" t="s">
        <v>3718</v>
      </c>
      <c r="Q480" s="43" t="n">
        <f aca="false">Cap_In!F51</f>
        <v>0.2</v>
      </c>
      <c r="R480" s="28" t="s">
        <v>604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3719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4913</v>
      </c>
      <c r="B481" s="221" t="s">
        <v>4783</v>
      </c>
      <c r="C481" s="28" t="s">
        <v>4784</v>
      </c>
      <c r="D481" s="28" t="s">
        <v>4914</v>
      </c>
      <c r="E481" s="6" t="s">
        <v>1221</v>
      </c>
      <c r="F481" s="28" t="s">
        <v>94</v>
      </c>
      <c r="G481" s="221" t="s">
        <v>3715</v>
      </c>
      <c r="H481" s="28" t="s">
        <v>4915</v>
      </c>
      <c r="I481" s="19" t="s">
        <v>4916</v>
      </c>
      <c r="J481" s="28" t="s">
        <v>604</v>
      </c>
      <c r="K481" s="223" t="n">
        <v>33</v>
      </c>
      <c r="L481" s="223" t="n">
        <v>39</v>
      </c>
      <c r="M481" s="28" t="s">
        <v>4917</v>
      </c>
      <c r="N481" s="19" t="s">
        <v>4918</v>
      </c>
      <c r="O481" s="6" t="s">
        <v>4919</v>
      </c>
      <c r="P481" s="221" t="s">
        <v>3718</v>
      </c>
      <c r="Q481" s="31" t="n">
        <f aca="false">Cap_In!I53</f>
        <v>36</v>
      </c>
      <c r="R481" s="174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3719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4920</v>
      </c>
      <c r="B482" s="221" t="s">
        <v>4783</v>
      </c>
      <c r="C482" s="28" t="s">
        <v>4784</v>
      </c>
      <c r="D482" s="28" t="s">
        <v>4921</v>
      </c>
      <c r="E482" s="6" t="s">
        <v>1229</v>
      </c>
      <c r="F482" s="28" t="s">
        <v>94</v>
      </c>
      <c r="G482" s="221" t="s">
        <v>3715</v>
      </c>
      <c r="H482" s="28" t="s">
        <v>4922</v>
      </c>
      <c r="I482" s="19" t="s">
        <v>4923</v>
      </c>
      <c r="J482" s="28" t="s">
        <v>604</v>
      </c>
      <c r="K482" s="223" t="n">
        <v>37</v>
      </c>
      <c r="L482" s="223" t="n">
        <v>43</v>
      </c>
      <c r="M482" s="28" t="s">
        <v>4924</v>
      </c>
      <c r="N482" s="19" t="s">
        <v>4925</v>
      </c>
      <c r="O482" s="6" t="s">
        <v>4926</v>
      </c>
      <c r="P482" s="221" t="s">
        <v>3718</v>
      </c>
      <c r="Q482" s="31" t="n">
        <f aca="false">Cap_In!I56</f>
        <v>40</v>
      </c>
      <c r="R482" s="174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3719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4927</v>
      </c>
      <c r="B483" s="221" t="s">
        <v>4783</v>
      </c>
      <c r="C483" s="28" t="s">
        <v>4928</v>
      </c>
      <c r="D483" s="28" t="s">
        <v>4374</v>
      </c>
      <c r="E483" s="19" t="s">
        <v>4929</v>
      </c>
      <c r="F483" s="28" t="s">
        <v>82</v>
      </c>
      <c r="G483" s="221" t="s">
        <v>3715</v>
      </c>
      <c r="H483" s="28" t="s">
        <v>604</v>
      </c>
      <c r="I483" s="6" t="s">
        <v>604</v>
      </c>
      <c r="J483" s="28" t="s">
        <v>4441</v>
      </c>
      <c r="K483" s="221"/>
      <c r="L483" s="221"/>
      <c r="M483" s="221" t="s">
        <v>3618</v>
      </c>
      <c r="N483" s="6" t="s">
        <v>4930</v>
      </c>
      <c r="O483" s="6" t="s">
        <v>604</v>
      </c>
      <c r="P483" s="221" t="s">
        <v>3718</v>
      </c>
      <c r="Q483" s="31" t="n">
        <f aca="false">Har_In!C5</f>
        <v>2</v>
      </c>
      <c r="R483" s="28" t="s">
        <v>604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3719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4931</v>
      </c>
      <c r="B484" s="221" t="s">
        <v>4783</v>
      </c>
      <c r="C484" s="28" t="s">
        <v>4928</v>
      </c>
      <c r="D484" s="28" t="s">
        <v>3891</v>
      </c>
      <c r="E484" s="19" t="s">
        <v>4932</v>
      </c>
      <c r="F484" s="28" t="s">
        <v>82</v>
      </c>
      <c r="G484" s="221" t="s">
        <v>3715</v>
      </c>
      <c r="H484" s="28" t="s">
        <v>604</v>
      </c>
      <c r="I484" s="6" t="s">
        <v>604</v>
      </c>
      <c r="J484" s="28" t="s">
        <v>3670</v>
      </c>
      <c r="K484" s="223" t="n">
        <v>0</v>
      </c>
      <c r="L484" s="223" t="n">
        <v>0.8</v>
      </c>
      <c r="M484" s="28" t="s">
        <v>4933</v>
      </c>
      <c r="N484" s="6" t="s">
        <v>4934</v>
      </c>
      <c r="O484" s="6" t="s">
        <v>604</v>
      </c>
      <c r="P484" s="221" t="s">
        <v>3718</v>
      </c>
      <c r="Q484" s="184" t="n">
        <f aca="false">Har_In!C8</f>
        <v>0.5</v>
      </c>
      <c r="R484" s="28" t="s">
        <v>604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3719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4935</v>
      </c>
      <c r="B485" s="221" t="s">
        <v>4783</v>
      </c>
      <c r="C485" s="28" t="s">
        <v>4928</v>
      </c>
      <c r="D485" s="28" t="s">
        <v>4936</v>
      </c>
      <c r="E485" s="19" t="s">
        <v>1841</v>
      </c>
      <c r="F485" s="28" t="s">
        <v>90</v>
      </c>
      <c r="G485" s="221" t="s">
        <v>4469</v>
      </c>
      <c r="H485" s="28" t="s">
        <v>604</v>
      </c>
      <c r="I485" s="6" t="s">
        <v>604</v>
      </c>
      <c r="J485" s="28" t="s">
        <v>604</v>
      </c>
      <c r="K485" s="221"/>
      <c r="L485" s="221"/>
      <c r="M485" s="28" t="s">
        <v>4937</v>
      </c>
      <c r="N485" s="19" t="s">
        <v>4938</v>
      </c>
      <c r="O485" s="6" t="s">
        <v>604</v>
      </c>
      <c r="P485" s="221" t="s">
        <v>3718</v>
      </c>
      <c r="Q485" s="174" t="s">
        <v>604</v>
      </c>
      <c r="R485" s="28" t="s">
        <v>604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604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4939</v>
      </c>
      <c r="B486" s="221" t="s">
        <v>4783</v>
      </c>
      <c r="C486" s="28" t="s">
        <v>4928</v>
      </c>
      <c r="D486" s="28" t="s">
        <v>4940</v>
      </c>
      <c r="E486" s="19" t="s">
        <v>4941</v>
      </c>
      <c r="F486" s="28" t="s">
        <v>90</v>
      </c>
      <c r="G486" s="221" t="s">
        <v>4469</v>
      </c>
      <c r="H486" s="28" t="s">
        <v>604</v>
      </c>
      <c r="I486" s="6" t="s">
        <v>604</v>
      </c>
      <c r="J486" s="28" t="s">
        <v>604</v>
      </c>
      <c r="K486" s="221"/>
      <c r="L486" s="221"/>
      <c r="M486" s="28" t="s">
        <v>4942</v>
      </c>
      <c r="N486" s="19" t="s">
        <v>4943</v>
      </c>
      <c r="O486" s="6" t="s">
        <v>4944</v>
      </c>
      <c r="P486" s="221" t="s">
        <v>3718</v>
      </c>
      <c r="Q486" s="174" t="s">
        <v>604</v>
      </c>
      <c r="R486" s="28" t="s">
        <v>604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604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4945</v>
      </c>
      <c r="B487" s="221" t="s">
        <v>4783</v>
      </c>
      <c r="C487" s="28" t="s">
        <v>4928</v>
      </c>
      <c r="D487" s="28" t="s">
        <v>4946</v>
      </c>
      <c r="E487" s="19" t="s">
        <v>1846</v>
      </c>
      <c r="F487" s="28" t="s">
        <v>90</v>
      </c>
      <c r="G487" s="221" t="s">
        <v>4469</v>
      </c>
      <c r="H487" s="28" t="s">
        <v>604</v>
      </c>
      <c r="I487" s="6" t="s">
        <v>604</v>
      </c>
      <c r="J487" s="28" t="s">
        <v>604</v>
      </c>
      <c r="K487" s="221"/>
      <c r="L487" s="221"/>
      <c r="M487" s="28" t="s">
        <v>4947</v>
      </c>
      <c r="N487" s="19" t="s">
        <v>4948</v>
      </c>
      <c r="O487" s="6" t="s">
        <v>604</v>
      </c>
      <c r="P487" s="221" t="s">
        <v>3718</v>
      </c>
      <c r="Q487" s="174" t="s">
        <v>604</v>
      </c>
      <c r="R487" s="28" t="s">
        <v>604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604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4949</v>
      </c>
      <c r="B488" s="221" t="s">
        <v>4783</v>
      </c>
      <c r="C488" s="28" t="s">
        <v>4928</v>
      </c>
      <c r="D488" s="28" t="s">
        <v>4950</v>
      </c>
      <c r="E488" s="19" t="s">
        <v>4951</v>
      </c>
      <c r="F488" s="28" t="s">
        <v>90</v>
      </c>
      <c r="G488" s="221" t="s">
        <v>4469</v>
      </c>
      <c r="H488" s="28" t="s">
        <v>604</v>
      </c>
      <c r="I488" s="6" t="s">
        <v>604</v>
      </c>
      <c r="J488" s="28" t="s">
        <v>604</v>
      </c>
      <c r="K488" s="221"/>
      <c r="L488" s="221"/>
      <c r="M488" s="28" t="s">
        <v>4952</v>
      </c>
      <c r="N488" s="19" t="s">
        <v>4953</v>
      </c>
      <c r="O488" s="6" t="s">
        <v>604</v>
      </c>
      <c r="P488" s="221" t="s">
        <v>3718</v>
      </c>
      <c r="Q488" s="174" t="s">
        <v>604</v>
      </c>
      <c r="R488" s="28" t="s">
        <v>604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604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4954</v>
      </c>
      <c r="B489" s="221" t="s">
        <v>4783</v>
      </c>
      <c r="C489" s="28" t="s">
        <v>4928</v>
      </c>
      <c r="D489" s="28" t="s">
        <v>4955</v>
      </c>
      <c r="E489" s="19" t="s">
        <v>1850</v>
      </c>
      <c r="F489" s="28" t="s">
        <v>90</v>
      </c>
      <c r="G489" s="221" t="s">
        <v>4469</v>
      </c>
      <c r="H489" s="28" t="s">
        <v>604</v>
      </c>
      <c r="I489" s="6" t="s">
        <v>604</v>
      </c>
      <c r="J489" s="28" t="s">
        <v>604</v>
      </c>
      <c r="K489" s="221"/>
      <c r="L489" s="221"/>
      <c r="M489" s="28" t="s">
        <v>4956</v>
      </c>
      <c r="N489" s="19" t="s">
        <v>4957</v>
      </c>
      <c r="O489" s="6" t="s">
        <v>604</v>
      </c>
      <c r="P489" s="221" t="s">
        <v>3718</v>
      </c>
      <c r="Q489" s="174" t="s">
        <v>604</v>
      </c>
      <c r="R489" s="28" t="s">
        <v>604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604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4958</v>
      </c>
      <c r="B490" s="221" t="s">
        <v>4783</v>
      </c>
      <c r="C490" s="28" t="s">
        <v>4928</v>
      </c>
      <c r="D490" s="28" t="s">
        <v>4959</v>
      </c>
      <c r="E490" s="19" t="s">
        <v>1853</v>
      </c>
      <c r="F490" s="28" t="s">
        <v>90</v>
      </c>
      <c r="G490" s="221" t="s">
        <v>4469</v>
      </c>
      <c r="H490" s="28" t="s">
        <v>604</v>
      </c>
      <c r="I490" s="6" t="s">
        <v>604</v>
      </c>
      <c r="J490" s="28" t="s">
        <v>604</v>
      </c>
      <c r="K490" s="221"/>
      <c r="L490" s="221"/>
      <c r="M490" s="28" t="s">
        <v>4960</v>
      </c>
      <c r="N490" s="19" t="s">
        <v>4961</v>
      </c>
      <c r="O490" s="6" t="s">
        <v>604</v>
      </c>
      <c r="P490" s="221" t="s">
        <v>3718</v>
      </c>
      <c r="Q490" s="174" t="s">
        <v>604</v>
      </c>
      <c r="R490" s="28" t="s">
        <v>604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604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4962</v>
      </c>
      <c r="B491" s="221" t="s">
        <v>4783</v>
      </c>
      <c r="C491" s="28" t="s">
        <v>4928</v>
      </c>
      <c r="D491" s="28" t="s">
        <v>4963</v>
      </c>
      <c r="E491" s="19" t="s">
        <v>1857</v>
      </c>
      <c r="F491" s="28" t="s">
        <v>90</v>
      </c>
      <c r="G491" s="221" t="s">
        <v>4469</v>
      </c>
      <c r="H491" s="28" t="s">
        <v>604</v>
      </c>
      <c r="I491" s="6" t="s">
        <v>604</v>
      </c>
      <c r="J491" s="28" t="s">
        <v>604</v>
      </c>
      <c r="K491" s="221"/>
      <c r="L491" s="221"/>
      <c r="M491" s="28" t="s">
        <v>4964</v>
      </c>
      <c r="N491" s="19" t="s">
        <v>4965</v>
      </c>
      <c r="O491" s="6" t="s">
        <v>604</v>
      </c>
      <c r="P491" s="221" t="s">
        <v>3718</v>
      </c>
      <c r="Q491" s="174" t="s">
        <v>604</v>
      </c>
      <c r="R491" s="28" t="s">
        <v>604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604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4966</v>
      </c>
      <c r="B492" s="221" t="s">
        <v>4783</v>
      </c>
      <c r="C492" s="28" t="s">
        <v>4928</v>
      </c>
      <c r="D492" s="28" t="s">
        <v>4967</v>
      </c>
      <c r="E492" s="19" t="s">
        <v>1855</v>
      </c>
      <c r="F492" s="28" t="s">
        <v>94</v>
      </c>
      <c r="G492" s="221" t="s">
        <v>4469</v>
      </c>
      <c r="H492" s="28" t="s">
        <v>4968</v>
      </c>
      <c r="I492" s="19" t="s">
        <v>4969</v>
      </c>
      <c r="J492" s="28" t="s">
        <v>604</v>
      </c>
      <c r="K492" s="221"/>
      <c r="L492" s="221"/>
      <c r="M492" s="28" t="s">
        <v>4970</v>
      </c>
      <c r="N492" s="19" t="s">
        <v>4971</v>
      </c>
      <c r="O492" s="6" t="s">
        <v>604</v>
      </c>
      <c r="P492" s="221" t="s">
        <v>3718</v>
      </c>
      <c r="Q492" s="174" t="s">
        <v>604</v>
      </c>
      <c r="R492" s="174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604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4972</v>
      </c>
      <c r="B493" s="221" t="s">
        <v>4783</v>
      </c>
      <c r="C493" s="28" t="s">
        <v>4928</v>
      </c>
      <c r="D493" s="28" t="s">
        <v>4973</v>
      </c>
      <c r="E493" s="19" t="s">
        <v>4974</v>
      </c>
      <c r="F493" s="28" t="s">
        <v>90</v>
      </c>
      <c r="G493" s="221" t="s">
        <v>4469</v>
      </c>
      <c r="H493" s="28" t="s">
        <v>604</v>
      </c>
      <c r="I493" s="6" t="s">
        <v>604</v>
      </c>
      <c r="J493" s="28" t="s">
        <v>604</v>
      </c>
      <c r="K493" s="221"/>
      <c r="L493" s="221"/>
      <c r="M493" s="221" t="s">
        <v>3618</v>
      </c>
      <c r="N493" s="19" t="s">
        <v>4975</v>
      </c>
      <c r="O493" s="6" t="s">
        <v>4976</v>
      </c>
      <c r="P493" s="221" t="s">
        <v>3718</v>
      </c>
      <c r="Q493" s="174" t="s">
        <v>604</v>
      </c>
      <c r="R493" s="28" t="s">
        <v>604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604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4977</v>
      </c>
      <c r="B494" s="221" t="s">
        <v>4783</v>
      </c>
      <c r="C494" s="28" t="s">
        <v>4928</v>
      </c>
      <c r="D494" s="28" t="s">
        <v>4978</v>
      </c>
      <c r="E494" s="19" t="s">
        <v>1841</v>
      </c>
      <c r="F494" s="28" t="s">
        <v>90</v>
      </c>
      <c r="G494" s="221" t="s">
        <v>4469</v>
      </c>
      <c r="H494" s="28" t="s">
        <v>604</v>
      </c>
      <c r="I494" s="6" t="s">
        <v>604</v>
      </c>
      <c r="J494" s="28" t="s">
        <v>604</v>
      </c>
      <c r="K494" s="221"/>
      <c r="L494" s="221"/>
      <c r="M494" s="28" t="s">
        <v>4979</v>
      </c>
      <c r="N494" s="19" t="s">
        <v>4980</v>
      </c>
      <c r="O494" s="6" t="s">
        <v>604</v>
      </c>
      <c r="P494" s="221" t="s">
        <v>3718</v>
      </c>
      <c r="Q494" s="174" t="s">
        <v>604</v>
      </c>
      <c r="R494" s="28" t="s">
        <v>604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604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4981</v>
      </c>
      <c r="B495" s="221" t="s">
        <v>4783</v>
      </c>
      <c r="C495" s="28" t="s">
        <v>4928</v>
      </c>
      <c r="D495" s="28" t="s">
        <v>4982</v>
      </c>
      <c r="E495" s="19" t="s">
        <v>4941</v>
      </c>
      <c r="F495" s="28" t="s">
        <v>90</v>
      </c>
      <c r="G495" s="221" t="s">
        <v>4469</v>
      </c>
      <c r="H495" s="28" t="s">
        <v>604</v>
      </c>
      <c r="I495" s="6" t="s">
        <v>604</v>
      </c>
      <c r="J495" s="28" t="s">
        <v>604</v>
      </c>
      <c r="K495" s="221"/>
      <c r="L495" s="221"/>
      <c r="M495" s="28" t="s">
        <v>4942</v>
      </c>
      <c r="N495" s="19" t="s">
        <v>4983</v>
      </c>
      <c r="O495" s="6" t="s">
        <v>604</v>
      </c>
      <c r="P495" s="221" t="s">
        <v>3718</v>
      </c>
      <c r="Q495" s="174" t="s">
        <v>604</v>
      </c>
      <c r="R495" s="28" t="s">
        <v>604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604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4984</v>
      </c>
      <c r="B496" s="221" t="s">
        <v>4783</v>
      </c>
      <c r="C496" s="28" t="s">
        <v>4928</v>
      </c>
      <c r="D496" s="28" t="s">
        <v>4985</v>
      </c>
      <c r="E496" s="19" t="s">
        <v>1846</v>
      </c>
      <c r="F496" s="28" t="s">
        <v>90</v>
      </c>
      <c r="G496" s="221" t="s">
        <v>4469</v>
      </c>
      <c r="H496" s="28" t="s">
        <v>604</v>
      </c>
      <c r="I496" s="6" t="s">
        <v>604</v>
      </c>
      <c r="J496" s="28" t="s">
        <v>604</v>
      </c>
      <c r="K496" s="221"/>
      <c r="L496" s="221"/>
      <c r="M496" s="28" t="s">
        <v>4986</v>
      </c>
      <c r="N496" s="19" t="s">
        <v>4987</v>
      </c>
      <c r="O496" s="6" t="s">
        <v>604</v>
      </c>
      <c r="P496" s="221" t="s">
        <v>3718</v>
      </c>
      <c r="Q496" s="174" t="s">
        <v>604</v>
      </c>
      <c r="R496" s="28" t="s">
        <v>604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604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4988</v>
      </c>
      <c r="B497" s="221" t="s">
        <v>4783</v>
      </c>
      <c r="C497" s="28" t="s">
        <v>4928</v>
      </c>
      <c r="D497" s="28" t="s">
        <v>4989</v>
      </c>
      <c r="E497" s="19" t="s">
        <v>4951</v>
      </c>
      <c r="F497" s="28" t="s">
        <v>90</v>
      </c>
      <c r="G497" s="221" t="s">
        <v>4469</v>
      </c>
      <c r="H497" s="28" t="s">
        <v>604</v>
      </c>
      <c r="I497" s="6" t="s">
        <v>604</v>
      </c>
      <c r="J497" s="28" t="s">
        <v>604</v>
      </c>
      <c r="K497" s="221"/>
      <c r="L497" s="221"/>
      <c r="M497" s="28" t="s">
        <v>4990</v>
      </c>
      <c r="N497" s="19" t="s">
        <v>4991</v>
      </c>
      <c r="O497" s="6" t="s">
        <v>604</v>
      </c>
      <c r="P497" s="221" t="s">
        <v>3718</v>
      </c>
      <c r="Q497" s="174" t="s">
        <v>604</v>
      </c>
      <c r="R497" s="28" t="s">
        <v>604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604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4992</v>
      </c>
      <c r="B498" s="221" t="s">
        <v>4783</v>
      </c>
      <c r="C498" s="28" t="s">
        <v>4928</v>
      </c>
      <c r="D498" s="28" t="s">
        <v>4993</v>
      </c>
      <c r="E498" s="19" t="s">
        <v>1850</v>
      </c>
      <c r="F498" s="28" t="s">
        <v>90</v>
      </c>
      <c r="G498" s="221" t="s">
        <v>4469</v>
      </c>
      <c r="H498" s="28" t="s">
        <v>604</v>
      </c>
      <c r="I498" s="6" t="s">
        <v>604</v>
      </c>
      <c r="J498" s="28" t="s">
        <v>604</v>
      </c>
      <c r="K498" s="221"/>
      <c r="L498" s="221"/>
      <c r="M498" s="28" t="s">
        <v>4956</v>
      </c>
      <c r="N498" s="19" t="s">
        <v>4994</v>
      </c>
      <c r="O498" s="6" t="s">
        <v>604</v>
      </c>
      <c r="P498" s="221" t="s">
        <v>3718</v>
      </c>
      <c r="Q498" s="174" t="s">
        <v>604</v>
      </c>
      <c r="R498" s="28" t="s">
        <v>604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604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4995</v>
      </c>
      <c r="B499" s="221" t="s">
        <v>4783</v>
      </c>
      <c r="C499" s="28" t="s">
        <v>4928</v>
      </c>
      <c r="D499" s="28" t="s">
        <v>4996</v>
      </c>
      <c r="E499" s="19" t="s">
        <v>1855</v>
      </c>
      <c r="F499" s="28" t="s">
        <v>90</v>
      </c>
      <c r="G499" s="221" t="s">
        <v>4469</v>
      </c>
      <c r="H499" s="28" t="s">
        <v>604</v>
      </c>
      <c r="I499" s="6" t="s">
        <v>604</v>
      </c>
      <c r="J499" s="28" t="s">
        <v>604</v>
      </c>
      <c r="K499" s="221"/>
      <c r="L499" s="221"/>
      <c r="M499" s="28" t="s">
        <v>4997</v>
      </c>
      <c r="N499" s="19" t="s">
        <v>4998</v>
      </c>
      <c r="O499" s="6" t="s">
        <v>604</v>
      </c>
      <c r="P499" s="221" t="s">
        <v>3718</v>
      </c>
      <c r="Q499" s="174" t="s">
        <v>604</v>
      </c>
      <c r="R499" s="28" t="s">
        <v>604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604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4999</v>
      </c>
      <c r="B500" s="221" t="s">
        <v>4783</v>
      </c>
      <c r="C500" s="28" t="s">
        <v>4928</v>
      </c>
      <c r="D500" s="28" t="s">
        <v>5000</v>
      </c>
      <c r="E500" s="19" t="s">
        <v>1857</v>
      </c>
      <c r="F500" s="28" t="s">
        <v>90</v>
      </c>
      <c r="G500" s="221" t="s">
        <v>4469</v>
      </c>
      <c r="H500" s="28" t="s">
        <v>604</v>
      </c>
      <c r="I500" s="6" t="s">
        <v>604</v>
      </c>
      <c r="J500" s="28" t="s">
        <v>604</v>
      </c>
      <c r="K500" s="221"/>
      <c r="L500" s="221"/>
      <c r="M500" s="28" t="s">
        <v>5001</v>
      </c>
      <c r="N500" s="19" t="s">
        <v>5002</v>
      </c>
      <c r="O500" s="6" t="s">
        <v>604</v>
      </c>
      <c r="P500" s="221" t="s">
        <v>3718</v>
      </c>
      <c r="Q500" s="174" t="s">
        <v>604</v>
      </c>
      <c r="R500" s="28" t="s">
        <v>604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604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5003</v>
      </c>
      <c r="B501" s="221" t="s">
        <v>4783</v>
      </c>
      <c r="C501" s="28" t="s">
        <v>4928</v>
      </c>
      <c r="D501" s="28" t="s">
        <v>5004</v>
      </c>
      <c r="E501" s="19" t="s">
        <v>4974</v>
      </c>
      <c r="F501" s="28" t="s">
        <v>90</v>
      </c>
      <c r="G501" s="221" t="s">
        <v>4469</v>
      </c>
      <c r="H501" s="28" t="s">
        <v>604</v>
      </c>
      <c r="I501" s="6" t="s">
        <v>604</v>
      </c>
      <c r="J501" s="28" t="s">
        <v>604</v>
      </c>
      <c r="K501" s="221"/>
      <c r="L501" s="221"/>
      <c r="M501" s="221" t="s">
        <v>3618</v>
      </c>
      <c r="N501" s="19" t="s">
        <v>5005</v>
      </c>
      <c r="O501" s="6" t="s">
        <v>604</v>
      </c>
      <c r="P501" s="221" t="s">
        <v>3718</v>
      </c>
      <c r="Q501" s="174" t="s">
        <v>604</v>
      </c>
      <c r="R501" s="28" t="s">
        <v>604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604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5006</v>
      </c>
      <c r="B502" s="221" t="s">
        <v>4783</v>
      </c>
      <c r="C502" s="28" t="s">
        <v>4928</v>
      </c>
      <c r="D502" s="28" t="s">
        <v>5007</v>
      </c>
      <c r="E502" s="19" t="s">
        <v>1853</v>
      </c>
      <c r="F502" s="28" t="s">
        <v>94</v>
      </c>
      <c r="G502" s="221" t="s">
        <v>4469</v>
      </c>
      <c r="H502" s="28" t="s">
        <v>4460</v>
      </c>
      <c r="I502" s="19" t="s">
        <v>5008</v>
      </c>
      <c r="J502" s="28" t="s">
        <v>604</v>
      </c>
      <c r="K502" s="221"/>
      <c r="L502" s="221"/>
      <c r="M502" s="28" t="s">
        <v>5009</v>
      </c>
      <c r="N502" s="19" t="s">
        <v>5010</v>
      </c>
      <c r="O502" s="6" t="s">
        <v>604</v>
      </c>
      <c r="P502" s="221" t="s">
        <v>3718</v>
      </c>
      <c r="Q502" s="174" t="s">
        <v>604</v>
      </c>
      <c r="R502" s="174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604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5011</v>
      </c>
      <c r="B503" s="221" t="s">
        <v>4783</v>
      </c>
      <c r="C503" s="28" t="s">
        <v>4928</v>
      </c>
      <c r="D503" s="28" t="s">
        <v>5012</v>
      </c>
      <c r="E503" s="6" t="s">
        <v>1867</v>
      </c>
      <c r="F503" s="28" t="s">
        <v>94</v>
      </c>
      <c r="G503" s="221" t="s">
        <v>4469</v>
      </c>
      <c r="H503" s="28" t="s">
        <v>5013</v>
      </c>
      <c r="I503" s="19" t="s">
        <v>5014</v>
      </c>
      <c r="J503" s="28" t="s">
        <v>604</v>
      </c>
      <c r="K503" s="221"/>
      <c r="L503" s="221"/>
      <c r="M503" s="221" t="s">
        <v>5015</v>
      </c>
      <c r="N503" s="19" t="s">
        <v>5016</v>
      </c>
      <c r="O503" s="6" t="s">
        <v>604</v>
      </c>
      <c r="P503" s="221" t="s">
        <v>3774</v>
      </c>
      <c r="Q503" s="174" t="s">
        <v>604</v>
      </c>
      <c r="R503" s="174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604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5017</v>
      </c>
      <c r="B504" s="221" t="s">
        <v>4783</v>
      </c>
      <c r="C504" s="28" t="s">
        <v>4928</v>
      </c>
      <c r="D504" s="28" t="s">
        <v>5018</v>
      </c>
      <c r="E504" s="6" t="s">
        <v>1869</v>
      </c>
      <c r="F504" s="28" t="s">
        <v>94</v>
      </c>
      <c r="G504" s="221" t="s">
        <v>1133</v>
      </c>
      <c r="H504" s="28" t="s">
        <v>5013</v>
      </c>
      <c r="I504" s="19" t="s">
        <v>3738</v>
      </c>
      <c r="J504" s="28" t="s">
        <v>604</v>
      </c>
      <c r="K504" s="221"/>
      <c r="L504" s="221"/>
      <c r="M504" s="28" t="s">
        <v>604</v>
      </c>
      <c r="N504" s="19" t="s">
        <v>5019</v>
      </c>
      <c r="O504" s="6" t="s">
        <v>604</v>
      </c>
      <c r="P504" s="221" t="s">
        <v>3718</v>
      </c>
      <c r="Q504" s="174" t="s">
        <v>604</v>
      </c>
      <c r="R504" s="174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604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5020</v>
      </c>
      <c r="B505" s="221" t="s">
        <v>4783</v>
      </c>
      <c r="C505" s="28" t="s">
        <v>4928</v>
      </c>
      <c r="D505" s="28" t="s">
        <v>5021</v>
      </c>
      <c r="E505" s="6" t="s">
        <v>1870</v>
      </c>
      <c r="F505" s="28" t="s">
        <v>94</v>
      </c>
      <c r="G505" s="221" t="s">
        <v>1134</v>
      </c>
      <c r="H505" s="28" t="s">
        <v>5022</v>
      </c>
      <c r="I505" s="19" t="s">
        <v>5023</v>
      </c>
      <c r="J505" s="28" t="s">
        <v>604</v>
      </c>
      <c r="K505" s="221"/>
      <c r="L505" s="221"/>
      <c r="M505" s="28" t="s">
        <v>604</v>
      </c>
      <c r="N505" s="19" t="s">
        <v>5024</v>
      </c>
      <c r="O505" s="6" t="s">
        <v>604</v>
      </c>
      <c r="P505" s="221" t="s">
        <v>3718</v>
      </c>
      <c r="Q505" s="174" t="s">
        <v>604</v>
      </c>
      <c r="R505" s="174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604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5025</v>
      </c>
      <c r="B506" s="221" t="s">
        <v>4783</v>
      </c>
      <c r="C506" s="28" t="s">
        <v>4928</v>
      </c>
      <c r="D506" s="28" t="s">
        <v>5026</v>
      </c>
      <c r="E506" s="19" t="s">
        <v>5027</v>
      </c>
      <c r="F506" s="28" t="s">
        <v>94</v>
      </c>
      <c r="G506" s="221" t="s">
        <v>75</v>
      </c>
      <c r="H506" s="28" t="s">
        <v>5028</v>
      </c>
      <c r="I506" s="19" t="s">
        <v>5029</v>
      </c>
      <c r="J506" s="28" t="s">
        <v>604</v>
      </c>
      <c r="K506" s="182" t="n">
        <f aca="false">Har_In!D51</f>
        <v>0.65</v>
      </c>
      <c r="L506" s="182" t="n">
        <f aca="false">Har_In!E51</f>
        <v>1</v>
      </c>
      <c r="M506" s="28" t="s">
        <v>604</v>
      </c>
      <c r="N506" s="6" t="s">
        <v>5030</v>
      </c>
      <c r="O506" s="6" t="s">
        <v>5031</v>
      </c>
      <c r="P506" s="221" t="s">
        <v>3774</v>
      </c>
      <c r="Q506" s="182" t="n">
        <f aca="false">Har_In!C51</f>
        <v>0.75</v>
      </c>
      <c r="R506" s="174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3719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5032</v>
      </c>
      <c r="B507" s="221" t="s">
        <v>4783</v>
      </c>
      <c r="C507" s="28" t="s">
        <v>4928</v>
      </c>
      <c r="D507" s="28" t="s">
        <v>5033</v>
      </c>
      <c r="E507" s="19" t="s">
        <v>5027</v>
      </c>
      <c r="F507" s="28" t="s">
        <v>94</v>
      </c>
      <c r="G507" s="221" t="s">
        <v>4790</v>
      </c>
      <c r="H507" s="28" t="s">
        <v>5028</v>
      </c>
      <c r="I507" s="19" t="s">
        <v>5029</v>
      </c>
      <c r="J507" s="28" t="s">
        <v>604</v>
      </c>
      <c r="K507" s="221"/>
      <c r="L507" s="221"/>
      <c r="M507" s="28" t="s">
        <v>5034</v>
      </c>
      <c r="N507" s="6" t="s">
        <v>5035</v>
      </c>
      <c r="O507" s="6" t="s">
        <v>604</v>
      </c>
      <c r="P507" s="221" t="s">
        <v>3718</v>
      </c>
      <c r="Q507" s="174" t="s">
        <v>604</v>
      </c>
      <c r="R507" s="174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604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5036</v>
      </c>
      <c r="B508" s="221" t="s">
        <v>4783</v>
      </c>
      <c r="C508" s="28" t="s">
        <v>4928</v>
      </c>
      <c r="D508" s="28" t="s">
        <v>5037</v>
      </c>
      <c r="E508" s="19" t="s">
        <v>1875</v>
      </c>
      <c r="F508" s="28" t="s">
        <v>90</v>
      </c>
      <c r="G508" s="221" t="s">
        <v>4469</v>
      </c>
      <c r="H508" s="28" t="s">
        <v>604</v>
      </c>
      <c r="I508" s="6" t="s">
        <v>604</v>
      </c>
      <c r="J508" s="28" t="s">
        <v>604</v>
      </c>
      <c r="K508" s="221"/>
      <c r="L508" s="221"/>
      <c r="M508" s="221" t="s">
        <v>5038</v>
      </c>
      <c r="N508" s="6" t="s">
        <v>5039</v>
      </c>
      <c r="O508" s="6" t="s">
        <v>604</v>
      </c>
      <c r="P508" s="221" t="s">
        <v>3774</v>
      </c>
      <c r="Q508" s="174" t="s">
        <v>604</v>
      </c>
      <c r="R508" s="28" t="s">
        <v>604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604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5040</v>
      </c>
      <c r="B509" s="221" t="s">
        <v>4783</v>
      </c>
      <c r="C509" s="28" t="s">
        <v>4928</v>
      </c>
      <c r="D509" s="28" t="s">
        <v>5041</v>
      </c>
      <c r="E509" s="19" t="s">
        <v>1841</v>
      </c>
      <c r="F509" s="221" t="s">
        <v>365</v>
      </c>
      <c r="G509" s="221" t="s">
        <v>4469</v>
      </c>
      <c r="H509" s="28" t="s">
        <v>604</v>
      </c>
      <c r="I509" s="6" t="s">
        <v>604</v>
      </c>
      <c r="J509" s="28" t="s">
        <v>604</v>
      </c>
      <c r="K509" s="221"/>
      <c r="L509" s="221"/>
      <c r="M509" s="221" t="s">
        <v>3618</v>
      </c>
      <c r="N509" s="6" t="s">
        <v>5042</v>
      </c>
      <c r="O509" s="6" t="s">
        <v>604</v>
      </c>
      <c r="P509" s="221" t="s">
        <v>3718</v>
      </c>
      <c r="Q509" s="174" t="s">
        <v>604</v>
      </c>
      <c r="R509" s="28" t="s">
        <v>604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604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5043</v>
      </c>
      <c r="B510" s="221" t="s">
        <v>4783</v>
      </c>
      <c r="C510" s="28" t="s">
        <v>24</v>
      </c>
      <c r="D510" s="28" t="s">
        <v>5044</v>
      </c>
      <c r="E510" s="6" t="s">
        <v>602</v>
      </c>
      <c r="F510" s="28" t="s">
        <v>90</v>
      </c>
      <c r="G510" s="221" t="s">
        <v>4469</v>
      </c>
      <c r="H510" s="28" t="s">
        <v>604</v>
      </c>
      <c r="I510" s="6" t="s">
        <v>604</v>
      </c>
      <c r="J510" s="28" t="s">
        <v>604</v>
      </c>
      <c r="K510" s="221"/>
      <c r="L510" s="221"/>
      <c r="M510" s="221" t="s">
        <v>3618</v>
      </c>
      <c r="N510" s="6" t="s">
        <v>5045</v>
      </c>
      <c r="O510" s="6" t="s">
        <v>604</v>
      </c>
      <c r="P510" s="221" t="s">
        <v>3718</v>
      </c>
      <c r="Q510" s="174" t="s">
        <v>604</v>
      </c>
      <c r="R510" s="28" t="s">
        <v>604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604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5046</v>
      </c>
      <c r="B511" s="221" t="s">
        <v>4783</v>
      </c>
      <c r="C511" s="28" t="s">
        <v>24</v>
      </c>
      <c r="D511" s="28" t="s">
        <v>5047</v>
      </c>
      <c r="E511" s="6" t="s">
        <v>624</v>
      </c>
      <c r="F511" s="28" t="s">
        <v>90</v>
      </c>
      <c r="G511" s="221" t="s">
        <v>4469</v>
      </c>
      <c r="H511" s="28" t="s">
        <v>604</v>
      </c>
      <c r="I511" s="6" t="s">
        <v>604</v>
      </c>
      <c r="J511" s="28" t="s">
        <v>604</v>
      </c>
      <c r="K511" s="221"/>
      <c r="L511" s="221"/>
      <c r="M511" s="28" t="s">
        <v>5048</v>
      </c>
      <c r="N511" s="6" t="s">
        <v>5049</v>
      </c>
      <c r="O511" s="6" t="s">
        <v>604</v>
      </c>
      <c r="P511" s="221" t="s">
        <v>3718</v>
      </c>
      <c r="Q511" s="174" t="s">
        <v>604</v>
      </c>
      <c r="R511" s="28" t="s">
        <v>604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604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5050</v>
      </c>
      <c r="B512" s="221" t="s">
        <v>4783</v>
      </c>
      <c r="C512" s="28" t="s">
        <v>24</v>
      </c>
      <c r="D512" s="28" t="s">
        <v>5051</v>
      </c>
      <c r="E512" s="6" t="s">
        <v>631</v>
      </c>
      <c r="F512" s="28" t="s">
        <v>94</v>
      </c>
      <c r="G512" s="221" t="s">
        <v>4469</v>
      </c>
      <c r="H512" s="28" t="s">
        <v>4189</v>
      </c>
      <c r="I512" s="19" t="s">
        <v>5052</v>
      </c>
      <c r="J512" s="28" t="s">
        <v>604</v>
      </c>
      <c r="K512" s="221"/>
      <c r="L512" s="221"/>
      <c r="M512" s="28" t="s">
        <v>5048</v>
      </c>
      <c r="N512" s="6" t="s">
        <v>5053</v>
      </c>
      <c r="O512" s="6" t="s">
        <v>5054</v>
      </c>
      <c r="P512" s="221" t="s">
        <v>3718</v>
      </c>
      <c r="Q512" s="174" t="s">
        <v>604</v>
      </c>
      <c r="R512" s="174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604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5055</v>
      </c>
      <c r="B513" s="221" t="s">
        <v>4783</v>
      </c>
      <c r="C513" s="28" t="s">
        <v>24</v>
      </c>
      <c r="D513" s="28" t="s">
        <v>5056</v>
      </c>
      <c r="E513" s="6" t="s">
        <v>638</v>
      </c>
      <c r="F513" s="28" t="s">
        <v>90</v>
      </c>
      <c r="G513" s="221" t="s">
        <v>4469</v>
      </c>
      <c r="H513" s="28" t="s">
        <v>604</v>
      </c>
      <c r="I513" s="6" t="s">
        <v>604</v>
      </c>
      <c r="J513" s="28" t="s">
        <v>604</v>
      </c>
      <c r="K513" s="221"/>
      <c r="L513" s="221"/>
      <c r="M513" s="28" t="s">
        <v>5048</v>
      </c>
      <c r="N513" s="6" t="s">
        <v>5057</v>
      </c>
      <c r="O513" s="6" t="s">
        <v>604</v>
      </c>
      <c r="P513" s="221" t="s">
        <v>3718</v>
      </c>
      <c r="Q513" s="174" t="s">
        <v>604</v>
      </c>
      <c r="R513" s="28" t="s">
        <v>604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604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5058</v>
      </c>
      <c r="B514" s="221" t="s">
        <v>4783</v>
      </c>
      <c r="C514" s="28" t="s">
        <v>24</v>
      </c>
      <c r="D514" s="28" t="s">
        <v>5059</v>
      </c>
      <c r="E514" s="6" t="s">
        <v>645</v>
      </c>
      <c r="F514" s="28" t="s">
        <v>90</v>
      </c>
      <c r="G514" s="221" t="s">
        <v>4469</v>
      </c>
      <c r="H514" s="28" t="s">
        <v>604</v>
      </c>
      <c r="I514" s="6" t="s">
        <v>604</v>
      </c>
      <c r="J514" s="28" t="s">
        <v>604</v>
      </c>
      <c r="K514" s="221"/>
      <c r="L514" s="221"/>
      <c r="M514" s="28" t="s">
        <v>5048</v>
      </c>
      <c r="N514" s="6" t="s">
        <v>5060</v>
      </c>
      <c r="O514" s="6" t="s">
        <v>604</v>
      </c>
      <c r="P514" s="221" t="s">
        <v>3718</v>
      </c>
      <c r="Q514" s="174" t="s">
        <v>604</v>
      </c>
      <c r="R514" s="28" t="s">
        <v>604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604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5061</v>
      </c>
      <c r="B515" s="221" t="s">
        <v>4783</v>
      </c>
      <c r="C515" s="28" t="s">
        <v>24</v>
      </c>
      <c r="D515" s="28" t="s">
        <v>5062</v>
      </c>
      <c r="E515" s="6" t="s">
        <v>651</v>
      </c>
      <c r="F515" s="28" t="s">
        <v>94</v>
      </c>
      <c r="G515" s="221" t="s">
        <v>4469</v>
      </c>
      <c r="H515" s="28" t="s">
        <v>5063</v>
      </c>
      <c r="I515" s="19" t="s">
        <v>5064</v>
      </c>
      <c r="J515" s="28" t="s">
        <v>604</v>
      </c>
      <c r="K515" s="221"/>
      <c r="L515" s="221"/>
      <c r="M515" s="28" t="s">
        <v>5048</v>
      </c>
      <c r="N515" s="6" t="s">
        <v>5065</v>
      </c>
      <c r="O515" s="6" t="s">
        <v>5066</v>
      </c>
      <c r="P515" s="221" t="s">
        <v>3718</v>
      </c>
      <c r="Q515" s="174" t="s">
        <v>604</v>
      </c>
      <c r="R515" s="174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604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5067</v>
      </c>
      <c r="B516" s="221" t="s">
        <v>4783</v>
      </c>
      <c r="C516" s="28" t="s">
        <v>24</v>
      </c>
      <c r="D516" s="28" t="s">
        <v>5068</v>
      </c>
      <c r="E516" s="6" t="s">
        <v>657</v>
      </c>
      <c r="F516" s="28" t="s">
        <v>90</v>
      </c>
      <c r="G516" s="221" t="s">
        <v>4469</v>
      </c>
      <c r="H516" s="28" t="s">
        <v>604</v>
      </c>
      <c r="I516" s="6" t="s">
        <v>604</v>
      </c>
      <c r="J516" s="28" t="s">
        <v>604</v>
      </c>
      <c r="K516" s="221"/>
      <c r="L516" s="221"/>
      <c r="M516" s="28" t="s">
        <v>5048</v>
      </c>
      <c r="N516" s="6" t="s">
        <v>5069</v>
      </c>
      <c r="O516" s="6" t="s">
        <v>604</v>
      </c>
      <c r="P516" s="221" t="s">
        <v>3718</v>
      </c>
      <c r="Q516" s="174" t="s">
        <v>604</v>
      </c>
      <c r="R516" s="28" t="s">
        <v>604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604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5070</v>
      </c>
      <c r="B517" s="221" t="s">
        <v>4783</v>
      </c>
      <c r="C517" s="28" t="s">
        <v>24</v>
      </c>
      <c r="D517" s="28" t="s">
        <v>5071</v>
      </c>
      <c r="E517" s="6" t="s">
        <v>662</v>
      </c>
      <c r="F517" s="28" t="s">
        <v>90</v>
      </c>
      <c r="G517" s="221" t="s">
        <v>4469</v>
      </c>
      <c r="H517" s="28" t="s">
        <v>604</v>
      </c>
      <c r="I517" s="6" t="s">
        <v>604</v>
      </c>
      <c r="J517" s="28" t="s">
        <v>604</v>
      </c>
      <c r="K517" s="221"/>
      <c r="L517" s="221"/>
      <c r="M517" s="221" t="s">
        <v>3618</v>
      </c>
      <c r="N517" s="6" t="s">
        <v>5072</v>
      </c>
      <c r="O517" s="6" t="s">
        <v>604</v>
      </c>
      <c r="P517" s="221" t="s">
        <v>3718</v>
      </c>
      <c r="Q517" s="174" t="s">
        <v>604</v>
      </c>
      <c r="R517" s="28" t="s">
        <v>604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604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5073</v>
      </c>
      <c r="B518" s="221" t="s">
        <v>4783</v>
      </c>
      <c r="C518" s="28" t="s">
        <v>24</v>
      </c>
      <c r="D518" s="28" t="s">
        <v>5074</v>
      </c>
      <c r="E518" s="6" t="s">
        <v>602</v>
      </c>
      <c r="F518" s="221" t="s">
        <v>4468</v>
      </c>
      <c r="G518" s="221" t="s">
        <v>4469</v>
      </c>
      <c r="H518" s="28" t="s">
        <v>604</v>
      </c>
      <c r="I518" s="6" t="s">
        <v>604</v>
      </c>
      <c r="J518" s="28" t="s">
        <v>604</v>
      </c>
      <c r="K518" s="221"/>
      <c r="L518" s="221"/>
      <c r="M518" s="28" t="s">
        <v>604</v>
      </c>
      <c r="N518" s="19" t="s">
        <v>5075</v>
      </c>
      <c r="O518" s="6" t="s">
        <v>604</v>
      </c>
      <c r="P518" s="221" t="s">
        <v>3718</v>
      </c>
      <c r="Q518" s="174" t="s">
        <v>604</v>
      </c>
      <c r="R518" s="28" t="s">
        <v>604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604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5076</v>
      </c>
      <c r="B519" s="221" t="s">
        <v>4783</v>
      </c>
      <c r="C519" s="28" t="s">
        <v>24</v>
      </c>
      <c r="D519" s="28" t="s">
        <v>5077</v>
      </c>
      <c r="E519" s="6" t="s">
        <v>602</v>
      </c>
      <c r="F519" s="221" t="s">
        <v>4896</v>
      </c>
      <c r="G519" s="221" t="s">
        <v>4469</v>
      </c>
      <c r="H519" s="28" t="s">
        <v>604</v>
      </c>
      <c r="I519" s="19" t="s">
        <v>5078</v>
      </c>
      <c r="J519" s="28" t="s">
        <v>5079</v>
      </c>
      <c r="K519" s="221"/>
      <c r="L519" s="221"/>
      <c r="M519" s="221" t="s">
        <v>3618</v>
      </c>
      <c r="N519" s="19" t="s">
        <v>5080</v>
      </c>
      <c r="O519" s="6" t="s">
        <v>604</v>
      </c>
      <c r="P519" s="221" t="s">
        <v>3718</v>
      </c>
      <c r="Q519" s="174" t="s">
        <v>604</v>
      </c>
      <c r="R519" s="28" t="s">
        <v>604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604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5081</v>
      </c>
      <c r="B520" s="221" t="s">
        <v>4783</v>
      </c>
      <c r="C520" s="28" t="s">
        <v>24</v>
      </c>
      <c r="D520" s="28" t="s">
        <v>5082</v>
      </c>
      <c r="E520" s="6" t="s">
        <v>657</v>
      </c>
      <c r="F520" s="221" t="s">
        <v>4896</v>
      </c>
      <c r="G520" s="221" t="s">
        <v>4469</v>
      </c>
      <c r="H520" s="28" t="s">
        <v>604</v>
      </c>
      <c r="I520" s="19" t="s">
        <v>5078</v>
      </c>
      <c r="J520" s="28" t="s">
        <v>5079</v>
      </c>
      <c r="K520" s="221"/>
      <c r="L520" s="221"/>
      <c r="M520" s="221" t="s">
        <v>3618</v>
      </c>
      <c r="N520" s="19" t="s">
        <v>5083</v>
      </c>
      <c r="O520" s="6" t="s">
        <v>604</v>
      </c>
      <c r="P520" s="221" t="s">
        <v>3718</v>
      </c>
      <c r="Q520" s="174" t="s">
        <v>604</v>
      </c>
      <c r="R520" s="28" t="s">
        <v>604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604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5084</v>
      </c>
      <c r="B521" s="221" t="s">
        <v>4783</v>
      </c>
      <c r="C521" s="28" t="s">
        <v>24</v>
      </c>
      <c r="D521" s="28" t="s">
        <v>5085</v>
      </c>
      <c r="E521" s="6" t="s">
        <v>602</v>
      </c>
      <c r="F521" s="28" t="s">
        <v>90</v>
      </c>
      <c r="G521" s="221" t="s">
        <v>4469</v>
      </c>
      <c r="H521" s="28" t="s">
        <v>604</v>
      </c>
      <c r="I521" s="6" t="s">
        <v>604</v>
      </c>
      <c r="J521" s="28" t="s">
        <v>604</v>
      </c>
      <c r="K521" s="221"/>
      <c r="L521" s="221"/>
      <c r="M521" s="28" t="s">
        <v>5086</v>
      </c>
      <c r="N521" s="19" t="s">
        <v>5087</v>
      </c>
      <c r="O521" s="6" t="s">
        <v>604</v>
      </c>
      <c r="P521" s="221" t="s">
        <v>3718</v>
      </c>
      <c r="Q521" s="174" t="s">
        <v>604</v>
      </c>
      <c r="R521" s="28" t="s">
        <v>604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604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5088</v>
      </c>
      <c r="B522" s="221" t="s">
        <v>4783</v>
      </c>
      <c r="C522" s="28" t="s">
        <v>24</v>
      </c>
      <c r="D522" s="28" t="s">
        <v>5089</v>
      </c>
      <c r="E522" s="6" t="s">
        <v>602</v>
      </c>
      <c r="F522" s="28" t="s">
        <v>82</v>
      </c>
      <c r="G522" s="221" t="s">
        <v>4469</v>
      </c>
      <c r="H522" s="28" t="s">
        <v>604</v>
      </c>
      <c r="I522" s="6" t="s">
        <v>604</v>
      </c>
      <c r="J522" s="28" t="s">
        <v>4756</v>
      </c>
      <c r="K522" s="221"/>
      <c r="L522" s="221"/>
      <c r="M522" s="221" t="s">
        <v>3618</v>
      </c>
      <c r="N522" s="19" t="s">
        <v>5090</v>
      </c>
      <c r="O522" s="6" t="s">
        <v>604</v>
      </c>
      <c r="P522" s="221" t="s">
        <v>3718</v>
      </c>
      <c r="Q522" s="174" t="s">
        <v>604</v>
      </c>
      <c r="R522" s="28" t="s">
        <v>604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604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5091</v>
      </c>
      <c r="B523" s="221" t="s">
        <v>4783</v>
      </c>
      <c r="C523" s="28" t="s">
        <v>4736</v>
      </c>
      <c r="D523" s="28" t="s">
        <v>3878</v>
      </c>
      <c r="E523" s="19" t="s">
        <v>5092</v>
      </c>
      <c r="F523" s="28" t="s">
        <v>94</v>
      </c>
      <c r="G523" s="221" t="s">
        <v>3715</v>
      </c>
      <c r="H523" s="28" t="s">
        <v>5093</v>
      </c>
      <c r="I523" s="19" t="s">
        <v>5094</v>
      </c>
      <c r="J523" s="28" t="s">
        <v>604</v>
      </c>
      <c r="K523" s="223" t="n">
        <v>0.18</v>
      </c>
      <c r="L523" s="223" t="n">
        <v>0.35</v>
      </c>
      <c r="M523" s="28" t="s">
        <v>5095</v>
      </c>
      <c r="N523" s="19" t="s">
        <v>5096</v>
      </c>
      <c r="O523" s="6" t="s">
        <v>604</v>
      </c>
      <c r="P523" s="221" t="s">
        <v>1134</v>
      </c>
      <c r="Q523" s="184" t="n">
        <f aca="false">Train_In!C6</f>
        <v>0.25</v>
      </c>
      <c r="R523" s="174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3719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5097</v>
      </c>
      <c r="B524" s="221" t="s">
        <v>4783</v>
      </c>
      <c r="C524" s="28" t="s">
        <v>4736</v>
      </c>
      <c r="D524" s="28" t="s">
        <v>4205</v>
      </c>
      <c r="E524" s="6" t="s">
        <v>909</v>
      </c>
      <c r="F524" s="28" t="s">
        <v>94</v>
      </c>
      <c r="G524" s="221" t="s">
        <v>3715</v>
      </c>
      <c r="H524" s="28" t="s">
        <v>5098</v>
      </c>
      <c r="I524" s="19" t="s">
        <v>5099</v>
      </c>
      <c r="J524" s="28" t="s">
        <v>604</v>
      </c>
      <c r="K524" s="223" t="n">
        <v>0.8</v>
      </c>
      <c r="L524" s="223" t="n">
        <v>0.95</v>
      </c>
      <c r="M524" s="28" t="s">
        <v>5100</v>
      </c>
      <c r="N524" s="6" t="s">
        <v>5101</v>
      </c>
      <c r="O524" s="6" t="s">
        <v>604</v>
      </c>
      <c r="P524" s="221" t="s">
        <v>1134</v>
      </c>
      <c r="Q524" s="184" t="n">
        <f aca="false">Train_In!C7</f>
        <v>0.9</v>
      </c>
      <c r="R524" s="174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3719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5102</v>
      </c>
      <c r="B525" s="221" t="s">
        <v>4783</v>
      </c>
      <c r="C525" s="28" t="s">
        <v>4736</v>
      </c>
      <c r="D525" s="28" t="s">
        <v>3891</v>
      </c>
      <c r="E525" s="6" t="s">
        <v>911</v>
      </c>
      <c r="F525" s="28" t="s">
        <v>90</v>
      </c>
      <c r="G525" s="221" t="s">
        <v>3715</v>
      </c>
      <c r="H525" s="28" t="s">
        <v>604</v>
      </c>
      <c r="I525" s="6" t="s">
        <v>604</v>
      </c>
      <c r="J525" s="28" t="s">
        <v>604</v>
      </c>
      <c r="K525" s="223" t="n">
        <v>0.6</v>
      </c>
      <c r="L525" s="223" t="n">
        <v>1</v>
      </c>
      <c r="M525" s="28" t="s">
        <v>5103</v>
      </c>
      <c r="N525" s="6" t="s">
        <v>5104</v>
      </c>
      <c r="O525" s="6" t="s">
        <v>604</v>
      </c>
      <c r="P525" s="221" t="s">
        <v>1133</v>
      </c>
      <c r="Q525" s="182" t="n">
        <f aca="false">Train_In!C8</f>
        <v>0.8</v>
      </c>
      <c r="R525" s="28" t="s">
        <v>604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3719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5105</v>
      </c>
      <c r="B526" s="221" t="s">
        <v>4783</v>
      </c>
      <c r="C526" s="28" t="s">
        <v>4736</v>
      </c>
      <c r="D526" s="28" t="s">
        <v>3905</v>
      </c>
      <c r="E526" s="6" t="s">
        <v>913</v>
      </c>
      <c r="F526" s="28" t="s">
        <v>90</v>
      </c>
      <c r="G526" s="221" t="s">
        <v>3715</v>
      </c>
      <c r="H526" s="28" t="s">
        <v>604</v>
      </c>
      <c r="I526" s="6" t="s">
        <v>604</v>
      </c>
      <c r="J526" s="28" t="s">
        <v>604</v>
      </c>
      <c r="K526" s="223" t="n">
        <v>0.4</v>
      </c>
      <c r="L526" s="223" t="n">
        <v>0.9</v>
      </c>
      <c r="M526" s="28" t="s">
        <v>5106</v>
      </c>
      <c r="N526" s="6" t="s">
        <v>5107</v>
      </c>
      <c r="O526" s="6" t="s">
        <v>604</v>
      </c>
      <c r="P526" s="221" t="s">
        <v>3774</v>
      </c>
      <c r="Q526" s="182" t="n">
        <f aca="false">Train_In!C9</f>
        <v>0.6</v>
      </c>
      <c r="R526" s="28" t="s">
        <v>604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3719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5108</v>
      </c>
      <c r="B527" s="221" t="s">
        <v>4783</v>
      </c>
      <c r="C527" s="28" t="s">
        <v>4736</v>
      </c>
      <c r="D527" s="28" t="s">
        <v>3925</v>
      </c>
      <c r="E527" s="19" t="s">
        <v>5109</v>
      </c>
      <c r="F527" s="28" t="s">
        <v>90</v>
      </c>
      <c r="G527" s="221" t="s">
        <v>3715</v>
      </c>
      <c r="H527" s="28" t="s">
        <v>604</v>
      </c>
      <c r="I527" s="6" t="s">
        <v>604</v>
      </c>
      <c r="J527" s="28" t="s">
        <v>604</v>
      </c>
      <c r="K527" s="223" t="n">
        <v>0</v>
      </c>
      <c r="L527" s="223" t="n">
        <v>1</v>
      </c>
      <c r="M527" s="28" t="s">
        <v>5110</v>
      </c>
      <c r="N527" s="6" t="s">
        <v>5111</v>
      </c>
      <c r="O527" s="6" t="s">
        <v>604</v>
      </c>
      <c r="P527" s="221" t="s">
        <v>3718</v>
      </c>
      <c r="Q527" s="31" t="n">
        <f aca="false">Train_In!C10</f>
        <v>0</v>
      </c>
      <c r="R527" s="28" t="s">
        <v>604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3719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5112</v>
      </c>
      <c r="B528" s="221" t="s">
        <v>4783</v>
      </c>
      <c r="C528" s="28" t="s">
        <v>4736</v>
      </c>
      <c r="D528" s="28" t="s">
        <v>3936</v>
      </c>
      <c r="E528" s="6" t="s">
        <v>917</v>
      </c>
      <c r="F528" s="28" t="s">
        <v>94</v>
      </c>
      <c r="G528" s="221" t="s">
        <v>3715</v>
      </c>
      <c r="H528" s="28" t="s">
        <v>5063</v>
      </c>
      <c r="I528" s="19" t="s">
        <v>5113</v>
      </c>
      <c r="J528" s="28" t="s">
        <v>604</v>
      </c>
      <c r="K528" s="184" t="n">
        <f aca="false">Sens_Train!S64</f>
        <v>0.6</v>
      </c>
      <c r="L528" s="184" t="n">
        <f aca="false">Sens_Train!U64</f>
        <v>0.95</v>
      </c>
      <c r="M528" s="28" t="s">
        <v>604</v>
      </c>
      <c r="N528" s="6" t="s">
        <v>5114</v>
      </c>
      <c r="O528" s="6" t="s">
        <v>604</v>
      </c>
      <c r="P528" s="221" t="s">
        <v>3774</v>
      </c>
      <c r="Q528" s="184" t="n">
        <f aca="false">Train_In!C11</f>
        <v>0.85</v>
      </c>
      <c r="R528" s="174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3719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5115</v>
      </c>
      <c r="B529" s="221" t="s">
        <v>4783</v>
      </c>
      <c r="C529" s="28" t="s">
        <v>4736</v>
      </c>
      <c r="D529" s="28" t="s">
        <v>3957</v>
      </c>
      <c r="E529" s="6" t="s">
        <v>919</v>
      </c>
      <c r="F529" s="28" t="s">
        <v>90</v>
      </c>
      <c r="G529" s="221" t="s">
        <v>3715</v>
      </c>
      <c r="H529" s="28" t="s">
        <v>604</v>
      </c>
      <c r="I529" s="6" t="s">
        <v>604</v>
      </c>
      <c r="J529" s="28" t="s">
        <v>604</v>
      </c>
      <c r="K529" s="223" t="n">
        <v>8</v>
      </c>
      <c r="L529" s="223" t="n">
        <v>64</v>
      </c>
      <c r="M529" s="28" t="s">
        <v>5116</v>
      </c>
      <c r="N529" s="6" t="s">
        <v>5117</v>
      </c>
      <c r="O529" s="6" t="s">
        <v>4862</v>
      </c>
      <c r="P529" s="221" t="s">
        <v>1133</v>
      </c>
      <c r="Q529" s="31" t="n">
        <f aca="false">Train_In!C12</f>
        <v>16</v>
      </c>
      <c r="R529" s="28" t="s">
        <v>604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3719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5118</v>
      </c>
      <c r="B530" s="221" t="s">
        <v>4783</v>
      </c>
      <c r="C530" s="28" t="s">
        <v>4736</v>
      </c>
      <c r="D530" s="28" t="s">
        <v>3977</v>
      </c>
      <c r="E530" s="19" t="s">
        <v>5119</v>
      </c>
      <c r="F530" s="28" t="s">
        <v>94</v>
      </c>
      <c r="G530" s="221" t="s">
        <v>3715</v>
      </c>
      <c r="H530" s="28" t="s">
        <v>2808</v>
      </c>
      <c r="I530" s="19" t="s">
        <v>5120</v>
      </c>
      <c r="J530" s="28" t="s">
        <v>5121</v>
      </c>
      <c r="K530" s="189" t="n">
        <f aca="false">Sens_Train!AC119</f>
        <v>4.4</v>
      </c>
      <c r="L530" s="189" t="n">
        <f aca="false">Sens_Train!AE119</f>
        <v>10.4</v>
      </c>
      <c r="M530" s="28" t="s">
        <v>604</v>
      </c>
      <c r="N530" s="6" t="s">
        <v>5122</v>
      </c>
      <c r="O530" s="6" t="s">
        <v>604</v>
      </c>
      <c r="P530" s="221" t="s">
        <v>1134</v>
      </c>
      <c r="Q530" s="189" t="n">
        <f aca="false">Train_In!C13</f>
        <v>8</v>
      </c>
      <c r="R530" s="174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3719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5123</v>
      </c>
      <c r="B531" s="221" t="s">
        <v>4783</v>
      </c>
      <c r="C531" s="28" t="s">
        <v>4736</v>
      </c>
      <c r="D531" s="28" t="s">
        <v>4230</v>
      </c>
      <c r="E531" s="19" t="s">
        <v>5124</v>
      </c>
      <c r="F531" s="28" t="s">
        <v>90</v>
      </c>
      <c r="G531" s="221" t="s">
        <v>3715</v>
      </c>
      <c r="H531" s="28" t="s">
        <v>604</v>
      </c>
      <c r="I531" s="6" t="s">
        <v>604</v>
      </c>
      <c r="J531" s="28" t="s">
        <v>604</v>
      </c>
      <c r="K531" s="223" t="n">
        <v>2</v>
      </c>
      <c r="L531" s="223" t="n">
        <v>3</v>
      </c>
      <c r="M531" s="28" t="s">
        <v>5125</v>
      </c>
      <c r="N531" s="19" t="s">
        <v>5126</v>
      </c>
      <c r="O531" s="6" t="s">
        <v>604</v>
      </c>
      <c r="P531" s="221" t="s">
        <v>3718</v>
      </c>
      <c r="Q531" s="31" t="n">
        <f aca="false">Train_In!C15</f>
        <v>3</v>
      </c>
      <c r="R531" s="28" t="s">
        <v>604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3719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5127</v>
      </c>
      <c r="B532" s="221" t="s">
        <v>4783</v>
      </c>
      <c r="C532" s="28" t="s">
        <v>4736</v>
      </c>
      <c r="D532" s="28" t="s">
        <v>4235</v>
      </c>
      <c r="E532" s="19" t="s">
        <v>928</v>
      </c>
      <c r="F532" s="28" t="s">
        <v>82</v>
      </c>
      <c r="G532" s="221" t="s">
        <v>3715</v>
      </c>
      <c r="H532" s="28" t="s">
        <v>604</v>
      </c>
      <c r="I532" s="6" t="s">
        <v>604</v>
      </c>
      <c r="J532" s="28" t="s">
        <v>5128</v>
      </c>
      <c r="K532" s="221"/>
      <c r="L532" s="221"/>
      <c r="M532" s="221" t="s">
        <v>3618</v>
      </c>
      <c r="N532" s="6" t="s">
        <v>5129</v>
      </c>
      <c r="O532" s="6" t="s">
        <v>604</v>
      </c>
      <c r="P532" s="221" t="s">
        <v>3718</v>
      </c>
      <c r="Q532" s="31" t="n">
        <f aca="false">Train_In!C16</f>
        <v>4</v>
      </c>
      <c r="R532" s="28" t="s">
        <v>604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3719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5130</v>
      </c>
      <c r="B533" s="221" t="s">
        <v>4783</v>
      </c>
      <c r="C533" s="28" t="s">
        <v>4736</v>
      </c>
      <c r="D533" s="28" t="s">
        <v>4257</v>
      </c>
      <c r="E533" s="19" t="s">
        <v>931</v>
      </c>
      <c r="F533" s="28" t="s">
        <v>82</v>
      </c>
      <c r="G533" s="221" t="s">
        <v>3715</v>
      </c>
      <c r="H533" s="28" t="s">
        <v>604</v>
      </c>
      <c r="I533" s="6" t="s">
        <v>604</v>
      </c>
      <c r="J533" s="28" t="s">
        <v>5128</v>
      </c>
      <c r="K533" s="221"/>
      <c r="L533" s="221"/>
      <c r="M533" s="221" t="s">
        <v>3618</v>
      </c>
      <c r="N533" s="6" t="s">
        <v>5131</v>
      </c>
      <c r="O533" s="6" t="s">
        <v>604</v>
      </c>
      <c r="P533" s="221" t="s">
        <v>3718</v>
      </c>
      <c r="Q533" s="31" t="n">
        <f aca="false">Train_In!C17</f>
        <v>3</v>
      </c>
      <c r="R533" s="28" t="s">
        <v>604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3719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5132</v>
      </c>
      <c r="B534" s="221" t="s">
        <v>4783</v>
      </c>
      <c r="C534" s="28" t="s">
        <v>4736</v>
      </c>
      <c r="D534" s="28" t="s">
        <v>5133</v>
      </c>
      <c r="E534" s="19" t="s">
        <v>5134</v>
      </c>
      <c r="F534" s="28" t="s">
        <v>90</v>
      </c>
      <c r="G534" s="221" t="s">
        <v>4469</v>
      </c>
      <c r="H534" s="28" t="s">
        <v>604</v>
      </c>
      <c r="I534" s="6" t="s">
        <v>604</v>
      </c>
      <c r="J534" s="28" t="s">
        <v>604</v>
      </c>
      <c r="K534" s="221"/>
      <c r="L534" s="221"/>
      <c r="M534" s="221" t="s">
        <v>5135</v>
      </c>
      <c r="N534" s="19" t="s">
        <v>5136</v>
      </c>
      <c r="O534" s="6" t="s">
        <v>604</v>
      </c>
      <c r="P534" s="221" t="s">
        <v>1134</v>
      </c>
      <c r="Q534" s="174" t="s">
        <v>604</v>
      </c>
      <c r="R534" s="28" t="s">
        <v>604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604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5137</v>
      </c>
      <c r="B535" s="221" t="s">
        <v>4783</v>
      </c>
      <c r="C535" s="28" t="s">
        <v>4736</v>
      </c>
      <c r="D535" s="28" t="s">
        <v>3865</v>
      </c>
      <c r="E535" s="19" t="s">
        <v>4737</v>
      </c>
      <c r="F535" s="28" t="s">
        <v>90</v>
      </c>
      <c r="G535" s="221" t="s">
        <v>3715</v>
      </c>
      <c r="H535" s="28" t="s">
        <v>604</v>
      </c>
      <c r="I535" s="6" t="s">
        <v>604</v>
      </c>
      <c r="J535" s="28" t="s">
        <v>5138</v>
      </c>
      <c r="K535" s="223" t="n">
        <v>30</v>
      </c>
      <c r="L535" s="223" t="n">
        <v>100</v>
      </c>
      <c r="M535" s="28" t="s">
        <v>5139</v>
      </c>
      <c r="N535" s="6" t="s">
        <v>5140</v>
      </c>
      <c r="O535" s="6" t="s">
        <v>604</v>
      </c>
      <c r="P535" s="221" t="s">
        <v>1134</v>
      </c>
      <c r="Q535" s="185" t="n">
        <f aca="false">Train_In!E25</f>
        <v>60</v>
      </c>
      <c r="R535" s="28" t="s">
        <v>604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3719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5141</v>
      </c>
      <c r="B536" s="221" t="s">
        <v>4783</v>
      </c>
      <c r="C536" s="28" t="s">
        <v>4736</v>
      </c>
      <c r="D536" s="28" t="s">
        <v>3869</v>
      </c>
      <c r="E536" s="19" t="s">
        <v>4742</v>
      </c>
      <c r="F536" s="28" t="s">
        <v>90</v>
      </c>
      <c r="G536" s="221" t="s">
        <v>3715</v>
      </c>
      <c r="H536" s="28" t="s">
        <v>4743</v>
      </c>
      <c r="I536" s="6" t="s">
        <v>604</v>
      </c>
      <c r="J536" s="28" t="s">
        <v>604</v>
      </c>
      <c r="K536" s="223" t="n">
        <v>4096</v>
      </c>
      <c r="L536" s="223" t="n">
        <v>16384</v>
      </c>
      <c r="M536" s="28" t="s">
        <v>5142</v>
      </c>
      <c r="N536" s="6" t="s">
        <v>5143</v>
      </c>
      <c r="O536" s="6" t="s">
        <v>604</v>
      </c>
      <c r="P536" s="221" t="s">
        <v>3774</v>
      </c>
      <c r="Q536" s="46" t="n">
        <f aca="false">Train_In!E26</f>
        <v>8192</v>
      </c>
      <c r="R536" s="174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3719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5144</v>
      </c>
      <c r="B537" s="221" t="s">
        <v>4783</v>
      </c>
      <c r="C537" s="28" t="s">
        <v>4736</v>
      </c>
      <c r="D537" s="28" t="s">
        <v>5145</v>
      </c>
      <c r="E537" s="19" t="s">
        <v>5146</v>
      </c>
      <c r="F537" s="28" t="s">
        <v>90</v>
      </c>
      <c r="G537" s="221" t="s">
        <v>4469</v>
      </c>
      <c r="H537" s="28" t="s">
        <v>604</v>
      </c>
      <c r="I537" s="6" t="s">
        <v>604</v>
      </c>
      <c r="J537" s="28" t="s">
        <v>604</v>
      </c>
      <c r="K537" s="221"/>
      <c r="L537" s="221"/>
      <c r="M537" s="28" t="s">
        <v>5147</v>
      </c>
      <c r="N537" s="19" t="s">
        <v>5148</v>
      </c>
      <c r="O537" s="6" t="s">
        <v>604</v>
      </c>
      <c r="P537" s="221" t="s">
        <v>1133</v>
      </c>
      <c r="Q537" s="174" t="s">
        <v>604</v>
      </c>
      <c r="R537" s="28" t="s">
        <v>604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604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5149</v>
      </c>
      <c r="B538" s="221" t="s">
        <v>4783</v>
      </c>
      <c r="C538" s="28" t="s">
        <v>4736</v>
      </c>
      <c r="D538" s="28" t="s">
        <v>5150</v>
      </c>
      <c r="E538" s="19" t="s">
        <v>944</v>
      </c>
      <c r="F538" s="28" t="s">
        <v>90</v>
      </c>
      <c r="G538" s="221" t="s">
        <v>4469</v>
      </c>
      <c r="H538" s="28" t="s">
        <v>604</v>
      </c>
      <c r="I538" s="6" t="s">
        <v>604</v>
      </c>
      <c r="J538" s="28" t="s">
        <v>604</v>
      </c>
      <c r="K538" s="221"/>
      <c r="L538" s="221"/>
      <c r="M538" s="221" t="s">
        <v>3618</v>
      </c>
      <c r="N538" s="19" t="s">
        <v>5151</v>
      </c>
      <c r="O538" s="6" t="s">
        <v>604</v>
      </c>
      <c r="P538" s="221" t="s">
        <v>1133</v>
      </c>
      <c r="Q538" s="174" t="s">
        <v>604</v>
      </c>
      <c r="R538" s="28" t="s">
        <v>604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604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5152</v>
      </c>
      <c r="B539" s="221" t="s">
        <v>4783</v>
      </c>
      <c r="C539" s="28" t="s">
        <v>4736</v>
      </c>
      <c r="D539" s="28" t="s">
        <v>5153</v>
      </c>
      <c r="E539" s="6" t="s">
        <v>945</v>
      </c>
      <c r="F539" s="28" t="s">
        <v>90</v>
      </c>
      <c r="G539" s="221" t="s">
        <v>4469</v>
      </c>
      <c r="H539" s="28" t="s">
        <v>604</v>
      </c>
      <c r="I539" s="6" t="s">
        <v>604</v>
      </c>
      <c r="J539" s="28" t="s">
        <v>604</v>
      </c>
      <c r="K539" s="221"/>
      <c r="L539" s="221"/>
      <c r="M539" s="28" t="s">
        <v>5154</v>
      </c>
      <c r="N539" s="6" t="s">
        <v>945</v>
      </c>
      <c r="O539" s="6" t="s">
        <v>604</v>
      </c>
      <c r="P539" s="221" t="s">
        <v>1133</v>
      </c>
      <c r="Q539" s="174" t="s">
        <v>604</v>
      </c>
      <c r="R539" s="28" t="s">
        <v>604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604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5155</v>
      </c>
      <c r="B540" s="221" t="s">
        <v>4783</v>
      </c>
      <c r="C540" s="28" t="s">
        <v>4736</v>
      </c>
      <c r="D540" s="28" t="s">
        <v>5156</v>
      </c>
      <c r="E540" s="6" t="s">
        <v>947</v>
      </c>
      <c r="F540" s="28" t="s">
        <v>90</v>
      </c>
      <c r="G540" s="221" t="s">
        <v>4469</v>
      </c>
      <c r="H540" s="28" t="s">
        <v>604</v>
      </c>
      <c r="I540" s="6" t="s">
        <v>604</v>
      </c>
      <c r="J540" s="28" t="s">
        <v>604</v>
      </c>
      <c r="K540" s="221"/>
      <c r="L540" s="221"/>
      <c r="M540" s="221" t="s">
        <v>3618</v>
      </c>
      <c r="N540" s="6" t="s">
        <v>5157</v>
      </c>
      <c r="O540" s="6" t="s">
        <v>604</v>
      </c>
      <c r="P540" s="221" t="s">
        <v>1133</v>
      </c>
      <c r="Q540" s="174" t="s">
        <v>604</v>
      </c>
      <c r="R540" s="28" t="s">
        <v>604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604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5158</v>
      </c>
      <c r="B541" s="221" t="s">
        <v>4783</v>
      </c>
      <c r="C541" s="28" t="s">
        <v>4736</v>
      </c>
      <c r="D541" s="28" t="s">
        <v>4841</v>
      </c>
      <c r="E541" s="19" t="s">
        <v>5159</v>
      </c>
      <c r="F541" s="28" t="s">
        <v>90</v>
      </c>
      <c r="G541" s="221" t="s">
        <v>4469</v>
      </c>
      <c r="H541" s="28" t="s">
        <v>604</v>
      </c>
      <c r="I541" s="6" t="s">
        <v>604</v>
      </c>
      <c r="J541" s="28" t="s">
        <v>604</v>
      </c>
      <c r="K541" s="221"/>
      <c r="L541" s="221"/>
      <c r="M541" s="28" t="s">
        <v>5160</v>
      </c>
      <c r="N541" s="19" t="s">
        <v>5161</v>
      </c>
      <c r="O541" s="6" t="s">
        <v>604</v>
      </c>
      <c r="P541" s="221" t="s">
        <v>1133</v>
      </c>
      <c r="Q541" s="174" t="s">
        <v>604</v>
      </c>
      <c r="R541" s="28" t="s">
        <v>604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604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5162</v>
      </c>
      <c r="B542" s="221" t="s">
        <v>4783</v>
      </c>
      <c r="C542" s="28" t="s">
        <v>4736</v>
      </c>
      <c r="D542" s="28" t="s">
        <v>4846</v>
      </c>
      <c r="E542" s="6" t="s">
        <v>950</v>
      </c>
      <c r="F542" s="28" t="s">
        <v>90</v>
      </c>
      <c r="G542" s="221" t="s">
        <v>4469</v>
      </c>
      <c r="H542" s="28" t="s">
        <v>604</v>
      </c>
      <c r="I542" s="6" t="s">
        <v>604</v>
      </c>
      <c r="J542" s="28" t="s">
        <v>604</v>
      </c>
      <c r="K542" s="221"/>
      <c r="L542" s="221"/>
      <c r="M542" s="221" t="s">
        <v>5163</v>
      </c>
      <c r="N542" s="6" t="s">
        <v>950</v>
      </c>
      <c r="O542" s="6" t="s">
        <v>604</v>
      </c>
      <c r="P542" s="221" t="s">
        <v>3774</v>
      </c>
      <c r="Q542" s="174" t="s">
        <v>604</v>
      </c>
      <c r="R542" s="28" t="s">
        <v>604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604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5164</v>
      </c>
      <c r="B543" s="221" t="s">
        <v>4783</v>
      </c>
      <c r="C543" s="28" t="s">
        <v>4736</v>
      </c>
      <c r="D543" s="28" t="s">
        <v>5165</v>
      </c>
      <c r="E543" s="6" t="s">
        <v>951</v>
      </c>
      <c r="F543" s="28" t="s">
        <v>90</v>
      </c>
      <c r="G543" s="221" t="s">
        <v>4469</v>
      </c>
      <c r="H543" s="28" t="s">
        <v>604</v>
      </c>
      <c r="I543" s="6" t="s">
        <v>604</v>
      </c>
      <c r="J543" s="28" t="s">
        <v>604</v>
      </c>
      <c r="K543" s="221"/>
      <c r="L543" s="221"/>
      <c r="M543" s="221" t="s">
        <v>5163</v>
      </c>
      <c r="N543" s="6" t="s">
        <v>951</v>
      </c>
      <c r="O543" s="6" t="s">
        <v>604</v>
      </c>
      <c r="P543" s="221" t="s">
        <v>3774</v>
      </c>
      <c r="Q543" s="174" t="s">
        <v>604</v>
      </c>
      <c r="R543" s="28" t="s">
        <v>604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604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5166</v>
      </c>
      <c r="B544" s="221" t="s">
        <v>4783</v>
      </c>
      <c r="C544" s="28" t="s">
        <v>4736</v>
      </c>
      <c r="D544" s="28" t="s">
        <v>5167</v>
      </c>
      <c r="E544" s="6" t="s">
        <v>953</v>
      </c>
      <c r="F544" s="28" t="s">
        <v>90</v>
      </c>
      <c r="G544" s="221" t="s">
        <v>4469</v>
      </c>
      <c r="H544" s="28" t="s">
        <v>604</v>
      </c>
      <c r="I544" s="6" t="s">
        <v>604</v>
      </c>
      <c r="J544" s="28" t="s">
        <v>5168</v>
      </c>
      <c r="K544" s="221"/>
      <c r="L544" s="221"/>
      <c r="M544" s="28" t="s">
        <v>5169</v>
      </c>
      <c r="N544" s="6" t="s">
        <v>5170</v>
      </c>
      <c r="O544" s="6" t="s">
        <v>604</v>
      </c>
      <c r="P544" s="221" t="s">
        <v>1134</v>
      </c>
      <c r="Q544" s="174" t="s">
        <v>604</v>
      </c>
      <c r="R544" s="28" t="s">
        <v>604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604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5171</v>
      </c>
      <c r="B545" s="221" t="s">
        <v>4783</v>
      </c>
      <c r="C545" s="28" t="s">
        <v>4736</v>
      </c>
      <c r="D545" s="28" t="s">
        <v>5172</v>
      </c>
      <c r="E545" s="6" t="s">
        <v>955</v>
      </c>
      <c r="F545" s="28" t="s">
        <v>90</v>
      </c>
      <c r="G545" s="221" t="s">
        <v>4469</v>
      </c>
      <c r="H545" s="28" t="s">
        <v>604</v>
      </c>
      <c r="I545" s="6" t="s">
        <v>604</v>
      </c>
      <c r="J545" s="28" t="s">
        <v>604</v>
      </c>
      <c r="K545" s="221"/>
      <c r="L545" s="221"/>
      <c r="M545" s="28" t="s">
        <v>5173</v>
      </c>
      <c r="N545" s="6" t="s">
        <v>5174</v>
      </c>
      <c r="O545" s="6" t="s">
        <v>604</v>
      </c>
      <c r="P545" s="221" t="s">
        <v>1133</v>
      </c>
      <c r="Q545" s="174" t="s">
        <v>604</v>
      </c>
      <c r="R545" s="28" t="s">
        <v>604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604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5175</v>
      </c>
      <c r="B546" s="221" t="s">
        <v>4783</v>
      </c>
      <c r="C546" s="28" t="s">
        <v>4736</v>
      </c>
      <c r="D546" s="28" t="s">
        <v>5176</v>
      </c>
      <c r="E546" s="19" t="s">
        <v>5177</v>
      </c>
      <c r="F546" s="28" t="s">
        <v>90</v>
      </c>
      <c r="G546" s="221" t="s">
        <v>4469</v>
      </c>
      <c r="H546" s="28" t="s">
        <v>604</v>
      </c>
      <c r="I546" s="6" t="s">
        <v>604</v>
      </c>
      <c r="J546" s="28" t="s">
        <v>604</v>
      </c>
      <c r="K546" s="221"/>
      <c r="L546" s="221"/>
      <c r="M546" s="221" t="s">
        <v>3618</v>
      </c>
      <c r="N546" s="19" t="s">
        <v>5178</v>
      </c>
      <c r="O546" s="6" t="s">
        <v>5179</v>
      </c>
      <c r="P546" s="221" t="s">
        <v>3718</v>
      </c>
      <c r="Q546" s="174" t="s">
        <v>604</v>
      </c>
      <c r="R546" s="28" t="s">
        <v>604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604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5180</v>
      </c>
      <c r="B547" s="221" t="s">
        <v>4783</v>
      </c>
      <c r="C547" s="28" t="s">
        <v>4736</v>
      </c>
      <c r="D547" s="28" t="s">
        <v>5181</v>
      </c>
      <c r="E547" s="19" t="s">
        <v>5182</v>
      </c>
      <c r="F547" s="28" t="s">
        <v>90</v>
      </c>
      <c r="G547" s="221" t="s">
        <v>4469</v>
      </c>
      <c r="H547" s="28" t="s">
        <v>604</v>
      </c>
      <c r="I547" s="6" t="s">
        <v>604</v>
      </c>
      <c r="J547" s="28" t="s">
        <v>604</v>
      </c>
      <c r="K547" s="221"/>
      <c r="L547" s="221"/>
      <c r="M547" s="28" t="s">
        <v>5183</v>
      </c>
      <c r="N547" s="19" t="s">
        <v>5182</v>
      </c>
      <c r="O547" s="6" t="s">
        <v>604</v>
      </c>
      <c r="P547" s="221" t="s">
        <v>1133</v>
      </c>
      <c r="Q547" s="174" t="s">
        <v>604</v>
      </c>
      <c r="R547" s="28" t="s">
        <v>604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604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5184</v>
      </c>
      <c r="B548" s="221" t="s">
        <v>4783</v>
      </c>
      <c r="C548" s="28" t="s">
        <v>4736</v>
      </c>
      <c r="D548" s="28" t="s">
        <v>5185</v>
      </c>
      <c r="E548" s="19" t="s">
        <v>5186</v>
      </c>
      <c r="F548" s="28" t="s">
        <v>90</v>
      </c>
      <c r="G548" s="221" t="s">
        <v>4469</v>
      </c>
      <c r="H548" s="28" t="s">
        <v>604</v>
      </c>
      <c r="I548" s="6" t="s">
        <v>604</v>
      </c>
      <c r="J548" s="28" t="s">
        <v>604</v>
      </c>
      <c r="K548" s="221"/>
      <c r="L548" s="221"/>
      <c r="M548" s="221" t="s">
        <v>5163</v>
      </c>
      <c r="N548" s="19" t="s">
        <v>5186</v>
      </c>
      <c r="O548" s="6" t="s">
        <v>604</v>
      </c>
      <c r="P548" s="221" t="s">
        <v>1133</v>
      </c>
      <c r="Q548" s="174" t="s">
        <v>604</v>
      </c>
      <c r="R548" s="28" t="s">
        <v>604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604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5187</v>
      </c>
      <c r="B549" s="221" t="s">
        <v>4783</v>
      </c>
      <c r="C549" s="28" t="s">
        <v>4736</v>
      </c>
      <c r="D549" s="28" t="s">
        <v>5188</v>
      </c>
      <c r="E549" s="6" t="s">
        <v>970</v>
      </c>
      <c r="F549" s="28" t="s">
        <v>3807</v>
      </c>
      <c r="G549" s="221" t="s">
        <v>3715</v>
      </c>
      <c r="H549" s="28" t="s">
        <v>2792</v>
      </c>
      <c r="I549" s="19" t="s">
        <v>5189</v>
      </c>
      <c r="J549" s="28" t="s">
        <v>604</v>
      </c>
      <c r="K549" s="221"/>
      <c r="L549" s="221"/>
      <c r="M549" s="28" t="s">
        <v>604</v>
      </c>
      <c r="N549" s="19" t="s">
        <v>5190</v>
      </c>
      <c r="O549" s="6" t="s">
        <v>604</v>
      </c>
      <c r="P549" s="221" t="s">
        <v>3718</v>
      </c>
      <c r="Q549" s="186" t="n">
        <f aca="false">Train_In!C44</f>
        <v>0.0551801801801802</v>
      </c>
      <c r="R549" s="174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3752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5191</v>
      </c>
      <c r="B550" s="221" t="s">
        <v>4783</v>
      </c>
      <c r="C550" s="28" t="s">
        <v>4736</v>
      </c>
      <c r="D550" s="28" t="s">
        <v>5192</v>
      </c>
      <c r="E550" s="19" t="s">
        <v>976</v>
      </c>
      <c r="F550" s="28" t="s">
        <v>94</v>
      </c>
      <c r="G550" s="221" t="s">
        <v>75</v>
      </c>
      <c r="H550" s="28" t="s">
        <v>5193</v>
      </c>
      <c r="I550" s="19" t="s">
        <v>5194</v>
      </c>
      <c r="J550" s="28" t="s">
        <v>5138</v>
      </c>
      <c r="K550" s="228" t="n">
        <f aca="false">Train_In!C46</f>
        <v>2E+026</v>
      </c>
      <c r="L550" s="228" t="n">
        <f aca="false">Train_In!C48</f>
        <v>2E+027</v>
      </c>
      <c r="M550" s="28" t="s">
        <v>604</v>
      </c>
      <c r="N550" s="6" t="s">
        <v>5195</v>
      </c>
      <c r="O550" s="6" t="s">
        <v>604</v>
      </c>
      <c r="P550" s="221" t="s">
        <v>3718</v>
      </c>
      <c r="Q550" s="228" t="n">
        <f aca="false">Train_In!C47</f>
        <v>5E+026</v>
      </c>
      <c r="R550" s="174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3719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5196</v>
      </c>
      <c r="B551" s="221" t="s">
        <v>4783</v>
      </c>
      <c r="C551" s="28" t="s">
        <v>4736</v>
      </c>
      <c r="D551" s="28" t="s">
        <v>5197</v>
      </c>
      <c r="E551" s="19" t="s">
        <v>974</v>
      </c>
      <c r="F551" s="28" t="s">
        <v>94</v>
      </c>
      <c r="G551" s="221" t="s">
        <v>1133</v>
      </c>
      <c r="H551" s="28" t="s">
        <v>5193</v>
      </c>
      <c r="I551" s="19" t="s">
        <v>3738</v>
      </c>
      <c r="J551" s="28" t="s">
        <v>5138</v>
      </c>
      <c r="K551" s="221"/>
      <c r="L551" s="221"/>
      <c r="M551" s="28" t="s">
        <v>604</v>
      </c>
      <c r="N551" s="19" t="s">
        <v>5198</v>
      </c>
      <c r="O551" s="6" t="s">
        <v>604</v>
      </c>
      <c r="P551" s="221" t="s">
        <v>3718</v>
      </c>
      <c r="Q551" s="228" t="n">
        <f aca="false">Train_In!C46</f>
        <v>2E+026</v>
      </c>
      <c r="R551" s="174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3719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5199</v>
      </c>
      <c r="B552" s="221" t="s">
        <v>4783</v>
      </c>
      <c r="C552" s="28" t="s">
        <v>4736</v>
      </c>
      <c r="D552" s="28" t="s">
        <v>5200</v>
      </c>
      <c r="E552" s="19" t="s">
        <v>977</v>
      </c>
      <c r="F552" s="28" t="s">
        <v>94</v>
      </c>
      <c r="G552" s="221" t="s">
        <v>1134</v>
      </c>
      <c r="H552" s="28" t="s">
        <v>5193</v>
      </c>
      <c r="I552" s="19" t="s">
        <v>3738</v>
      </c>
      <c r="J552" s="28" t="s">
        <v>5138</v>
      </c>
      <c r="K552" s="221"/>
      <c r="L552" s="221"/>
      <c r="M552" s="28" t="s">
        <v>604</v>
      </c>
      <c r="N552" s="19" t="s">
        <v>5201</v>
      </c>
      <c r="O552" s="6" t="s">
        <v>604</v>
      </c>
      <c r="P552" s="221" t="s">
        <v>3718</v>
      </c>
      <c r="Q552" s="228" t="n">
        <f aca="false">Train_In!C48</f>
        <v>2E+027</v>
      </c>
      <c r="R552" s="174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3719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5202</v>
      </c>
      <c r="B553" s="221" t="s">
        <v>4783</v>
      </c>
      <c r="C553" s="28" t="s">
        <v>4765</v>
      </c>
      <c r="D553" s="28" t="s">
        <v>4712</v>
      </c>
      <c r="E553" s="19" t="s">
        <v>436</v>
      </c>
      <c r="F553" s="221" t="s">
        <v>4468</v>
      </c>
      <c r="G553" s="221" t="s">
        <v>4469</v>
      </c>
      <c r="H553" s="28" t="s">
        <v>604</v>
      </c>
      <c r="I553" s="6" t="s">
        <v>604</v>
      </c>
      <c r="J553" s="28" t="s">
        <v>604</v>
      </c>
      <c r="K553" s="221"/>
      <c r="L553" s="221"/>
      <c r="M553" s="28" t="s">
        <v>604</v>
      </c>
      <c r="N553" s="19" t="s">
        <v>436</v>
      </c>
      <c r="O553" s="6" t="s">
        <v>604</v>
      </c>
      <c r="P553" s="221" t="s">
        <v>3718</v>
      </c>
      <c r="Q553" s="174" t="s">
        <v>604</v>
      </c>
      <c r="R553" s="28" t="s">
        <v>604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604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5203</v>
      </c>
      <c r="B554" s="221" t="s">
        <v>4783</v>
      </c>
      <c r="C554" s="28" t="s">
        <v>4765</v>
      </c>
      <c r="D554" s="28" t="s">
        <v>4714</v>
      </c>
      <c r="E554" s="19" t="s">
        <v>707</v>
      </c>
      <c r="F554" s="221" t="s">
        <v>4468</v>
      </c>
      <c r="G554" s="221" t="s">
        <v>4469</v>
      </c>
      <c r="H554" s="28" t="s">
        <v>604</v>
      </c>
      <c r="I554" s="6" t="s">
        <v>604</v>
      </c>
      <c r="J554" s="28" t="s">
        <v>604</v>
      </c>
      <c r="K554" s="221"/>
      <c r="L554" s="221"/>
      <c r="M554" s="28" t="s">
        <v>604</v>
      </c>
      <c r="N554" s="19" t="s">
        <v>707</v>
      </c>
      <c r="O554" s="6" t="s">
        <v>604</v>
      </c>
      <c r="P554" s="221" t="s">
        <v>3718</v>
      </c>
      <c r="Q554" s="174" t="s">
        <v>604</v>
      </c>
      <c r="R554" s="28" t="s">
        <v>604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604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5204</v>
      </c>
      <c r="B555" s="221" t="s">
        <v>4783</v>
      </c>
      <c r="C555" s="28" t="s">
        <v>4765</v>
      </c>
      <c r="D555" s="28" t="s">
        <v>5205</v>
      </c>
      <c r="E555" s="19" t="s">
        <v>5206</v>
      </c>
      <c r="F555" s="221" t="s">
        <v>365</v>
      </c>
      <c r="G555" s="221" t="s">
        <v>4469</v>
      </c>
      <c r="H555" s="28" t="s">
        <v>604</v>
      </c>
      <c r="I555" s="6" t="s">
        <v>604</v>
      </c>
      <c r="J555" s="28" t="s">
        <v>604</v>
      </c>
      <c r="K555" s="221"/>
      <c r="L555" s="221"/>
      <c r="M555" s="28" t="s">
        <v>604</v>
      </c>
      <c r="N555" s="6" t="s">
        <v>5207</v>
      </c>
      <c r="O555" s="6" t="s">
        <v>604</v>
      </c>
      <c r="P555" s="221" t="s">
        <v>3718</v>
      </c>
      <c r="Q555" s="174" t="s">
        <v>604</v>
      </c>
      <c r="R555" s="28" t="s">
        <v>604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604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5208</v>
      </c>
      <c r="B556" s="221" t="s">
        <v>4783</v>
      </c>
      <c r="C556" s="28" t="s">
        <v>4765</v>
      </c>
      <c r="D556" s="28" t="s">
        <v>5209</v>
      </c>
      <c r="E556" s="6" t="s">
        <v>995</v>
      </c>
      <c r="F556" s="221" t="s">
        <v>365</v>
      </c>
      <c r="G556" s="221" t="s">
        <v>4469</v>
      </c>
      <c r="H556" s="28" t="s">
        <v>604</v>
      </c>
      <c r="I556" s="6" t="s">
        <v>604</v>
      </c>
      <c r="J556" s="28" t="s">
        <v>604</v>
      </c>
      <c r="K556" s="221"/>
      <c r="L556" s="221"/>
      <c r="M556" s="28" t="s">
        <v>604</v>
      </c>
      <c r="N556" s="6" t="s">
        <v>5210</v>
      </c>
      <c r="O556" s="6" t="s">
        <v>604</v>
      </c>
      <c r="P556" s="221" t="s">
        <v>3718</v>
      </c>
      <c r="Q556" s="174" t="s">
        <v>604</v>
      </c>
      <c r="R556" s="28" t="s">
        <v>604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604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5211</v>
      </c>
      <c r="B557" s="221" t="s">
        <v>4783</v>
      </c>
      <c r="C557" s="28" t="s">
        <v>4765</v>
      </c>
      <c r="D557" s="28" t="s">
        <v>5212</v>
      </c>
      <c r="E557" s="19" t="s">
        <v>5213</v>
      </c>
      <c r="F557" s="221" t="s">
        <v>365</v>
      </c>
      <c r="G557" s="221" t="s">
        <v>4469</v>
      </c>
      <c r="H557" s="28" t="s">
        <v>604</v>
      </c>
      <c r="I557" s="6" t="s">
        <v>604</v>
      </c>
      <c r="J557" s="28" t="s">
        <v>604</v>
      </c>
      <c r="K557" s="221"/>
      <c r="L557" s="221"/>
      <c r="M557" s="28" t="s">
        <v>604</v>
      </c>
      <c r="N557" s="6" t="s">
        <v>5214</v>
      </c>
      <c r="O557" s="6" t="s">
        <v>604</v>
      </c>
      <c r="P557" s="221" t="s">
        <v>3718</v>
      </c>
      <c r="Q557" s="174" t="s">
        <v>604</v>
      </c>
      <c r="R557" s="28" t="s">
        <v>604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604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5215</v>
      </c>
      <c r="B558" s="221" t="s">
        <v>4783</v>
      </c>
      <c r="C558" s="28" t="s">
        <v>4765</v>
      </c>
      <c r="D558" s="28" t="s">
        <v>5216</v>
      </c>
      <c r="E558" s="6" t="s">
        <v>1028</v>
      </c>
      <c r="F558" s="221" t="s">
        <v>365</v>
      </c>
      <c r="G558" s="221" t="s">
        <v>4469</v>
      </c>
      <c r="H558" s="28" t="s">
        <v>604</v>
      </c>
      <c r="I558" s="6" t="s">
        <v>604</v>
      </c>
      <c r="J558" s="28" t="s">
        <v>604</v>
      </c>
      <c r="K558" s="221"/>
      <c r="L558" s="221"/>
      <c r="M558" s="28" t="s">
        <v>604</v>
      </c>
      <c r="N558" s="6" t="s">
        <v>5217</v>
      </c>
      <c r="O558" s="6" t="s">
        <v>604</v>
      </c>
      <c r="P558" s="221" t="s">
        <v>3718</v>
      </c>
      <c r="Q558" s="174" t="s">
        <v>604</v>
      </c>
      <c r="R558" s="28" t="s">
        <v>604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604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5218</v>
      </c>
      <c r="B559" s="221" t="s">
        <v>4783</v>
      </c>
      <c r="C559" s="28" t="s">
        <v>4765</v>
      </c>
      <c r="D559" s="28" t="s">
        <v>5219</v>
      </c>
      <c r="E559" s="19" t="s">
        <v>1082</v>
      </c>
      <c r="F559" s="221" t="s">
        <v>365</v>
      </c>
      <c r="G559" s="221" t="s">
        <v>4469</v>
      </c>
      <c r="H559" s="28" t="s">
        <v>604</v>
      </c>
      <c r="I559" s="6" t="s">
        <v>604</v>
      </c>
      <c r="J559" s="28" t="s">
        <v>604</v>
      </c>
      <c r="K559" s="221"/>
      <c r="L559" s="221"/>
      <c r="M559" s="28" t="s">
        <v>604</v>
      </c>
      <c r="N559" s="6" t="s">
        <v>5220</v>
      </c>
      <c r="O559" s="6" t="s">
        <v>604</v>
      </c>
      <c r="P559" s="221" t="s">
        <v>3718</v>
      </c>
      <c r="Q559" s="174" t="s">
        <v>604</v>
      </c>
      <c r="R559" s="28" t="s">
        <v>604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604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5221</v>
      </c>
      <c r="B560" s="221" t="s">
        <v>4783</v>
      </c>
      <c r="C560" s="28" t="s">
        <v>5222</v>
      </c>
      <c r="D560" s="28" t="s">
        <v>5223</v>
      </c>
      <c r="E560" s="19" t="s">
        <v>436</v>
      </c>
      <c r="F560" s="221" t="s">
        <v>4468</v>
      </c>
      <c r="G560" s="221" t="s">
        <v>4469</v>
      </c>
      <c r="H560" s="28" t="s">
        <v>604</v>
      </c>
      <c r="I560" s="6" t="s">
        <v>604</v>
      </c>
      <c r="J560" s="28" t="s">
        <v>604</v>
      </c>
      <c r="K560" s="221"/>
      <c r="L560" s="221"/>
      <c r="M560" s="28" t="s">
        <v>604</v>
      </c>
      <c r="N560" s="19" t="s">
        <v>436</v>
      </c>
      <c r="O560" s="6" t="s">
        <v>604</v>
      </c>
      <c r="P560" s="221" t="s">
        <v>3718</v>
      </c>
      <c r="Q560" s="174" t="s">
        <v>604</v>
      </c>
      <c r="R560" s="28" t="s">
        <v>604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604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5224</v>
      </c>
      <c r="B561" s="221" t="s">
        <v>4783</v>
      </c>
      <c r="C561" s="28" t="s">
        <v>5222</v>
      </c>
      <c r="D561" s="28" t="s">
        <v>5225</v>
      </c>
      <c r="E561" s="19" t="s">
        <v>707</v>
      </c>
      <c r="F561" s="221" t="s">
        <v>4468</v>
      </c>
      <c r="G561" s="221" t="s">
        <v>4469</v>
      </c>
      <c r="H561" s="28" t="s">
        <v>604</v>
      </c>
      <c r="I561" s="6" t="s">
        <v>604</v>
      </c>
      <c r="J561" s="28" t="s">
        <v>604</v>
      </c>
      <c r="K561" s="221"/>
      <c r="L561" s="221"/>
      <c r="M561" s="28" t="s">
        <v>604</v>
      </c>
      <c r="N561" s="19" t="s">
        <v>707</v>
      </c>
      <c r="O561" s="6" t="s">
        <v>604</v>
      </c>
      <c r="P561" s="221" t="s">
        <v>3718</v>
      </c>
      <c r="Q561" s="174" t="s">
        <v>604</v>
      </c>
      <c r="R561" s="28" t="s">
        <v>604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604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5226</v>
      </c>
      <c r="B562" s="221" t="s">
        <v>4783</v>
      </c>
      <c r="C562" s="28" t="s">
        <v>5222</v>
      </c>
      <c r="D562" s="28" t="s">
        <v>5227</v>
      </c>
      <c r="E562" s="19" t="s">
        <v>5228</v>
      </c>
      <c r="F562" s="221" t="s">
        <v>365</v>
      </c>
      <c r="G562" s="221" t="s">
        <v>4469</v>
      </c>
      <c r="H562" s="28" t="s">
        <v>604</v>
      </c>
      <c r="I562" s="6" t="s">
        <v>604</v>
      </c>
      <c r="J562" s="28" t="s">
        <v>5229</v>
      </c>
      <c r="K562" s="221"/>
      <c r="L562" s="221"/>
      <c r="M562" s="28" t="s">
        <v>604</v>
      </c>
      <c r="N562" s="6" t="s">
        <v>5230</v>
      </c>
      <c r="O562" s="6" t="s">
        <v>604</v>
      </c>
      <c r="P562" s="221" t="s">
        <v>3718</v>
      </c>
      <c r="Q562" s="174" t="s">
        <v>604</v>
      </c>
      <c r="R562" s="28" t="s">
        <v>604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604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5231</v>
      </c>
      <c r="B563" s="221" t="s">
        <v>4783</v>
      </c>
      <c r="C563" s="28" t="s">
        <v>3474</v>
      </c>
      <c r="D563" s="28" t="s">
        <v>4707</v>
      </c>
      <c r="E563" s="19" t="s">
        <v>436</v>
      </c>
      <c r="F563" s="221" t="s">
        <v>4468</v>
      </c>
      <c r="G563" s="221" t="s">
        <v>4469</v>
      </c>
      <c r="H563" s="28" t="s">
        <v>604</v>
      </c>
      <c r="I563" s="6" t="s">
        <v>604</v>
      </c>
      <c r="J563" s="28" t="s">
        <v>604</v>
      </c>
      <c r="K563" s="221"/>
      <c r="L563" s="221"/>
      <c r="M563" s="28" t="s">
        <v>604</v>
      </c>
      <c r="N563" s="19" t="s">
        <v>436</v>
      </c>
      <c r="O563" s="6" t="s">
        <v>604</v>
      </c>
      <c r="P563" s="221" t="s">
        <v>3718</v>
      </c>
      <c r="Q563" s="174" t="s">
        <v>604</v>
      </c>
      <c r="R563" s="28" t="s">
        <v>604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604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5232</v>
      </c>
      <c r="B564" s="221" t="s">
        <v>4783</v>
      </c>
      <c r="C564" s="28" t="s">
        <v>3474</v>
      </c>
      <c r="D564" s="28" t="s">
        <v>4710</v>
      </c>
      <c r="E564" s="19" t="s">
        <v>707</v>
      </c>
      <c r="F564" s="221" t="s">
        <v>4468</v>
      </c>
      <c r="G564" s="221" t="s">
        <v>4469</v>
      </c>
      <c r="H564" s="28" t="s">
        <v>604</v>
      </c>
      <c r="I564" s="6" t="s">
        <v>604</v>
      </c>
      <c r="J564" s="28" t="s">
        <v>604</v>
      </c>
      <c r="K564" s="221"/>
      <c r="L564" s="221"/>
      <c r="M564" s="28" t="s">
        <v>604</v>
      </c>
      <c r="N564" s="19" t="s">
        <v>707</v>
      </c>
      <c r="O564" s="6" t="s">
        <v>604</v>
      </c>
      <c r="P564" s="221" t="s">
        <v>3718</v>
      </c>
      <c r="Q564" s="174" t="s">
        <v>604</v>
      </c>
      <c r="R564" s="28" t="s">
        <v>604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604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5233</v>
      </c>
      <c r="B565" s="221" t="s">
        <v>4783</v>
      </c>
      <c r="C565" s="28" t="s">
        <v>4774</v>
      </c>
      <c r="D565" s="28" t="s">
        <v>5234</v>
      </c>
      <c r="E565" s="19" t="s">
        <v>5235</v>
      </c>
      <c r="F565" s="221" t="s">
        <v>365</v>
      </c>
      <c r="G565" s="221" t="s">
        <v>4469</v>
      </c>
      <c r="H565" s="28" t="s">
        <v>604</v>
      </c>
      <c r="I565" s="6" t="s">
        <v>604</v>
      </c>
      <c r="J565" s="28" t="s">
        <v>604</v>
      </c>
      <c r="K565" s="221"/>
      <c r="L565" s="221"/>
      <c r="M565" s="28" t="s">
        <v>604</v>
      </c>
      <c r="N565" s="6" t="s">
        <v>5236</v>
      </c>
      <c r="O565" s="6" t="s">
        <v>604</v>
      </c>
      <c r="P565" s="221" t="s">
        <v>3718</v>
      </c>
      <c r="Q565" s="174" t="s">
        <v>604</v>
      </c>
      <c r="R565" s="28" t="s">
        <v>604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604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5237</v>
      </c>
      <c r="B566" s="221" t="s">
        <v>4783</v>
      </c>
      <c r="C566" s="28" t="s">
        <v>4774</v>
      </c>
      <c r="D566" s="28" t="s">
        <v>5238</v>
      </c>
      <c r="E566" s="19" t="s">
        <v>5239</v>
      </c>
      <c r="F566" s="221" t="s">
        <v>365</v>
      </c>
      <c r="G566" s="221" t="s">
        <v>4469</v>
      </c>
      <c r="H566" s="28" t="s">
        <v>604</v>
      </c>
      <c r="I566" s="6" t="s">
        <v>604</v>
      </c>
      <c r="J566" s="28" t="s">
        <v>604</v>
      </c>
      <c r="K566" s="221"/>
      <c r="L566" s="221"/>
      <c r="M566" s="28" t="s">
        <v>604</v>
      </c>
      <c r="N566" s="6" t="s">
        <v>5240</v>
      </c>
      <c r="O566" s="6" t="s">
        <v>604</v>
      </c>
      <c r="P566" s="221" t="s">
        <v>3718</v>
      </c>
      <c r="Q566" s="174" t="s">
        <v>604</v>
      </c>
      <c r="R566" s="28" t="s">
        <v>604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604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5241</v>
      </c>
      <c r="B567" s="221" t="s">
        <v>4783</v>
      </c>
      <c r="C567" s="28" t="s">
        <v>4774</v>
      </c>
      <c r="D567" s="28" t="s">
        <v>5242</v>
      </c>
      <c r="E567" s="19" t="s">
        <v>5243</v>
      </c>
      <c r="F567" s="221" t="s">
        <v>365</v>
      </c>
      <c r="G567" s="221" t="s">
        <v>4469</v>
      </c>
      <c r="H567" s="28" t="s">
        <v>604</v>
      </c>
      <c r="I567" s="6" t="s">
        <v>604</v>
      </c>
      <c r="J567" s="28" t="s">
        <v>604</v>
      </c>
      <c r="K567" s="221"/>
      <c r="L567" s="221"/>
      <c r="M567" s="28" t="s">
        <v>604</v>
      </c>
      <c r="N567" s="6" t="s">
        <v>5244</v>
      </c>
      <c r="O567" s="6" t="s">
        <v>604</v>
      </c>
      <c r="P567" s="221" t="s">
        <v>3718</v>
      </c>
      <c r="Q567" s="174" t="s">
        <v>604</v>
      </c>
      <c r="R567" s="28" t="s">
        <v>604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604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5245</v>
      </c>
      <c r="B568" s="221" t="s">
        <v>4783</v>
      </c>
      <c r="C568" s="28" t="s">
        <v>4774</v>
      </c>
      <c r="D568" s="28" t="s">
        <v>5246</v>
      </c>
      <c r="E568" s="19" t="s">
        <v>5247</v>
      </c>
      <c r="F568" s="221" t="s">
        <v>365</v>
      </c>
      <c r="G568" s="221" t="s">
        <v>4469</v>
      </c>
      <c r="H568" s="28" t="s">
        <v>604</v>
      </c>
      <c r="I568" s="6" t="s">
        <v>604</v>
      </c>
      <c r="J568" s="28" t="s">
        <v>604</v>
      </c>
      <c r="K568" s="221"/>
      <c r="L568" s="221"/>
      <c r="M568" s="28" t="s">
        <v>604</v>
      </c>
      <c r="N568" s="6" t="s">
        <v>5248</v>
      </c>
      <c r="O568" s="6" t="s">
        <v>604</v>
      </c>
      <c r="P568" s="221" t="s">
        <v>3718</v>
      </c>
      <c r="Q568" s="174" t="s">
        <v>604</v>
      </c>
      <c r="R568" s="28" t="s">
        <v>604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604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5249</v>
      </c>
      <c r="B569" s="221" t="s">
        <v>4783</v>
      </c>
      <c r="C569" s="28" t="s">
        <v>4774</v>
      </c>
      <c r="D569" s="28" t="s">
        <v>5250</v>
      </c>
      <c r="E569" s="19" t="s">
        <v>5251</v>
      </c>
      <c r="F569" s="221" t="s">
        <v>365</v>
      </c>
      <c r="G569" s="221" t="s">
        <v>4469</v>
      </c>
      <c r="H569" s="28" t="s">
        <v>604</v>
      </c>
      <c r="I569" s="6" t="s">
        <v>604</v>
      </c>
      <c r="J569" s="28" t="s">
        <v>604</v>
      </c>
      <c r="K569" s="221"/>
      <c r="L569" s="221"/>
      <c r="M569" s="28" t="s">
        <v>604</v>
      </c>
      <c r="N569" s="6" t="s">
        <v>5252</v>
      </c>
      <c r="O569" s="6" t="s">
        <v>604</v>
      </c>
      <c r="P569" s="221" t="s">
        <v>3718</v>
      </c>
      <c r="Q569" s="174" t="s">
        <v>604</v>
      </c>
      <c r="R569" s="28" t="s">
        <v>604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604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5253</v>
      </c>
      <c r="B570" s="221" t="s">
        <v>4783</v>
      </c>
      <c r="C570" s="28" t="s">
        <v>4774</v>
      </c>
      <c r="D570" s="28" t="s">
        <v>5254</v>
      </c>
      <c r="E570" s="6" t="s">
        <v>1820</v>
      </c>
      <c r="F570" s="221" t="s">
        <v>365</v>
      </c>
      <c r="G570" s="221" t="s">
        <v>4469</v>
      </c>
      <c r="H570" s="28" t="s">
        <v>604</v>
      </c>
      <c r="I570" s="6" t="s">
        <v>604</v>
      </c>
      <c r="J570" s="28" t="s">
        <v>604</v>
      </c>
      <c r="K570" s="221"/>
      <c r="L570" s="221"/>
      <c r="M570" s="28" t="s">
        <v>604</v>
      </c>
      <c r="N570" s="6" t="s">
        <v>5255</v>
      </c>
      <c r="O570" s="6" t="s">
        <v>604</v>
      </c>
      <c r="P570" s="221" t="s">
        <v>3718</v>
      </c>
      <c r="Q570" s="31" t="n">
        <f aca="false">Sens_Rev!B17</f>
        <v>7</v>
      </c>
      <c r="R570" s="28" t="s">
        <v>604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3719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5256</v>
      </c>
      <c r="B571" s="221" t="s">
        <v>4783</v>
      </c>
      <c r="C571" s="28" t="s">
        <v>4774</v>
      </c>
      <c r="D571" s="28" t="s">
        <v>5257</v>
      </c>
      <c r="E571" s="19" t="s">
        <v>5258</v>
      </c>
      <c r="F571" s="221" t="s">
        <v>365</v>
      </c>
      <c r="G571" s="221" t="s">
        <v>4469</v>
      </c>
      <c r="H571" s="28" t="s">
        <v>604</v>
      </c>
      <c r="I571" s="6" t="s">
        <v>604</v>
      </c>
      <c r="J571" s="28" t="s">
        <v>604</v>
      </c>
      <c r="K571" s="221"/>
      <c r="L571" s="221"/>
      <c r="M571" s="28" t="s">
        <v>604</v>
      </c>
      <c r="N571" s="6" t="s">
        <v>5259</v>
      </c>
      <c r="O571" s="6" t="s">
        <v>604</v>
      </c>
      <c r="P571" s="221" t="s">
        <v>3718</v>
      </c>
      <c r="Q571" s="174" t="s">
        <v>604</v>
      </c>
      <c r="R571" s="28" t="s">
        <v>604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604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5260</v>
      </c>
      <c r="B572" s="221" t="s">
        <v>4783</v>
      </c>
      <c r="C572" s="28" t="s">
        <v>5261</v>
      </c>
      <c r="D572" s="28" t="s">
        <v>5262</v>
      </c>
      <c r="E572" s="19" t="s">
        <v>88</v>
      </c>
      <c r="F572" s="221" t="s">
        <v>365</v>
      </c>
      <c r="G572" s="221" t="s">
        <v>4469</v>
      </c>
      <c r="H572" s="28" t="s">
        <v>604</v>
      </c>
      <c r="I572" s="6" t="s">
        <v>604</v>
      </c>
      <c r="J572" s="28" t="s">
        <v>604</v>
      </c>
      <c r="K572" s="221"/>
      <c r="L572" s="221"/>
      <c r="M572" s="28" t="s">
        <v>604</v>
      </c>
      <c r="N572" s="19" t="s">
        <v>5263</v>
      </c>
      <c r="O572" s="6" t="s">
        <v>604</v>
      </c>
      <c r="P572" s="28" t="s">
        <v>604</v>
      </c>
      <c r="Q572" s="174" t="s">
        <v>604</v>
      </c>
      <c r="R572" s="28" t="s">
        <v>604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604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5264</v>
      </c>
      <c r="B573" s="221" t="s">
        <v>4783</v>
      </c>
      <c r="C573" s="28" t="s">
        <v>5261</v>
      </c>
      <c r="D573" s="28" t="s">
        <v>5265</v>
      </c>
      <c r="E573" s="6" t="s">
        <v>879</v>
      </c>
      <c r="F573" s="221" t="s">
        <v>365</v>
      </c>
      <c r="G573" s="221" t="s">
        <v>4469</v>
      </c>
      <c r="H573" s="28" t="s">
        <v>604</v>
      </c>
      <c r="I573" s="6" t="s">
        <v>604</v>
      </c>
      <c r="J573" s="28" t="s">
        <v>604</v>
      </c>
      <c r="K573" s="221"/>
      <c r="L573" s="221"/>
      <c r="M573" s="28" t="s">
        <v>604</v>
      </c>
      <c r="N573" s="6" t="s">
        <v>5266</v>
      </c>
      <c r="O573" s="6" t="s">
        <v>604</v>
      </c>
      <c r="P573" s="221" t="s">
        <v>3718</v>
      </c>
      <c r="Q573" s="31" t="n">
        <f aca="false">Sensitivity!N37</f>
        <v>7</v>
      </c>
      <c r="R573" s="28" t="s">
        <v>604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3719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5267</v>
      </c>
      <c r="B574" s="221" t="s">
        <v>5268</v>
      </c>
      <c r="C574" s="28" t="s">
        <v>4200</v>
      </c>
      <c r="D574" s="28" t="s">
        <v>5269</v>
      </c>
      <c r="E574" s="19" t="s">
        <v>5270</v>
      </c>
      <c r="F574" s="28" t="s">
        <v>90</v>
      </c>
      <c r="G574" s="221" t="s">
        <v>4469</v>
      </c>
      <c r="H574" s="28" t="s">
        <v>604</v>
      </c>
      <c r="I574" s="6" t="s">
        <v>604</v>
      </c>
      <c r="J574" s="28" t="s">
        <v>604</v>
      </c>
      <c r="K574" s="221" t="n">
        <v>4</v>
      </c>
      <c r="L574" s="221" t="n">
        <v>130</v>
      </c>
      <c r="M574" s="28" t="s">
        <v>5271</v>
      </c>
      <c r="N574" s="6" t="s">
        <v>5272</v>
      </c>
      <c r="O574" s="6" t="s">
        <v>604</v>
      </c>
      <c r="P574" s="28" t="s">
        <v>604</v>
      </c>
      <c r="Q574" s="174" t="s">
        <v>604</v>
      </c>
      <c r="R574" s="28" t="s">
        <v>604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604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5273</v>
      </c>
      <c r="B575" s="221" t="s">
        <v>5268</v>
      </c>
      <c r="C575" s="28" t="s">
        <v>4200</v>
      </c>
      <c r="D575" s="28" t="s">
        <v>3844</v>
      </c>
      <c r="E575" s="6" t="s">
        <v>306</v>
      </c>
      <c r="F575" s="28" t="s">
        <v>94</v>
      </c>
      <c r="G575" s="221" t="s">
        <v>3715</v>
      </c>
      <c r="H575" s="28" t="s">
        <v>4608</v>
      </c>
      <c r="I575" s="19" t="s">
        <v>5274</v>
      </c>
      <c r="J575" s="28" t="s">
        <v>604</v>
      </c>
      <c r="K575" s="221"/>
      <c r="L575" s="221"/>
      <c r="M575" s="221" t="s">
        <v>3618</v>
      </c>
      <c r="N575" s="6" t="s">
        <v>5275</v>
      </c>
      <c r="O575" s="6" t="s">
        <v>604</v>
      </c>
      <c r="P575" s="221" t="s">
        <v>1133</v>
      </c>
      <c r="Q575" s="46" t="n">
        <f aca="false">Arch!E35</f>
        <v>576</v>
      </c>
      <c r="R575" s="174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3719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5276</v>
      </c>
      <c r="B576" s="221" t="s">
        <v>5268</v>
      </c>
      <c r="C576" s="28" t="s">
        <v>4200</v>
      </c>
      <c r="D576" s="28" t="s">
        <v>5277</v>
      </c>
      <c r="E576" s="6" t="s">
        <v>309</v>
      </c>
      <c r="F576" s="28" t="s">
        <v>90</v>
      </c>
      <c r="G576" s="221" t="s">
        <v>3715</v>
      </c>
      <c r="H576" s="28" t="s">
        <v>604</v>
      </c>
      <c r="I576" s="6" t="s">
        <v>604</v>
      </c>
      <c r="J576" s="28" t="s">
        <v>604</v>
      </c>
      <c r="K576" s="223" t="n">
        <v>0.15</v>
      </c>
      <c r="L576" s="223" t="n">
        <v>0.5</v>
      </c>
      <c r="M576" s="28" t="s">
        <v>5278</v>
      </c>
      <c r="N576" s="6" t="s">
        <v>5279</v>
      </c>
      <c r="O576" s="6" t="s">
        <v>604</v>
      </c>
      <c r="P576" s="221" t="s">
        <v>3718</v>
      </c>
      <c r="Q576" s="184" t="n">
        <f aca="false">Arch!E36</f>
        <v>0.26</v>
      </c>
      <c r="R576" s="28" t="s">
        <v>604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3719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5280</v>
      </c>
      <c r="B577" s="221" t="s">
        <v>5268</v>
      </c>
      <c r="C577" s="28" t="s">
        <v>4200</v>
      </c>
      <c r="D577" s="28" t="s">
        <v>5281</v>
      </c>
      <c r="E577" s="6" t="s">
        <v>311</v>
      </c>
      <c r="F577" s="28" t="s">
        <v>90</v>
      </c>
      <c r="G577" s="221" t="s">
        <v>3715</v>
      </c>
      <c r="H577" s="28" t="s">
        <v>604</v>
      </c>
      <c r="I577" s="6" t="s">
        <v>604</v>
      </c>
      <c r="J577" s="28" t="s">
        <v>604</v>
      </c>
      <c r="K577" s="221"/>
      <c r="L577" s="221"/>
      <c r="M577" s="221" t="s">
        <v>3618</v>
      </c>
      <c r="N577" s="6" t="s">
        <v>5282</v>
      </c>
      <c r="O577" s="6" t="s">
        <v>604</v>
      </c>
      <c r="P577" s="221" t="s">
        <v>3718</v>
      </c>
      <c r="Q577" s="46" t="n">
        <f aca="false">Arch!E37</f>
        <v>8</v>
      </c>
      <c r="R577" s="28" t="s">
        <v>604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3719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5283</v>
      </c>
      <c r="B578" s="221" t="s">
        <v>5268</v>
      </c>
      <c r="C578" s="28" t="s">
        <v>4200</v>
      </c>
      <c r="D578" s="28" t="s">
        <v>4868</v>
      </c>
      <c r="E578" s="6" t="s">
        <v>314</v>
      </c>
      <c r="F578" s="221" t="s">
        <v>315</v>
      </c>
      <c r="G578" s="221" t="s">
        <v>3715</v>
      </c>
      <c r="H578" s="28" t="s">
        <v>4101</v>
      </c>
      <c r="I578" s="19" t="s">
        <v>3750</v>
      </c>
      <c r="J578" s="28" t="s">
        <v>604</v>
      </c>
      <c r="K578" s="221"/>
      <c r="L578" s="221"/>
      <c r="M578" s="28" t="s">
        <v>604</v>
      </c>
      <c r="N578" s="6" t="s">
        <v>5284</v>
      </c>
      <c r="O578" s="6" t="s">
        <v>604</v>
      </c>
      <c r="P578" s="221" t="s">
        <v>1133</v>
      </c>
      <c r="Q578" s="46" t="n">
        <f aca="false">Arch!C38</f>
        <v>1</v>
      </c>
      <c r="R578" s="174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3752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5285</v>
      </c>
      <c r="B579" s="221" t="s">
        <v>5286</v>
      </c>
      <c r="C579" s="28" t="s">
        <v>5287</v>
      </c>
      <c r="D579" s="28" t="s">
        <v>4374</v>
      </c>
      <c r="E579" s="19" t="s">
        <v>2074</v>
      </c>
      <c r="F579" s="28" t="s">
        <v>82</v>
      </c>
      <c r="G579" s="221" t="s">
        <v>3715</v>
      </c>
      <c r="H579" s="28" t="s">
        <v>604</v>
      </c>
      <c r="I579" s="6" t="s">
        <v>604</v>
      </c>
      <c r="J579" s="28" t="s">
        <v>5288</v>
      </c>
      <c r="K579" s="221"/>
      <c r="L579" s="221"/>
      <c r="M579" s="221" t="s">
        <v>3618</v>
      </c>
      <c r="N579" s="6" t="s">
        <v>5289</v>
      </c>
      <c r="O579" s="6" t="s">
        <v>604</v>
      </c>
      <c r="P579" s="221" t="s">
        <v>3718</v>
      </c>
      <c r="Q579" s="174" t="str">
        <f aca="false">Alloc_In!C5</f>
        <v>OpenAI</v>
      </c>
      <c r="R579" s="28" t="s">
        <v>604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3719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5290</v>
      </c>
      <c r="B580" s="221" t="s">
        <v>5286</v>
      </c>
      <c r="C580" s="28" t="s">
        <v>5287</v>
      </c>
      <c r="D580" s="28" t="s">
        <v>3878</v>
      </c>
      <c r="E580" s="19" t="s">
        <v>5291</v>
      </c>
      <c r="F580" s="28" t="s">
        <v>90</v>
      </c>
      <c r="G580" s="221" t="s">
        <v>75</v>
      </c>
      <c r="H580" s="28" t="s">
        <v>604</v>
      </c>
      <c r="I580" s="6" t="s">
        <v>604</v>
      </c>
      <c r="J580" s="28" t="s">
        <v>604</v>
      </c>
      <c r="K580" s="189" t="n">
        <f aca="false">Alloc_In!D6</f>
        <v>1</v>
      </c>
      <c r="L580" s="189" t="n">
        <f aca="false">Alloc_In!E6</f>
        <v>2</v>
      </c>
      <c r="M580" s="28" t="s">
        <v>604</v>
      </c>
      <c r="N580" s="6" t="s">
        <v>5292</v>
      </c>
      <c r="O580" s="6" t="s">
        <v>604</v>
      </c>
      <c r="P580" s="221" t="s">
        <v>1134</v>
      </c>
      <c r="Q580" s="189" t="n">
        <f aca="false">Alloc_In!C6</f>
        <v>1</v>
      </c>
      <c r="R580" s="28" t="s">
        <v>604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3719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5293</v>
      </c>
      <c r="B581" s="221" t="s">
        <v>5286</v>
      </c>
      <c r="C581" s="28" t="s">
        <v>5287</v>
      </c>
      <c r="D581" s="28" t="s">
        <v>5294</v>
      </c>
      <c r="E581" s="19" t="s">
        <v>5291</v>
      </c>
      <c r="F581" s="28" t="s">
        <v>90</v>
      </c>
      <c r="G581" s="221" t="s">
        <v>4790</v>
      </c>
      <c r="H581" s="28" t="s">
        <v>604</v>
      </c>
      <c r="I581" s="6" t="s">
        <v>604</v>
      </c>
      <c r="J581" s="28" t="s">
        <v>604</v>
      </c>
      <c r="K581" s="221"/>
      <c r="L581" s="221"/>
      <c r="M581" s="28" t="s">
        <v>5295</v>
      </c>
      <c r="N581" s="6" t="s">
        <v>5296</v>
      </c>
      <c r="O581" s="6" t="s">
        <v>604</v>
      </c>
      <c r="P581" s="28" t="s">
        <v>604</v>
      </c>
      <c r="Q581" s="174" t="s">
        <v>604</v>
      </c>
      <c r="R581" s="28" t="s">
        <v>604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604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5297</v>
      </c>
      <c r="B582" s="221" t="s">
        <v>5286</v>
      </c>
      <c r="C582" s="28" t="s">
        <v>5287</v>
      </c>
      <c r="D582" s="28" t="s">
        <v>4205</v>
      </c>
      <c r="E582" s="19" t="s">
        <v>5298</v>
      </c>
      <c r="F582" s="28" t="s">
        <v>90</v>
      </c>
      <c r="G582" s="221" t="s">
        <v>75</v>
      </c>
      <c r="H582" s="28" t="s">
        <v>604</v>
      </c>
      <c r="I582" s="6" t="s">
        <v>604</v>
      </c>
      <c r="J582" s="28" t="s">
        <v>604</v>
      </c>
      <c r="K582" s="189" t="n">
        <f aca="false">Alloc_In!D7</f>
        <v>0</v>
      </c>
      <c r="L582" s="189" t="n">
        <f aca="false">Alloc_In!E7</f>
        <v>6</v>
      </c>
      <c r="M582" s="28" t="s">
        <v>5299</v>
      </c>
      <c r="N582" s="6" t="s">
        <v>5300</v>
      </c>
      <c r="O582" s="6" t="s">
        <v>604</v>
      </c>
      <c r="P582" s="221" t="s">
        <v>1134</v>
      </c>
      <c r="Q582" s="189" t="n">
        <f aca="false">Alloc_In!C7</f>
        <v>2</v>
      </c>
      <c r="R582" s="28" t="s">
        <v>604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3719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5301</v>
      </c>
      <c r="B583" s="221" t="s">
        <v>5286</v>
      </c>
      <c r="C583" s="28" t="s">
        <v>5287</v>
      </c>
      <c r="D583" s="28" t="s">
        <v>5302</v>
      </c>
      <c r="E583" s="19" t="s">
        <v>5298</v>
      </c>
      <c r="F583" s="28" t="s">
        <v>90</v>
      </c>
      <c r="G583" s="221" t="s">
        <v>4790</v>
      </c>
      <c r="H583" s="28" t="s">
        <v>604</v>
      </c>
      <c r="I583" s="6" t="s">
        <v>604</v>
      </c>
      <c r="J583" s="28" t="s">
        <v>604</v>
      </c>
      <c r="K583" s="221"/>
      <c r="L583" s="221"/>
      <c r="M583" s="28" t="s">
        <v>5303</v>
      </c>
      <c r="N583" s="6" t="s">
        <v>5304</v>
      </c>
      <c r="O583" s="6" t="s">
        <v>604</v>
      </c>
      <c r="P583" s="28" t="s">
        <v>604</v>
      </c>
      <c r="Q583" s="174" t="s">
        <v>604</v>
      </c>
      <c r="R583" s="28" t="s">
        <v>604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604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5305</v>
      </c>
      <c r="B584" s="221" t="s">
        <v>5286</v>
      </c>
      <c r="C584" s="28" t="s">
        <v>5287</v>
      </c>
      <c r="D584" s="28" t="s">
        <v>3891</v>
      </c>
      <c r="E584" s="19" t="s">
        <v>5306</v>
      </c>
      <c r="F584" s="28" t="s">
        <v>90</v>
      </c>
      <c r="G584" s="221" t="s">
        <v>75</v>
      </c>
      <c r="H584" s="28" t="s">
        <v>604</v>
      </c>
      <c r="I584" s="6" t="s">
        <v>604</v>
      </c>
      <c r="J584" s="28" t="s">
        <v>604</v>
      </c>
      <c r="K584" s="189" t="n">
        <f aca="false">Alloc_In!D8</f>
        <v>0.5</v>
      </c>
      <c r="L584" s="189" t="n">
        <f aca="false">Alloc_In!E8</f>
        <v>7</v>
      </c>
      <c r="M584" s="28" t="s">
        <v>604</v>
      </c>
      <c r="N584" s="6" t="s">
        <v>5307</v>
      </c>
      <c r="O584" s="6" t="s">
        <v>604</v>
      </c>
      <c r="P584" s="221" t="s">
        <v>1134</v>
      </c>
      <c r="Q584" s="189" t="n">
        <f aca="false">Alloc_In!C8</f>
        <v>1</v>
      </c>
      <c r="R584" s="28" t="s">
        <v>604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3719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5308</v>
      </c>
      <c r="B585" s="221" t="s">
        <v>5286</v>
      </c>
      <c r="C585" s="28" t="s">
        <v>5287</v>
      </c>
      <c r="D585" s="28" t="s">
        <v>5309</v>
      </c>
      <c r="E585" s="19" t="s">
        <v>5306</v>
      </c>
      <c r="F585" s="28" t="s">
        <v>90</v>
      </c>
      <c r="G585" s="221" t="s">
        <v>4790</v>
      </c>
      <c r="H585" s="28" t="s">
        <v>604</v>
      </c>
      <c r="I585" s="6" t="s">
        <v>604</v>
      </c>
      <c r="J585" s="28" t="s">
        <v>604</v>
      </c>
      <c r="K585" s="221"/>
      <c r="L585" s="221"/>
      <c r="M585" s="28" t="s">
        <v>5310</v>
      </c>
      <c r="N585" s="6" t="s">
        <v>5311</v>
      </c>
      <c r="O585" s="6" t="s">
        <v>604</v>
      </c>
      <c r="P585" s="28" t="s">
        <v>604</v>
      </c>
      <c r="Q585" s="174" t="s">
        <v>604</v>
      </c>
      <c r="R585" s="28" t="s">
        <v>604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604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5312</v>
      </c>
      <c r="B586" s="221" t="s">
        <v>5286</v>
      </c>
      <c r="C586" s="28" t="s">
        <v>5287</v>
      </c>
      <c r="D586" s="28" t="s">
        <v>3977</v>
      </c>
      <c r="E586" s="19" t="s">
        <v>5313</v>
      </c>
      <c r="F586" s="28" t="s">
        <v>90</v>
      </c>
      <c r="G586" s="221" t="s">
        <v>75</v>
      </c>
      <c r="H586" s="28" t="s">
        <v>604</v>
      </c>
      <c r="I586" s="6" t="s">
        <v>604</v>
      </c>
      <c r="J586" s="28" t="s">
        <v>604</v>
      </c>
      <c r="K586" s="184" t="n">
        <f aca="false">Alloc_In!D13</f>
        <v>0</v>
      </c>
      <c r="L586" s="184" t="n">
        <f aca="false">Alloc_In!E13</f>
        <v>1</v>
      </c>
      <c r="M586" s="28" t="s">
        <v>604</v>
      </c>
      <c r="N586" s="6" t="s">
        <v>5314</v>
      </c>
      <c r="O586" s="6" t="s">
        <v>604</v>
      </c>
      <c r="P586" s="221" t="s">
        <v>3718</v>
      </c>
      <c r="Q586" s="184" t="n">
        <f aca="false">Alloc_In!C13</f>
        <v>0</v>
      </c>
      <c r="R586" s="28" t="s">
        <v>604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3719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5315</v>
      </c>
      <c r="B587" s="221" t="s">
        <v>5286</v>
      </c>
      <c r="C587" s="28" t="s">
        <v>5287</v>
      </c>
      <c r="D587" s="28" t="s">
        <v>4796</v>
      </c>
      <c r="E587" s="19" t="s">
        <v>5313</v>
      </c>
      <c r="F587" s="28" t="s">
        <v>90</v>
      </c>
      <c r="G587" s="221" t="s">
        <v>4790</v>
      </c>
      <c r="H587" s="28" t="s">
        <v>604</v>
      </c>
      <c r="I587" s="6" t="s">
        <v>604</v>
      </c>
      <c r="J587" s="28" t="s">
        <v>604</v>
      </c>
      <c r="K587" s="221"/>
      <c r="L587" s="221"/>
      <c r="M587" s="28" t="s">
        <v>4797</v>
      </c>
      <c r="N587" s="6" t="s">
        <v>5314</v>
      </c>
      <c r="O587" s="6" t="s">
        <v>604</v>
      </c>
      <c r="P587" s="28" t="s">
        <v>604</v>
      </c>
      <c r="Q587" s="174" t="s">
        <v>604</v>
      </c>
      <c r="R587" s="28" t="s">
        <v>604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604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5316</v>
      </c>
      <c r="B588" s="221" t="s">
        <v>5286</v>
      </c>
      <c r="C588" s="28" t="s">
        <v>5287</v>
      </c>
      <c r="D588" s="28" t="s">
        <v>4226</v>
      </c>
      <c r="E588" s="6" t="s">
        <v>2093</v>
      </c>
      <c r="F588" s="28" t="s">
        <v>90</v>
      </c>
      <c r="G588" s="221" t="s">
        <v>75</v>
      </c>
      <c r="H588" s="28" t="s">
        <v>5317</v>
      </c>
      <c r="I588" s="19" t="s">
        <v>5318</v>
      </c>
      <c r="J588" s="28" t="s">
        <v>604</v>
      </c>
      <c r="K588" s="189" t="n">
        <f aca="false">Alloc_In!D14</f>
        <v>0.6</v>
      </c>
      <c r="L588" s="189" t="n">
        <f aca="false">Alloc_In!E14</f>
        <v>0.9</v>
      </c>
      <c r="M588" s="28" t="s">
        <v>604</v>
      </c>
      <c r="N588" s="6" t="s">
        <v>5319</v>
      </c>
      <c r="O588" s="6" t="s">
        <v>604</v>
      </c>
      <c r="P588" s="221" t="s">
        <v>3774</v>
      </c>
      <c r="Q588" s="189" t="n">
        <f aca="false">Alloc_In!C14</f>
        <v>0.75</v>
      </c>
      <c r="R588" s="174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3719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5320</v>
      </c>
      <c r="B589" s="221" t="s">
        <v>5286</v>
      </c>
      <c r="C589" s="28" t="s">
        <v>5287</v>
      </c>
      <c r="D589" s="28" t="s">
        <v>4802</v>
      </c>
      <c r="E589" s="6" t="s">
        <v>2093</v>
      </c>
      <c r="F589" s="28" t="s">
        <v>90</v>
      </c>
      <c r="G589" s="221" t="s">
        <v>4790</v>
      </c>
      <c r="H589" s="28" t="s">
        <v>604</v>
      </c>
      <c r="I589" s="6" t="s">
        <v>604</v>
      </c>
      <c r="J589" s="28" t="s">
        <v>604</v>
      </c>
      <c r="K589" s="221"/>
      <c r="L589" s="221"/>
      <c r="M589" s="28" t="s">
        <v>4803</v>
      </c>
      <c r="N589" s="6" t="s">
        <v>5321</v>
      </c>
      <c r="O589" s="6" t="s">
        <v>604</v>
      </c>
      <c r="P589" s="28" t="s">
        <v>604</v>
      </c>
      <c r="Q589" s="174" t="s">
        <v>604</v>
      </c>
      <c r="R589" s="28" t="s">
        <v>604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604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5322</v>
      </c>
      <c r="B590" s="221" t="s">
        <v>5286</v>
      </c>
      <c r="C590" s="28" t="s">
        <v>5287</v>
      </c>
      <c r="D590" s="28" t="s">
        <v>4230</v>
      </c>
      <c r="E590" s="19" t="s">
        <v>5323</v>
      </c>
      <c r="F590" s="28" t="s">
        <v>90</v>
      </c>
      <c r="G590" s="221" t="s">
        <v>75</v>
      </c>
      <c r="H590" s="28" t="s">
        <v>5324</v>
      </c>
      <c r="I590" s="19" t="s">
        <v>5325</v>
      </c>
      <c r="J590" s="28" t="s">
        <v>604</v>
      </c>
      <c r="K590" s="46" t="n">
        <f aca="false">Alloc_In!D15</f>
        <v>2000</v>
      </c>
      <c r="L590" s="46" t="n">
        <f aca="false">Alloc_In!E15</f>
        <v>11000</v>
      </c>
      <c r="M590" s="28" t="s">
        <v>5326</v>
      </c>
      <c r="N590" s="6" t="s">
        <v>5327</v>
      </c>
      <c r="O590" s="6" t="s">
        <v>604</v>
      </c>
      <c r="P590" s="221" t="s">
        <v>1134</v>
      </c>
      <c r="Q590" s="46" t="n">
        <f aca="false">Alloc_In!C15</f>
        <v>4000</v>
      </c>
      <c r="R590" s="174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3719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5328</v>
      </c>
      <c r="B591" s="221" t="s">
        <v>5286</v>
      </c>
      <c r="C591" s="28" t="s">
        <v>5287</v>
      </c>
      <c r="D591" s="28" t="s">
        <v>4808</v>
      </c>
      <c r="E591" s="19" t="s">
        <v>5323</v>
      </c>
      <c r="F591" s="28" t="s">
        <v>90</v>
      </c>
      <c r="G591" s="221" t="s">
        <v>4790</v>
      </c>
      <c r="H591" s="28" t="s">
        <v>604</v>
      </c>
      <c r="I591" s="6" t="s">
        <v>604</v>
      </c>
      <c r="J591" s="28" t="s">
        <v>604</v>
      </c>
      <c r="K591" s="221"/>
      <c r="L591" s="221"/>
      <c r="M591" s="28" t="s">
        <v>4809</v>
      </c>
      <c r="N591" s="6" t="s">
        <v>5329</v>
      </c>
      <c r="O591" s="6" t="s">
        <v>604</v>
      </c>
      <c r="P591" s="28" t="s">
        <v>604</v>
      </c>
      <c r="Q591" s="174" t="s">
        <v>604</v>
      </c>
      <c r="R591" s="28" t="s">
        <v>604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604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5330</v>
      </c>
      <c r="B592" s="221" t="s">
        <v>5286</v>
      </c>
      <c r="C592" s="28" t="s">
        <v>5287</v>
      </c>
      <c r="D592" s="28" t="s">
        <v>4235</v>
      </c>
      <c r="E592" s="6" t="s">
        <v>2097</v>
      </c>
      <c r="F592" s="28" t="s">
        <v>90</v>
      </c>
      <c r="G592" s="221" t="s">
        <v>75</v>
      </c>
      <c r="H592" s="28" t="s">
        <v>2914</v>
      </c>
      <c r="I592" s="19" t="s">
        <v>5331</v>
      </c>
      <c r="J592" s="28" t="s">
        <v>604</v>
      </c>
      <c r="K592" s="184" t="n">
        <f aca="false">Alloc_In!D16</f>
        <v>0.4</v>
      </c>
      <c r="L592" s="184" t="n">
        <f aca="false">Alloc_In!E16</f>
        <v>0.8</v>
      </c>
      <c r="M592" s="28" t="s">
        <v>604</v>
      </c>
      <c r="N592" s="19" t="s">
        <v>5332</v>
      </c>
      <c r="O592" s="6" t="s">
        <v>604</v>
      </c>
      <c r="P592" s="221" t="s">
        <v>1133</v>
      </c>
      <c r="Q592" s="184" t="n">
        <f aca="false">Alloc_In!C16</f>
        <v>0.6</v>
      </c>
      <c r="R592" s="174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3719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5333</v>
      </c>
      <c r="B593" s="221" t="s">
        <v>5286</v>
      </c>
      <c r="C593" s="28" t="s">
        <v>5287</v>
      </c>
      <c r="D593" s="28" t="s">
        <v>5334</v>
      </c>
      <c r="E593" s="6" t="s">
        <v>2097</v>
      </c>
      <c r="F593" s="28" t="s">
        <v>90</v>
      </c>
      <c r="G593" s="221" t="s">
        <v>4790</v>
      </c>
      <c r="H593" s="28" t="s">
        <v>604</v>
      </c>
      <c r="I593" s="6" t="s">
        <v>604</v>
      </c>
      <c r="J593" s="28" t="s">
        <v>604</v>
      </c>
      <c r="K593" s="221"/>
      <c r="L593" s="221"/>
      <c r="M593" s="28" t="s">
        <v>5335</v>
      </c>
      <c r="N593" s="19" t="s">
        <v>5336</v>
      </c>
      <c r="O593" s="6" t="s">
        <v>604</v>
      </c>
      <c r="P593" s="28" t="s">
        <v>604</v>
      </c>
      <c r="Q593" s="174" t="s">
        <v>604</v>
      </c>
      <c r="R593" s="28" t="s">
        <v>604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604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5337</v>
      </c>
      <c r="B594" s="221" t="s">
        <v>5286</v>
      </c>
      <c r="C594" s="28" t="s">
        <v>5287</v>
      </c>
      <c r="D594" s="28" t="s">
        <v>5338</v>
      </c>
      <c r="E594" s="19" t="s">
        <v>5339</v>
      </c>
      <c r="F594" s="28" t="s">
        <v>90</v>
      </c>
      <c r="G594" s="221" t="s">
        <v>4469</v>
      </c>
      <c r="H594" s="28" t="s">
        <v>604</v>
      </c>
      <c r="I594" s="6" t="s">
        <v>604</v>
      </c>
      <c r="J594" s="28" t="s">
        <v>604</v>
      </c>
      <c r="K594" s="221"/>
      <c r="L594" s="221"/>
      <c r="M594" s="221" t="s">
        <v>5340</v>
      </c>
      <c r="N594" s="6" t="s">
        <v>5341</v>
      </c>
      <c r="O594" s="6" t="s">
        <v>604</v>
      </c>
      <c r="P594" s="28" t="s">
        <v>604</v>
      </c>
      <c r="Q594" s="174" t="s">
        <v>604</v>
      </c>
      <c r="R594" s="28" t="s">
        <v>604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604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5342</v>
      </c>
      <c r="B595" s="221" t="s">
        <v>5286</v>
      </c>
      <c r="C595" s="28" t="s">
        <v>5287</v>
      </c>
      <c r="D595" s="28" t="s">
        <v>5343</v>
      </c>
      <c r="E595" s="19" t="s">
        <v>5339</v>
      </c>
      <c r="F595" s="28" t="s">
        <v>90</v>
      </c>
      <c r="G595" s="221" t="s">
        <v>4790</v>
      </c>
      <c r="H595" s="28" t="s">
        <v>604</v>
      </c>
      <c r="I595" s="6" t="s">
        <v>604</v>
      </c>
      <c r="J595" s="28" t="s">
        <v>604</v>
      </c>
      <c r="K595" s="221"/>
      <c r="L595" s="221"/>
      <c r="M595" s="28" t="s">
        <v>5344</v>
      </c>
      <c r="N595" s="6" t="s">
        <v>5345</v>
      </c>
      <c r="O595" s="6" t="s">
        <v>604</v>
      </c>
      <c r="P595" s="28" t="s">
        <v>604</v>
      </c>
      <c r="Q595" s="174" t="s">
        <v>604</v>
      </c>
      <c r="R595" s="28" t="s">
        <v>604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604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5346</v>
      </c>
      <c r="B596" s="221" t="s">
        <v>5347</v>
      </c>
      <c r="C596" s="28" t="s">
        <v>4311</v>
      </c>
      <c r="D596" s="28" t="s">
        <v>4071</v>
      </c>
      <c r="E596" s="19" t="s">
        <v>5348</v>
      </c>
      <c r="F596" s="221" t="s">
        <v>365</v>
      </c>
      <c r="G596" s="221" t="s">
        <v>3715</v>
      </c>
      <c r="H596" s="28" t="s">
        <v>604</v>
      </c>
      <c r="I596" s="6" t="s">
        <v>604</v>
      </c>
      <c r="J596" s="28" t="s">
        <v>3640</v>
      </c>
      <c r="K596" s="223" t="n">
        <v>0.7</v>
      </c>
      <c r="L596" s="223" t="n">
        <v>1</v>
      </c>
      <c r="M596" s="221" t="s">
        <v>5349</v>
      </c>
      <c r="N596" s="6" t="s">
        <v>5350</v>
      </c>
      <c r="O596" s="6" t="s">
        <v>604</v>
      </c>
      <c r="P596" s="221" t="s">
        <v>1134</v>
      </c>
      <c r="Q596" s="182" t="n">
        <f aca="false">Serving!C28</f>
        <v>0.85</v>
      </c>
      <c r="R596" s="28" t="s">
        <v>604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3719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5351</v>
      </c>
      <c r="B597" s="221" t="s">
        <v>5352</v>
      </c>
      <c r="C597" s="28" t="s">
        <v>4784</v>
      </c>
      <c r="D597" s="28" t="s">
        <v>5353</v>
      </c>
      <c r="E597" s="19" t="s">
        <v>5354</v>
      </c>
      <c r="F597" s="221" t="s">
        <v>365</v>
      </c>
      <c r="G597" s="221" t="s">
        <v>3715</v>
      </c>
      <c r="H597" s="28" t="s">
        <v>604</v>
      </c>
      <c r="I597" s="6" t="s">
        <v>604</v>
      </c>
      <c r="J597" s="28" t="s">
        <v>3644</v>
      </c>
      <c r="K597" s="223" t="n">
        <v>0.3</v>
      </c>
      <c r="L597" s="223" t="n">
        <v>1</v>
      </c>
      <c r="M597" s="221" t="s">
        <v>5355</v>
      </c>
      <c r="N597" s="6" t="s">
        <v>5356</v>
      </c>
      <c r="O597" s="6" t="s">
        <v>604</v>
      </c>
      <c r="P597" s="221" t="s">
        <v>1134</v>
      </c>
      <c r="Q597" s="182" t="n">
        <f aca="false">Cap_In!C63</f>
        <v>1</v>
      </c>
      <c r="R597" s="28" t="s">
        <v>604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3719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5357</v>
      </c>
      <c r="B598" s="221" t="s">
        <v>5352</v>
      </c>
      <c r="C598" s="28" t="s">
        <v>4784</v>
      </c>
      <c r="D598" s="28" t="s">
        <v>5358</v>
      </c>
      <c r="E598" s="19" t="s">
        <v>5359</v>
      </c>
      <c r="F598" s="221" t="s">
        <v>365</v>
      </c>
      <c r="G598" s="221" t="s">
        <v>3715</v>
      </c>
      <c r="H598" s="28" t="s">
        <v>604</v>
      </c>
      <c r="I598" s="6" t="s">
        <v>604</v>
      </c>
      <c r="J598" s="28" t="s">
        <v>3644</v>
      </c>
      <c r="K598" s="223" t="n">
        <v>0.3</v>
      </c>
      <c r="L598" s="223" t="n">
        <v>1</v>
      </c>
      <c r="M598" s="221" t="s">
        <v>5355</v>
      </c>
      <c r="N598" s="6" t="s">
        <v>5360</v>
      </c>
      <c r="O598" s="6" t="s">
        <v>604</v>
      </c>
      <c r="P598" s="221" t="s">
        <v>1134</v>
      </c>
      <c r="Q598" s="182" t="n">
        <f aca="false">Cap_In!C64</f>
        <v>1</v>
      </c>
      <c r="R598" s="28" t="s">
        <v>604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3719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5361</v>
      </c>
      <c r="B599" s="221" t="s">
        <v>5362</v>
      </c>
      <c r="C599" s="28" t="s">
        <v>4462</v>
      </c>
      <c r="D599" s="28" t="s">
        <v>5363</v>
      </c>
      <c r="E599" s="19" t="s">
        <v>5364</v>
      </c>
      <c r="F599" s="28" t="s">
        <v>137</v>
      </c>
      <c r="G599" s="221" t="s">
        <v>3715</v>
      </c>
      <c r="H599" s="28" t="s">
        <v>5365</v>
      </c>
      <c r="I599" s="19" t="s">
        <v>5366</v>
      </c>
      <c r="J599" s="28" t="s">
        <v>5367</v>
      </c>
      <c r="K599" s="223" t="n">
        <v>0.7</v>
      </c>
      <c r="L599" s="223" t="n">
        <v>1</v>
      </c>
      <c r="M599" s="221" t="s">
        <v>5368</v>
      </c>
      <c r="N599" s="6" t="s">
        <v>5369</v>
      </c>
      <c r="O599" s="6" t="s">
        <v>604</v>
      </c>
      <c r="P599" s="221" t="s">
        <v>3774</v>
      </c>
      <c r="Q599" s="182" t="n">
        <f aca="false">Calib!F156</f>
        <v>0.75</v>
      </c>
      <c r="R599" s="174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3719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5370</v>
      </c>
      <c r="B600" s="195" t="s">
        <v>5371</v>
      </c>
      <c r="C600" s="28" t="s">
        <v>5287</v>
      </c>
      <c r="D600" s="28" t="s">
        <v>3992</v>
      </c>
      <c r="E600" s="225" t="s">
        <v>5372</v>
      </c>
      <c r="F600" s="28" t="s">
        <v>90</v>
      </c>
      <c r="G600" s="195" t="s">
        <v>75</v>
      </c>
      <c r="H600" s="28" t="s">
        <v>604</v>
      </c>
      <c r="I600" s="6" t="s">
        <v>604</v>
      </c>
      <c r="J600" s="28" t="s">
        <v>5373</v>
      </c>
      <c r="K600" s="182" t="n">
        <f aca="false">Alloc_In!D23</f>
        <v>1.5</v>
      </c>
      <c r="L600" s="182" t="n">
        <f aca="false">Alloc_In!E23</f>
        <v>3</v>
      </c>
      <c r="M600" s="28" t="s">
        <v>5374</v>
      </c>
      <c r="N600" s="6" t="s">
        <v>5375</v>
      </c>
      <c r="O600" s="6" t="s">
        <v>604</v>
      </c>
      <c r="P600" s="195" t="s">
        <v>3774</v>
      </c>
      <c r="Q600" s="182" t="n">
        <f aca="false">Alloc_In!C23</f>
        <v>2</v>
      </c>
      <c r="R600" s="28" t="s">
        <v>604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3719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5376</v>
      </c>
      <c r="B601" s="195" t="s">
        <v>5371</v>
      </c>
      <c r="C601" s="28" t="s">
        <v>5287</v>
      </c>
      <c r="D601" s="28" t="s">
        <v>5377</v>
      </c>
      <c r="E601" s="225" t="s">
        <v>5372</v>
      </c>
      <c r="F601" s="28" t="s">
        <v>90</v>
      </c>
      <c r="G601" s="195" t="s">
        <v>4790</v>
      </c>
      <c r="H601" s="28" t="s">
        <v>604</v>
      </c>
      <c r="I601" s="6" t="s">
        <v>604</v>
      </c>
      <c r="J601" s="28" t="s">
        <v>5373</v>
      </c>
      <c r="K601" s="195"/>
      <c r="L601" s="195"/>
      <c r="M601" s="28" t="s">
        <v>5378</v>
      </c>
      <c r="N601" s="6" t="s">
        <v>5379</v>
      </c>
      <c r="O601" s="6" t="s">
        <v>604</v>
      </c>
      <c r="P601" s="28" t="s">
        <v>604</v>
      </c>
      <c r="Q601" s="174" t="s">
        <v>604</v>
      </c>
      <c r="R601" s="28" t="s">
        <v>604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604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5380</v>
      </c>
      <c r="B602" s="195" t="s">
        <v>5371</v>
      </c>
      <c r="C602" s="28" t="s">
        <v>5287</v>
      </c>
      <c r="D602" s="28" t="s">
        <v>4009</v>
      </c>
      <c r="E602" s="225" t="s">
        <v>5381</v>
      </c>
      <c r="F602" s="28" t="s">
        <v>90</v>
      </c>
      <c r="G602" s="195" t="s">
        <v>75</v>
      </c>
      <c r="H602" s="28" t="s">
        <v>604</v>
      </c>
      <c r="I602" s="6" t="s">
        <v>604</v>
      </c>
      <c r="J602" s="28" t="s">
        <v>5373</v>
      </c>
      <c r="K602" s="182" t="n">
        <f aca="false">Alloc_In!D24</f>
        <v>0.3</v>
      </c>
      <c r="L602" s="182" t="n">
        <f aca="false">Alloc_In!E24</f>
        <v>0.4</v>
      </c>
      <c r="M602" s="28" t="s">
        <v>5382</v>
      </c>
      <c r="N602" s="6" t="s">
        <v>5383</v>
      </c>
      <c r="O602" s="6" t="s">
        <v>604</v>
      </c>
      <c r="P602" s="195" t="s">
        <v>3774</v>
      </c>
      <c r="Q602" s="182" t="n">
        <f aca="false">Alloc_In!C24</f>
        <v>0.35</v>
      </c>
      <c r="R602" s="28" t="s">
        <v>604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3719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5384</v>
      </c>
      <c r="B603" s="195" t="s">
        <v>5371</v>
      </c>
      <c r="C603" s="28" t="s">
        <v>5287</v>
      </c>
      <c r="D603" s="28" t="s">
        <v>5385</v>
      </c>
      <c r="E603" s="225" t="s">
        <v>5381</v>
      </c>
      <c r="F603" s="28" t="s">
        <v>90</v>
      </c>
      <c r="G603" s="195" t="s">
        <v>4790</v>
      </c>
      <c r="H603" s="28" t="s">
        <v>604</v>
      </c>
      <c r="I603" s="6" t="s">
        <v>604</v>
      </c>
      <c r="J603" s="28" t="s">
        <v>5373</v>
      </c>
      <c r="K603" s="195"/>
      <c r="L603" s="195"/>
      <c r="M603" s="28" t="s">
        <v>5386</v>
      </c>
      <c r="N603" s="6" t="s">
        <v>5387</v>
      </c>
      <c r="O603" s="6" t="s">
        <v>604</v>
      </c>
      <c r="P603" s="28" t="s">
        <v>604</v>
      </c>
      <c r="Q603" s="174" t="s">
        <v>604</v>
      </c>
      <c r="R603" s="28" t="s">
        <v>604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604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5388</v>
      </c>
      <c r="B604" s="195" t="s">
        <v>5371</v>
      </c>
      <c r="C604" s="28" t="s">
        <v>5287</v>
      </c>
      <c r="D604" s="28" t="s">
        <v>4024</v>
      </c>
      <c r="E604" s="225" t="s">
        <v>5389</v>
      </c>
      <c r="F604" s="28" t="s">
        <v>82</v>
      </c>
      <c r="G604" s="195" t="s">
        <v>3715</v>
      </c>
      <c r="H604" s="28" t="s">
        <v>604</v>
      </c>
      <c r="I604" s="6" t="s">
        <v>604</v>
      </c>
      <c r="J604" s="28" t="s">
        <v>5373</v>
      </c>
      <c r="K604" s="195"/>
      <c r="L604" s="195"/>
      <c r="M604" s="195" t="s">
        <v>5390</v>
      </c>
      <c r="N604" s="6" t="s">
        <v>5391</v>
      </c>
      <c r="O604" s="6" t="s">
        <v>604</v>
      </c>
      <c r="P604" s="195" t="s">
        <v>3718</v>
      </c>
      <c r="Q604" s="46" t="n">
        <f aca="false">Alloc_In!C25</f>
        <v>2000</v>
      </c>
      <c r="R604" s="28" t="s">
        <v>604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3719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5392</v>
      </c>
      <c r="B605" s="195" t="s">
        <v>5393</v>
      </c>
      <c r="C605" s="28" t="s">
        <v>3714</v>
      </c>
      <c r="D605" s="28" t="s">
        <v>5277</v>
      </c>
      <c r="E605" s="6" t="s">
        <v>153</v>
      </c>
      <c r="F605" s="195" t="s">
        <v>315</v>
      </c>
      <c r="G605" s="195" t="s">
        <v>3715</v>
      </c>
      <c r="H605" s="28" t="s">
        <v>5394</v>
      </c>
      <c r="I605" s="225" t="s">
        <v>3750</v>
      </c>
      <c r="J605" s="28" t="s">
        <v>5395</v>
      </c>
      <c r="K605" s="195"/>
      <c r="L605" s="195"/>
      <c r="M605" s="195" t="s">
        <v>5396</v>
      </c>
      <c r="N605" s="225" t="s">
        <v>5397</v>
      </c>
      <c r="O605" s="6" t="s">
        <v>604</v>
      </c>
      <c r="P605" s="195" t="s">
        <v>1133</v>
      </c>
      <c r="Q605" s="31" t="n">
        <f aca="false">Inputs!E36</f>
        <v>3</v>
      </c>
      <c r="R605" s="174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3752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5398</v>
      </c>
      <c r="B606" s="195" t="s">
        <v>5393</v>
      </c>
      <c r="C606" s="28" t="s">
        <v>3714</v>
      </c>
      <c r="D606" s="28" t="s">
        <v>5281</v>
      </c>
      <c r="E606" s="6" t="s">
        <v>155</v>
      </c>
      <c r="F606" s="28" t="s">
        <v>94</v>
      </c>
      <c r="G606" s="195" t="s">
        <v>75</v>
      </c>
      <c r="H606" s="28" t="s">
        <v>5394</v>
      </c>
      <c r="I606" s="225" t="s">
        <v>5399</v>
      </c>
      <c r="J606" s="28" t="s">
        <v>3808</v>
      </c>
      <c r="K606" s="229" t="n">
        <f aca="false">Inputs!$D$37</f>
        <v>0.0025</v>
      </c>
      <c r="L606" s="229" t="n">
        <f aca="false">Inputs!$F$37</f>
        <v>0.01</v>
      </c>
      <c r="M606" s="28" t="s">
        <v>5400</v>
      </c>
      <c r="N606" s="6" t="s">
        <v>156</v>
      </c>
      <c r="O606" s="6" t="s">
        <v>604</v>
      </c>
      <c r="P606" s="195" t="s">
        <v>1133</v>
      </c>
      <c r="Q606" s="229" t="n">
        <f aca="false">Inputs!E37</f>
        <v>0.005</v>
      </c>
      <c r="R606" s="174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3719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5401</v>
      </c>
      <c r="B607" s="195" t="s">
        <v>5393</v>
      </c>
      <c r="C607" s="28" t="s">
        <v>3714</v>
      </c>
      <c r="D607" s="28" t="s">
        <v>5402</v>
      </c>
      <c r="E607" s="6" t="s">
        <v>155</v>
      </c>
      <c r="F607" s="28" t="s">
        <v>94</v>
      </c>
      <c r="G607" s="195" t="s">
        <v>1133</v>
      </c>
      <c r="H607" s="28" t="s">
        <v>5394</v>
      </c>
      <c r="I607" s="225" t="s">
        <v>5399</v>
      </c>
      <c r="J607" s="28" t="s">
        <v>3808</v>
      </c>
      <c r="K607" s="195"/>
      <c r="L607" s="195"/>
      <c r="M607" s="28" t="s">
        <v>5403</v>
      </c>
      <c r="N607" s="6" t="s">
        <v>156</v>
      </c>
      <c r="O607" s="6" t="s">
        <v>604</v>
      </c>
      <c r="P607" s="195" t="s">
        <v>1133</v>
      </c>
      <c r="Q607" s="229" t="n">
        <f aca="false">Inputs!D37</f>
        <v>0.0025</v>
      </c>
      <c r="R607" s="174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3719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5404</v>
      </c>
      <c r="B608" s="195" t="s">
        <v>5393</v>
      </c>
      <c r="C608" s="28" t="s">
        <v>3714</v>
      </c>
      <c r="D608" s="28" t="s">
        <v>5405</v>
      </c>
      <c r="E608" s="6" t="s">
        <v>155</v>
      </c>
      <c r="F608" s="28" t="s">
        <v>94</v>
      </c>
      <c r="G608" s="195" t="s">
        <v>1134</v>
      </c>
      <c r="H608" s="28" t="s">
        <v>5394</v>
      </c>
      <c r="I608" s="225" t="s">
        <v>5399</v>
      </c>
      <c r="J608" s="28" t="s">
        <v>3808</v>
      </c>
      <c r="K608" s="195"/>
      <c r="L608" s="195"/>
      <c r="M608" s="28" t="s">
        <v>5406</v>
      </c>
      <c r="N608" s="6" t="s">
        <v>156</v>
      </c>
      <c r="O608" s="6" t="s">
        <v>604</v>
      </c>
      <c r="P608" s="195" t="s">
        <v>1133</v>
      </c>
      <c r="Q608" s="229" t="n">
        <f aca="false">Inputs!F37</f>
        <v>0.01</v>
      </c>
      <c r="R608" s="174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3719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5407</v>
      </c>
      <c r="B609" s="195" t="s">
        <v>5393</v>
      </c>
      <c r="C609" s="28" t="s">
        <v>3714</v>
      </c>
      <c r="D609" s="28" t="s">
        <v>5408</v>
      </c>
      <c r="E609" s="6" t="s">
        <v>157</v>
      </c>
      <c r="F609" s="28" t="s">
        <v>94</v>
      </c>
      <c r="G609" s="195" t="s">
        <v>75</v>
      </c>
      <c r="H609" s="28" t="s">
        <v>5409</v>
      </c>
      <c r="I609" s="225" t="s">
        <v>5410</v>
      </c>
      <c r="J609" s="28" t="s">
        <v>3808</v>
      </c>
      <c r="K609" s="229" t="n">
        <f aca="false">Inputs!$D$38</f>
        <v>0.02</v>
      </c>
      <c r="L609" s="229" t="n">
        <f aca="false">Inputs!$F$38</f>
        <v>0.05</v>
      </c>
      <c r="M609" s="28" t="s">
        <v>5411</v>
      </c>
      <c r="N609" s="6" t="s">
        <v>158</v>
      </c>
      <c r="O609" s="6" t="s">
        <v>604</v>
      </c>
      <c r="P609" s="195" t="s">
        <v>1133</v>
      </c>
      <c r="Q609" s="229" t="n">
        <f aca="false">Inputs!E38</f>
        <v>0.03</v>
      </c>
      <c r="R609" s="174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3719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5412</v>
      </c>
      <c r="B610" s="195" t="s">
        <v>5393</v>
      </c>
      <c r="C610" s="28" t="s">
        <v>3714</v>
      </c>
      <c r="D610" s="28" t="s">
        <v>5413</v>
      </c>
      <c r="E610" s="6" t="s">
        <v>157</v>
      </c>
      <c r="F610" s="28" t="s">
        <v>94</v>
      </c>
      <c r="G610" s="195" t="s">
        <v>1133</v>
      </c>
      <c r="H610" s="28" t="s">
        <v>5409</v>
      </c>
      <c r="I610" s="225" t="s">
        <v>5410</v>
      </c>
      <c r="J610" s="28" t="s">
        <v>3808</v>
      </c>
      <c r="K610" s="195"/>
      <c r="L610" s="195"/>
      <c r="M610" s="28" t="s">
        <v>5414</v>
      </c>
      <c r="N610" s="6" t="s">
        <v>158</v>
      </c>
      <c r="O610" s="6" t="s">
        <v>604</v>
      </c>
      <c r="P610" s="195" t="s">
        <v>1133</v>
      </c>
      <c r="Q610" s="229" t="n">
        <f aca="false">Inputs!D38</f>
        <v>0.02</v>
      </c>
      <c r="R610" s="174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3719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5415</v>
      </c>
      <c r="B611" s="195" t="s">
        <v>5393</v>
      </c>
      <c r="C611" s="28" t="s">
        <v>3714</v>
      </c>
      <c r="D611" s="28" t="s">
        <v>5416</v>
      </c>
      <c r="E611" s="6" t="s">
        <v>157</v>
      </c>
      <c r="F611" s="28" t="s">
        <v>94</v>
      </c>
      <c r="G611" s="195" t="s">
        <v>1134</v>
      </c>
      <c r="H611" s="28" t="s">
        <v>5409</v>
      </c>
      <c r="I611" s="225" t="s">
        <v>5410</v>
      </c>
      <c r="J611" s="28" t="s">
        <v>3808</v>
      </c>
      <c r="K611" s="195"/>
      <c r="L611" s="195"/>
      <c r="M611" s="28" t="s">
        <v>5417</v>
      </c>
      <c r="N611" s="6" t="s">
        <v>158</v>
      </c>
      <c r="O611" s="6" t="s">
        <v>604</v>
      </c>
      <c r="P611" s="195" t="s">
        <v>1133</v>
      </c>
      <c r="Q611" s="229" t="n">
        <f aca="false">Inputs!F38</f>
        <v>0.05</v>
      </c>
      <c r="R611" s="174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3719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5418</v>
      </c>
      <c r="B612" s="195" t="s">
        <v>5419</v>
      </c>
      <c r="C612" s="28" t="s">
        <v>4784</v>
      </c>
      <c r="D612" s="28" t="s">
        <v>5420</v>
      </c>
      <c r="E612" s="225" t="s">
        <v>5421</v>
      </c>
      <c r="F612" s="28" t="s">
        <v>90</v>
      </c>
      <c r="G612" s="195" t="s">
        <v>1134</v>
      </c>
      <c r="H612" s="28" t="s">
        <v>5422</v>
      </c>
      <c r="I612" s="225" t="s">
        <v>5423</v>
      </c>
      <c r="J612" s="28" t="s">
        <v>5424</v>
      </c>
      <c r="K612" s="195"/>
      <c r="L612" s="195"/>
      <c r="M612" s="28" t="s">
        <v>5425</v>
      </c>
      <c r="N612" s="6" t="s">
        <v>5426</v>
      </c>
      <c r="O612" s="6" t="s">
        <v>604</v>
      </c>
      <c r="P612" s="195" t="s">
        <v>3718</v>
      </c>
      <c r="Q612" s="186" t="n">
        <f aca="false">Cap_In!E70</f>
        <v>0.82</v>
      </c>
      <c r="R612" s="174" t="n">
        <f aca="false">SRC_DEM_039</f>
        <v>0.7</v>
      </c>
      <c r="S612" s="41" t="str">
        <f aca="false">IF(ISNUMBER($AF612),INDEX(IDX_SrcStat,$AF612),"—")</f>
        <v>Active</v>
      </c>
      <c r="T612" s="41" t="n">
        <f aca="false">IF(ISNUMBER($AF612),INDEX(IDX_SrcGrade,$AF612),"—")</f>
        <v>2</v>
      </c>
      <c r="U612" s="41" t="s">
        <v>3719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1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1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5427</v>
      </c>
      <c r="B613" s="195" t="s">
        <v>5419</v>
      </c>
      <c r="C613" s="28" t="s">
        <v>4784</v>
      </c>
      <c r="D613" s="28" t="s">
        <v>4582</v>
      </c>
      <c r="E613" s="225" t="s">
        <v>1318</v>
      </c>
      <c r="F613" s="28" t="s">
        <v>90</v>
      </c>
      <c r="G613" s="195" t="s">
        <v>3715</v>
      </c>
      <c r="H613" s="28" t="s">
        <v>604</v>
      </c>
      <c r="I613" s="6" t="s">
        <v>604</v>
      </c>
      <c r="J613" s="28" t="s">
        <v>5424</v>
      </c>
      <c r="K613" s="195"/>
      <c r="L613" s="195"/>
      <c r="M613" s="195" t="s">
        <v>5428</v>
      </c>
      <c r="N613" s="6" t="s">
        <v>5429</v>
      </c>
      <c r="O613" s="6" t="s">
        <v>604</v>
      </c>
      <c r="P613" s="195" t="s">
        <v>3718</v>
      </c>
      <c r="Q613" s="31" t="n">
        <f aca="false">Cap_In!C100</f>
        <v>21</v>
      </c>
      <c r="R613" s="28" t="s">
        <v>604</v>
      </c>
      <c r="S613" s="41" t="str">
        <f aca="false">IF(ISNUMBER($AF613),INDEX(IDX_SrcStat,$AF613),"—")</f>
        <v>—</v>
      </c>
      <c r="T613" s="41" t="str">
        <f aca="false">IF(ISNUMBER($AF613),INDEX(IDX_SrcGrade,$AF613),"—")</f>
        <v>—</v>
      </c>
      <c r="U613" s="41" t="s">
        <v>3719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1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1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5430</v>
      </c>
      <c r="B614" s="195" t="s">
        <v>5419</v>
      </c>
      <c r="C614" s="28" t="s">
        <v>4784</v>
      </c>
      <c r="D614" s="28" t="s">
        <v>4588</v>
      </c>
      <c r="E614" s="225" t="s">
        <v>5431</v>
      </c>
      <c r="F614" s="28" t="s">
        <v>90</v>
      </c>
      <c r="G614" s="195" t="s">
        <v>3715</v>
      </c>
      <c r="H614" s="28" t="s">
        <v>604</v>
      </c>
      <c r="I614" s="6" t="s">
        <v>604</v>
      </c>
      <c r="J614" s="28" t="s">
        <v>5424</v>
      </c>
      <c r="K614" s="195"/>
      <c r="L614" s="195"/>
      <c r="M614" s="195" t="s">
        <v>5432</v>
      </c>
      <c r="N614" s="6" t="s">
        <v>5433</v>
      </c>
      <c r="O614" s="6" t="s">
        <v>604</v>
      </c>
      <c r="P614" s="195" t="s">
        <v>3718</v>
      </c>
      <c r="Q614" s="46" t="n">
        <f aca="false">Cap_In!C102</f>
        <v>200</v>
      </c>
      <c r="R614" s="28" t="s">
        <v>604</v>
      </c>
      <c r="S614" s="41" t="str">
        <f aca="false">IF(ISNUMBER($AF614),INDEX(IDX_SrcStat,$AF614),"—")</f>
        <v>—</v>
      </c>
      <c r="T614" s="41" t="str">
        <f aca="false">IF(ISNUMBER($AF614),INDEX(IDX_SrcGrade,$AF614),"—")</f>
        <v>—</v>
      </c>
      <c r="U614" s="41" t="s">
        <v>3719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1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1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5434</v>
      </c>
      <c r="B615" s="195" t="s">
        <v>5419</v>
      </c>
      <c r="C615" s="28" t="s">
        <v>4784</v>
      </c>
      <c r="D615" s="28" t="s">
        <v>4594</v>
      </c>
      <c r="E615" s="225" t="s">
        <v>5435</v>
      </c>
      <c r="F615" s="28" t="s">
        <v>90</v>
      </c>
      <c r="G615" s="195" t="s">
        <v>3715</v>
      </c>
      <c r="H615" s="28" t="s">
        <v>604</v>
      </c>
      <c r="I615" s="6" t="s">
        <v>604</v>
      </c>
      <c r="J615" s="28" t="s">
        <v>5424</v>
      </c>
      <c r="K615" s="195"/>
      <c r="L615" s="195"/>
      <c r="M615" s="195" t="s">
        <v>5436</v>
      </c>
      <c r="N615" s="6" t="s">
        <v>5437</v>
      </c>
      <c r="O615" s="6" t="s">
        <v>604</v>
      </c>
      <c r="P615" s="195" t="s">
        <v>3718</v>
      </c>
      <c r="Q615" s="186" t="n">
        <f aca="false">Cap_In!C104</f>
        <v>0.995</v>
      </c>
      <c r="R615" s="28" t="s">
        <v>604</v>
      </c>
      <c r="S615" s="41" t="str">
        <f aca="false">IF(ISNUMBER($AF615),INDEX(IDX_SrcStat,$AF615),"—")</f>
        <v>—</v>
      </c>
      <c r="T615" s="41" t="str">
        <f aca="false">IF(ISNUMBER($AF615),INDEX(IDX_SrcGrade,$AF615),"—")</f>
        <v>—</v>
      </c>
      <c r="U615" s="41" t="s">
        <v>3719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1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1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5438</v>
      </c>
      <c r="B616" s="195" t="s">
        <v>5439</v>
      </c>
      <c r="C616" s="28" t="s">
        <v>4784</v>
      </c>
      <c r="D616" s="28" t="s">
        <v>5440</v>
      </c>
      <c r="E616" s="225" t="s">
        <v>5441</v>
      </c>
      <c r="F616" s="28" t="s">
        <v>90</v>
      </c>
      <c r="G616" s="195" t="s">
        <v>75</v>
      </c>
      <c r="H616" s="28" t="s">
        <v>5442</v>
      </c>
      <c r="I616" s="225" t="s">
        <v>5443</v>
      </c>
      <c r="J616" s="28" t="s">
        <v>5444</v>
      </c>
      <c r="K616" s="186" t="n">
        <f aca="false">Cap_In!E127</f>
        <v>0.05</v>
      </c>
      <c r="L616" s="186" t="n">
        <f aca="false">Cap_In!D127</f>
        <v>0.2</v>
      </c>
      <c r="M616" s="28" t="s">
        <v>5445</v>
      </c>
      <c r="N616" s="6" t="s">
        <v>5446</v>
      </c>
      <c r="O616" s="6" t="s">
        <v>604</v>
      </c>
      <c r="P616" s="195" t="s">
        <v>3718</v>
      </c>
      <c r="Q616" s="186" t="n">
        <f aca="false">Cap_In!C127</f>
        <v>0.1</v>
      </c>
      <c r="R616" s="174" t="n">
        <f aca="false">SRC_DEM_051</f>
        <v>0.07</v>
      </c>
      <c r="S616" s="41" t="str">
        <f aca="false">IF(ISNUMBER($AF616),INDEX(IDX_SrcStat,$AF616),"—")</f>
        <v>Active</v>
      </c>
      <c r="T616" s="41" t="n">
        <f aca="false">IF(ISNUMBER($AF616),INDEX(IDX_SrcGrade,$AF616),"—")</f>
        <v>1</v>
      </c>
      <c r="U616" s="41" t="s">
        <v>3719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1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1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5447</v>
      </c>
      <c r="B617" s="195" t="s">
        <v>5439</v>
      </c>
      <c r="C617" s="28" t="s">
        <v>4784</v>
      </c>
      <c r="D617" s="28" t="s">
        <v>5448</v>
      </c>
      <c r="E617" s="225" t="s">
        <v>5441</v>
      </c>
      <c r="F617" s="28" t="s">
        <v>90</v>
      </c>
      <c r="G617" s="195" t="s">
        <v>4790</v>
      </c>
      <c r="H617" s="28" t="s">
        <v>604</v>
      </c>
      <c r="I617" s="6" t="s">
        <v>604</v>
      </c>
      <c r="J617" s="28" t="s">
        <v>5444</v>
      </c>
      <c r="K617" s="195"/>
      <c r="L617" s="195"/>
      <c r="M617" s="28" t="s">
        <v>5449</v>
      </c>
      <c r="N617" s="6" t="s">
        <v>5446</v>
      </c>
      <c r="O617" s="6" t="s">
        <v>604</v>
      </c>
      <c r="P617" s="195" t="s">
        <v>3718</v>
      </c>
      <c r="Q617" s="174" t="s">
        <v>604</v>
      </c>
      <c r="R617" s="28" t="s">
        <v>604</v>
      </c>
      <c r="S617" s="41" t="str">
        <f aca="false">IF(ISNUMBER($AF617),INDEX(IDX_SrcStat,$AF617),"—")</f>
        <v>—</v>
      </c>
      <c r="T617" s="41" t="str">
        <f aca="false">IF(ISNUMBER($AF617),INDEX(IDX_SrcGrade,$AF617),"—")</f>
        <v>—</v>
      </c>
      <c r="U617" s="28" t="s">
        <v>604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1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1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5450</v>
      </c>
      <c r="B618" s="195" t="s">
        <v>5451</v>
      </c>
      <c r="C618" s="28" t="s">
        <v>4784</v>
      </c>
      <c r="D618" s="28" t="s">
        <v>5452</v>
      </c>
      <c r="E618" s="6" t="s">
        <v>1379</v>
      </c>
      <c r="F618" s="28" t="s">
        <v>90</v>
      </c>
      <c r="G618" s="195" t="s">
        <v>75</v>
      </c>
      <c r="H618" s="28" t="s">
        <v>5453</v>
      </c>
      <c r="I618" s="225" t="s">
        <v>5454</v>
      </c>
      <c r="J618" s="28" t="s">
        <v>5455</v>
      </c>
      <c r="K618" s="186" t="n">
        <f aca="false">Cap_In!D131</f>
        <v>0.05</v>
      </c>
      <c r="L618" s="186" t="n">
        <f aca="false">Cap_In!E131</f>
        <v>0.15</v>
      </c>
      <c r="M618" s="28" t="s">
        <v>5456</v>
      </c>
      <c r="N618" s="6" t="s">
        <v>5457</v>
      </c>
      <c r="O618" s="6" t="s">
        <v>604</v>
      </c>
      <c r="P618" s="195" t="s">
        <v>3718</v>
      </c>
      <c r="Q618" s="186" t="n">
        <f aca="false">Cap_In!C131</f>
        <v>0.1</v>
      </c>
      <c r="R618" s="174" t="n">
        <f aca="false">SRC_DEM_071</f>
        <v>0.2</v>
      </c>
      <c r="S618" s="41" t="str">
        <f aca="false">IF(ISNUMBER($AF618),INDEX(IDX_SrcStat,$AF618),"—")</f>
        <v>Active</v>
      </c>
      <c r="T618" s="41" t="n">
        <f aca="false">IF(ISNUMBER($AF618),INDEX(IDX_SrcGrade,$AF618),"—")</f>
        <v>3</v>
      </c>
      <c r="U618" s="41" t="s">
        <v>3719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1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1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5458</v>
      </c>
      <c r="B619" s="195" t="s">
        <v>5451</v>
      </c>
      <c r="C619" s="28" t="s">
        <v>4784</v>
      </c>
      <c r="D619" s="28" t="s">
        <v>5459</v>
      </c>
      <c r="E619" s="6" t="s">
        <v>1379</v>
      </c>
      <c r="F619" s="28" t="s">
        <v>90</v>
      </c>
      <c r="G619" s="195" t="s">
        <v>4790</v>
      </c>
      <c r="H619" s="28" t="s">
        <v>604</v>
      </c>
      <c r="I619" s="6" t="s">
        <v>604</v>
      </c>
      <c r="J619" s="28" t="s">
        <v>5455</v>
      </c>
      <c r="K619" s="195"/>
      <c r="L619" s="195"/>
      <c r="M619" s="28" t="s">
        <v>5460</v>
      </c>
      <c r="N619" s="6" t="s">
        <v>5457</v>
      </c>
      <c r="O619" s="6" t="s">
        <v>604</v>
      </c>
      <c r="P619" s="195" t="s">
        <v>3718</v>
      </c>
      <c r="Q619" s="174" t="s">
        <v>604</v>
      </c>
      <c r="R619" s="28" t="s">
        <v>604</v>
      </c>
      <c r="S619" s="41" t="str">
        <f aca="false">IF(ISNUMBER($AF619),INDEX(IDX_SrcStat,$AF619),"—")</f>
        <v>—</v>
      </c>
      <c r="T619" s="41" t="str">
        <f aca="false">IF(ISNUMBER($AF619),INDEX(IDX_SrcGrade,$AF619),"—")</f>
        <v>—</v>
      </c>
      <c r="U619" s="28" t="s">
        <v>604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1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1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5461</v>
      </c>
      <c r="B620" s="195" t="s">
        <v>5451</v>
      </c>
      <c r="C620" s="28" t="s">
        <v>4784</v>
      </c>
      <c r="D620" s="28" t="s">
        <v>5462</v>
      </c>
      <c r="E620" s="225" t="s">
        <v>5463</v>
      </c>
      <c r="F620" s="28" t="s">
        <v>90</v>
      </c>
      <c r="G620" s="195" t="s">
        <v>75</v>
      </c>
      <c r="H620" s="28" t="s">
        <v>604</v>
      </c>
      <c r="I620" s="6" t="s">
        <v>604</v>
      </c>
      <c r="J620" s="28" t="s">
        <v>5464</v>
      </c>
      <c r="K620" s="186" t="n">
        <f aca="false">Cap_In!E132</f>
        <v>0.6</v>
      </c>
      <c r="L620" s="186" t="n">
        <f aca="false">Cap_In!D132</f>
        <v>0.9</v>
      </c>
      <c r="M620" s="28" t="s">
        <v>5465</v>
      </c>
      <c r="N620" s="6" t="s">
        <v>5466</v>
      </c>
      <c r="O620" s="6" t="s">
        <v>604</v>
      </c>
      <c r="P620" s="195" t="s">
        <v>3718</v>
      </c>
      <c r="Q620" s="186" t="n">
        <f aca="false">Cap_In!C132</f>
        <v>0.75</v>
      </c>
      <c r="R620" s="28" t="s">
        <v>604</v>
      </c>
      <c r="S620" s="41" t="str">
        <f aca="false">IF(ISNUMBER($AF620),INDEX(IDX_SrcStat,$AF620),"—")</f>
        <v>—</v>
      </c>
      <c r="T620" s="41" t="str">
        <f aca="false">IF(ISNUMBER($AF620),INDEX(IDX_SrcGrade,$AF620),"—")</f>
        <v>—</v>
      </c>
      <c r="U620" s="41" t="s">
        <v>3719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1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1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5467</v>
      </c>
      <c r="B621" s="195" t="s">
        <v>5451</v>
      </c>
      <c r="C621" s="28" t="s">
        <v>4784</v>
      </c>
      <c r="D621" s="28" t="s">
        <v>5468</v>
      </c>
      <c r="E621" s="225" t="s">
        <v>5463</v>
      </c>
      <c r="F621" s="28" t="s">
        <v>90</v>
      </c>
      <c r="G621" s="195" t="s">
        <v>4790</v>
      </c>
      <c r="H621" s="28" t="s">
        <v>604</v>
      </c>
      <c r="I621" s="6" t="s">
        <v>604</v>
      </c>
      <c r="J621" s="28" t="s">
        <v>5464</v>
      </c>
      <c r="K621" s="195"/>
      <c r="L621" s="195"/>
      <c r="M621" s="28" t="s">
        <v>5469</v>
      </c>
      <c r="N621" s="6" t="s">
        <v>5466</v>
      </c>
      <c r="O621" s="6" t="s">
        <v>604</v>
      </c>
      <c r="P621" s="195" t="s">
        <v>3718</v>
      </c>
      <c r="Q621" s="174" t="s">
        <v>604</v>
      </c>
      <c r="R621" s="28" t="s">
        <v>604</v>
      </c>
      <c r="S621" s="41" t="str">
        <f aca="false">IF(ISNUMBER($AF621),INDEX(IDX_SrcStat,$AF621),"—")</f>
        <v>—</v>
      </c>
      <c r="T621" s="41" t="str">
        <f aca="false">IF(ISNUMBER($AF621),INDEX(IDX_SrcGrade,$AF621),"—")</f>
        <v>—</v>
      </c>
      <c r="U621" s="28" t="s">
        <v>604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1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1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5470</v>
      </c>
      <c r="B622" s="195" t="s">
        <v>5451</v>
      </c>
      <c r="C622" s="28" t="s">
        <v>4784</v>
      </c>
      <c r="D622" s="28" t="s">
        <v>5471</v>
      </c>
      <c r="E622" s="6" t="s">
        <v>1383</v>
      </c>
      <c r="F622" s="28" t="s">
        <v>90</v>
      </c>
      <c r="G622" s="195" t="s">
        <v>75</v>
      </c>
      <c r="H622" s="28" t="s">
        <v>604</v>
      </c>
      <c r="I622" s="6" t="s">
        <v>604</v>
      </c>
      <c r="J622" s="28" t="s">
        <v>5455</v>
      </c>
      <c r="K622" s="43" t="n">
        <f aca="false">Cap_In!D133</f>
        <v>0</v>
      </c>
      <c r="L622" s="43" t="n">
        <f aca="false">Cap_In!E133</f>
        <v>1</v>
      </c>
      <c r="M622" s="28" t="s">
        <v>5472</v>
      </c>
      <c r="N622" s="6" t="s">
        <v>5473</v>
      </c>
      <c r="O622" s="6" t="s">
        <v>604</v>
      </c>
      <c r="P622" s="195" t="s">
        <v>3718</v>
      </c>
      <c r="Q622" s="43" t="n">
        <f aca="false">Cap_In!C133</f>
        <v>0.5</v>
      </c>
      <c r="R622" s="28" t="s">
        <v>604</v>
      </c>
      <c r="S622" s="41" t="str">
        <f aca="false">IF(ISNUMBER($AF622),INDEX(IDX_SrcStat,$AF622),"—")</f>
        <v>—</v>
      </c>
      <c r="T622" s="41" t="str">
        <f aca="false">IF(ISNUMBER($AF622),INDEX(IDX_SrcGrade,$AF622),"—")</f>
        <v>—</v>
      </c>
      <c r="U622" s="41" t="s">
        <v>3719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1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1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5474</v>
      </c>
      <c r="B623" s="195" t="s">
        <v>5451</v>
      </c>
      <c r="C623" s="28" t="s">
        <v>4784</v>
      </c>
      <c r="D623" s="28" t="s">
        <v>5475</v>
      </c>
      <c r="E623" s="6" t="s">
        <v>1383</v>
      </c>
      <c r="F623" s="28" t="s">
        <v>90</v>
      </c>
      <c r="G623" s="195" t="s">
        <v>4790</v>
      </c>
      <c r="H623" s="28" t="s">
        <v>604</v>
      </c>
      <c r="I623" s="6" t="s">
        <v>604</v>
      </c>
      <c r="J623" s="28" t="s">
        <v>5455</v>
      </c>
      <c r="K623" s="195"/>
      <c r="L623" s="195"/>
      <c r="M623" s="28" t="s">
        <v>5476</v>
      </c>
      <c r="N623" s="6" t="s">
        <v>5473</v>
      </c>
      <c r="O623" s="6" t="s">
        <v>604</v>
      </c>
      <c r="P623" s="195" t="s">
        <v>3718</v>
      </c>
      <c r="Q623" s="174" t="s">
        <v>604</v>
      </c>
      <c r="R623" s="28" t="s">
        <v>604</v>
      </c>
      <c r="S623" s="41" t="str">
        <f aca="false">IF(ISNUMBER($AF623),INDEX(IDX_SrcStat,$AF623),"—")</f>
        <v>—</v>
      </c>
      <c r="T623" s="41" t="str">
        <f aca="false">IF(ISNUMBER($AF623),INDEX(IDX_SrcGrade,$AF623),"—")</f>
        <v>—</v>
      </c>
      <c r="U623" s="28" t="s">
        <v>604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1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1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5477</v>
      </c>
      <c r="B624" s="195" t="s">
        <v>5451</v>
      </c>
      <c r="C624" s="28" t="s">
        <v>4784</v>
      </c>
      <c r="D624" s="28" t="s">
        <v>5478</v>
      </c>
      <c r="E624" s="225" t="s">
        <v>5479</v>
      </c>
      <c r="F624" s="28" t="s">
        <v>90</v>
      </c>
      <c r="G624" s="195" t="s">
        <v>3715</v>
      </c>
      <c r="H624" s="28" t="s">
        <v>604</v>
      </c>
      <c r="I624" s="6" t="s">
        <v>604</v>
      </c>
      <c r="J624" s="28" t="s">
        <v>5480</v>
      </c>
      <c r="K624" s="195"/>
      <c r="L624" s="195"/>
      <c r="M624" s="195" t="s">
        <v>5481</v>
      </c>
      <c r="N624" s="6" t="s">
        <v>5482</v>
      </c>
      <c r="O624" s="6" t="s">
        <v>604</v>
      </c>
      <c r="P624" s="195" t="s">
        <v>3718</v>
      </c>
      <c r="Q624" s="46" t="n">
        <f aca="false">Cap_In!C154</f>
        <v>20</v>
      </c>
      <c r="R624" s="28" t="s">
        <v>604</v>
      </c>
      <c r="S624" s="41" t="str">
        <f aca="false">IF(ISNUMBER($AF624),INDEX(IDX_SrcStat,$AF624),"—")</f>
        <v>—</v>
      </c>
      <c r="T624" s="41" t="str">
        <f aca="false">IF(ISNUMBER($AF624),INDEX(IDX_SrcGrade,$AF624),"—")</f>
        <v>—</v>
      </c>
      <c r="U624" s="41" t="s">
        <v>3719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1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1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5483</v>
      </c>
      <c r="B625" s="195" t="s">
        <v>5451</v>
      </c>
      <c r="C625" s="28" t="s">
        <v>4784</v>
      </c>
      <c r="D625" s="28" t="s">
        <v>5484</v>
      </c>
      <c r="E625" s="225" t="s">
        <v>5485</v>
      </c>
      <c r="F625" s="28" t="s">
        <v>90</v>
      </c>
      <c r="G625" s="195" t="s">
        <v>3715</v>
      </c>
      <c r="H625" s="28" t="s">
        <v>604</v>
      </c>
      <c r="I625" s="6" t="s">
        <v>604</v>
      </c>
      <c r="J625" s="28" t="s">
        <v>5480</v>
      </c>
      <c r="K625" s="195"/>
      <c r="L625" s="195"/>
      <c r="M625" s="195" t="s">
        <v>5486</v>
      </c>
      <c r="N625" s="6" t="s">
        <v>5482</v>
      </c>
      <c r="O625" s="6" t="s">
        <v>604</v>
      </c>
      <c r="P625" s="195" t="s">
        <v>3718</v>
      </c>
      <c r="Q625" s="46" t="n">
        <f aca="false">Cap_In!C155</f>
        <v>700</v>
      </c>
      <c r="R625" s="28" t="s">
        <v>604</v>
      </c>
      <c r="S625" s="41" t="str">
        <f aca="false">IF(ISNUMBER($AF625),INDEX(IDX_SrcStat,$AF625),"—")</f>
        <v>—</v>
      </c>
      <c r="T625" s="41" t="str">
        <f aca="false">IF(ISNUMBER($AF625),INDEX(IDX_SrcGrade,$AF625),"—")</f>
        <v>—</v>
      </c>
      <c r="U625" s="41" t="s">
        <v>3719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1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1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5487</v>
      </c>
      <c r="B626" s="195" t="s">
        <v>5451</v>
      </c>
      <c r="C626" s="28" t="s">
        <v>4784</v>
      </c>
      <c r="D626" s="28" t="s">
        <v>5488</v>
      </c>
      <c r="E626" s="225" t="s">
        <v>5489</v>
      </c>
      <c r="F626" s="28" t="s">
        <v>90</v>
      </c>
      <c r="G626" s="195" t="s">
        <v>3715</v>
      </c>
      <c r="H626" s="28" t="s">
        <v>604</v>
      </c>
      <c r="I626" s="6" t="s">
        <v>604</v>
      </c>
      <c r="J626" s="28" t="s">
        <v>5480</v>
      </c>
      <c r="K626" s="195"/>
      <c r="L626" s="195"/>
      <c r="M626" s="195" t="s">
        <v>5490</v>
      </c>
      <c r="N626" s="6" t="s">
        <v>5482</v>
      </c>
      <c r="O626" s="6" t="s">
        <v>604</v>
      </c>
      <c r="P626" s="195" t="s">
        <v>3718</v>
      </c>
      <c r="Q626" s="46" t="n">
        <f aca="false">Cap_In!C156</f>
        <v>200</v>
      </c>
      <c r="R626" s="28" t="s">
        <v>604</v>
      </c>
      <c r="S626" s="41" t="str">
        <f aca="false">IF(ISNUMBER($AF626),INDEX(IDX_SrcStat,$AF626),"—")</f>
        <v>—</v>
      </c>
      <c r="T626" s="41" t="str">
        <f aca="false">IF(ISNUMBER($AF626),INDEX(IDX_SrcGrade,$AF626),"—")</f>
        <v>—</v>
      </c>
      <c r="U626" s="41" t="s">
        <v>3719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1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1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5491</v>
      </c>
      <c r="B627" s="195" t="s">
        <v>5451</v>
      </c>
      <c r="C627" s="28" t="s">
        <v>4784</v>
      </c>
      <c r="D627" s="28" t="s">
        <v>5492</v>
      </c>
      <c r="E627" s="225" t="s">
        <v>5493</v>
      </c>
      <c r="F627" s="28" t="s">
        <v>90</v>
      </c>
      <c r="G627" s="195" t="s">
        <v>3715</v>
      </c>
      <c r="H627" s="28" t="s">
        <v>604</v>
      </c>
      <c r="I627" s="6" t="s">
        <v>604</v>
      </c>
      <c r="J627" s="28" t="s">
        <v>5480</v>
      </c>
      <c r="K627" s="195"/>
      <c r="L627" s="195"/>
      <c r="M627" s="195" t="s">
        <v>5494</v>
      </c>
      <c r="N627" s="6" t="s">
        <v>5482</v>
      </c>
      <c r="O627" s="6" t="s">
        <v>604</v>
      </c>
      <c r="P627" s="195" t="s">
        <v>3718</v>
      </c>
      <c r="Q627" s="46" t="n">
        <f aca="false">Cap_In!C157</f>
        <v>14000</v>
      </c>
      <c r="R627" s="28" t="s">
        <v>604</v>
      </c>
      <c r="S627" s="41" t="str">
        <f aca="false">IF(ISNUMBER($AF627),INDEX(IDX_SrcStat,$AF627),"—")</f>
        <v>—</v>
      </c>
      <c r="T627" s="41" t="str">
        <f aca="false">IF(ISNUMBER($AF627),INDEX(IDX_SrcGrade,$AF627),"—")</f>
        <v>—</v>
      </c>
      <c r="U627" s="41" t="s">
        <v>3719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1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1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5495</v>
      </c>
      <c r="B628" s="195" t="s">
        <v>5451</v>
      </c>
      <c r="C628" s="28" t="s">
        <v>4784</v>
      </c>
      <c r="D628" s="28" t="s">
        <v>5496</v>
      </c>
      <c r="E628" s="225" t="s">
        <v>5497</v>
      </c>
      <c r="F628" s="28" t="s">
        <v>90</v>
      </c>
      <c r="G628" s="195" t="s">
        <v>3715</v>
      </c>
      <c r="H628" s="28" t="s">
        <v>5498</v>
      </c>
      <c r="I628" s="225" t="s">
        <v>5499</v>
      </c>
      <c r="J628" s="28" t="s">
        <v>5455</v>
      </c>
      <c r="K628" s="195"/>
      <c r="L628" s="195"/>
      <c r="M628" s="195" t="s">
        <v>5500</v>
      </c>
      <c r="N628" s="6" t="s">
        <v>5501</v>
      </c>
      <c r="O628" s="6" t="s">
        <v>604</v>
      </c>
      <c r="P628" s="195" t="s">
        <v>3718</v>
      </c>
      <c r="Q628" s="43" t="n">
        <f aca="false">Cap_In!F185</f>
        <v>36</v>
      </c>
      <c r="R628" s="174" t="n">
        <f aca="false">SRC_DEM_042</f>
        <v>6.7</v>
      </c>
      <c r="S628" s="41" t="str">
        <f aca="false">IF(ISNUMBER($AF628),INDEX(IDX_SrcStat,$AF628),"—")</f>
        <v>Active</v>
      </c>
      <c r="T628" s="41" t="n">
        <f aca="false">IF(ISNUMBER($AF628),INDEX(IDX_SrcGrade,$AF628),"—")</f>
        <v>2</v>
      </c>
      <c r="U628" s="41" t="s">
        <v>3719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1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1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5502</v>
      </c>
      <c r="B629" s="195" t="s">
        <v>5451</v>
      </c>
      <c r="C629" s="28" t="s">
        <v>4784</v>
      </c>
      <c r="D629" s="28" t="s">
        <v>5503</v>
      </c>
      <c r="E629" s="225" t="s">
        <v>5504</v>
      </c>
      <c r="F629" s="28" t="s">
        <v>90</v>
      </c>
      <c r="G629" s="195" t="s">
        <v>3715</v>
      </c>
      <c r="H629" s="28" t="s">
        <v>5505</v>
      </c>
      <c r="I629" s="225" t="s">
        <v>5506</v>
      </c>
      <c r="J629" s="28" t="s">
        <v>5455</v>
      </c>
      <c r="K629" s="195"/>
      <c r="L629" s="195"/>
      <c r="M629" s="195" t="s">
        <v>5507</v>
      </c>
      <c r="N629" s="6" t="s">
        <v>5508</v>
      </c>
      <c r="O629" s="6" t="s">
        <v>604</v>
      </c>
      <c r="P629" s="195" t="s">
        <v>3718</v>
      </c>
      <c r="Q629" s="174" t="s">
        <v>604</v>
      </c>
      <c r="R629" s="174" t="n">
        <f aca="false">SRC_DEM_023</f>
        <v>0.4</v>
      </c>
      <c r="S629" s="41" t="str">
        <f aca="false">IF(ISNUMBER($AF629),INDEX(IDX_SrcStat,$AF629),"—")</f>
        <v>Active</v>
      </c>
      <c r="T629" s="41" t="n">
        <f aca="false">IF(ISNUMBER($AF629),INDEX(IDX_SrcGrade,$AF629),"—")</f>
        <v>1</v>
      </c>
      <c r="U629" s="28" t="s">
        <v>604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1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1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5509</v>
      </c>
      <c r="B630" s="195" t="s">
        <v>5451</v>
      </c>
      <c r="C630" s="28" t="s">
        <v>4784</v>
      </c>
      <c r="D630" s="28" t="s">
        <v>5510</v>
      </c>
      <c r="E630" s="225" t="s">
        <v>5511</v>
      </c>
      <c r="F630" s="28" t="s">
        <v>90</v>
      </c>
      <c r="G630" s="195" t="s">
        <v>3715</v>
      </c>
      <c r="H630" s="28" t="s">
        <v>5453</v>
      </c>
      <c r="I630" s="225" t="s">
        <v>5512</v>
      </c>
      <c r="J630" s="28" t="s">
        <v>5455</v>
      </c>
      <c r="K630" s="195"/>
      <c r="L630" s="195"/>
      <c r="M630" s="195" t="s">
        <v>5513</v>
      </c>
      <c r="N630" s="6" t="s">
        <v>5514</v>
      </c>
      <c r="O630" s="6" t="s">
        <v>604</v>
      </c>
      <c r="P630" s="195" t="s">
        <v>3718</v>
      </c>
      <c r="Q630" s="174" t="s">
        <v>604</v>
      </c>
      <c r="R630" s="174" t="n">
        <f aca="false">SRC_DEM_071</f>
        <v>0.2</v>
      </c>
      <c r="S630" s="41" t="str">
        <f aca="false">IF(ISNUMBER($AF630),INDEX(IDX_SrcStat,$AF630),"—")</f>
        <v>Active</v>
      </c>
      <c r="T630" s="41" t="n">
        <f aca="false">IF(ISNUMBER($AF630),INDEX(IDX_SrcGrade,$AF630),"—")</f>
        <v>3</v>
      </c>
      <c r="U630" s="28" t="s">
        <v>604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1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1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5515</v>
      </c>
      <c r="B631" s="195" t="s">
        <v>5451</v>
      </c>
      <c r="C631" s="28" t="s">
        <v>4784</v>
      </c>
      <c r="D631" s="28" t="s">
        <v>5516</v>
      </c>
      <c r="E631" s="6" t="s">
        <v>1499</v>
      </c>
      <c r="F631" s="28" t="s">
        <v>90</v>
      </c>
      <c r="G631" s="195" t="s">
        <v>3715</v>
      </c>
      <c r="H631" s="28" t="s">
        <v>5517</v>
      </c>
      <c r="I631" s="225" t="s">
        <v>5518</v>
      </c>
      <c r="J631" s="28" t="s">
        <v>5455</v>
      </c>
      <c r="K631" s="195"/>
      <c r="L631" s="195"/>
      <c r="M631" s="195" t="s">
        <v>5519</v>
      </c>
      <c r="N631" s="6" t="s">
        <v>5520</v>
      </c>
      <c r="O631" s="6" t="s">
        <v>604</v>
      </c>
      <c r="P631" s="195" t="s">
        <v>3718</v>
      </c>
      <c r="Q631" s="204" t="n">
        <f aca="false">Cap_In!F195</f>
        <v>1.3</v>
      </c>
      <c r="R631" s="174" t="n">
        <f aca="false">SRC_DEM_011</f>
        <v>15</v>
      </c>
      <c r="S631" s="41" t="str">
        <f aca="false">IF(ISNUMBER($AF631),INDEX(IDX_SrcStat,$AF631),"—")</f>
        <v>Active</v>
      </c>
      <c r="T631" s="41" t="n">
        <f aca="false">IF(ISNUMBER($AF631),INDEX(IDX_SrcGrade,$AF631),"—")</f>
        <v>1</v>
      </c>
      <c r="U631" s="41" t="s">
        <v>3719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1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1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5521</v>
      </c>
      <c r="B632" s="195" t="s">
        <v>5451</v>
      </c>
      <c r="C632" s="28" t="s">
        <v>4784</v>
      </c>
      <c r="D632" s="28" t="s">
        <v>5522</v>
      </c>
      <c r="E632" s="6" t="s">
        <v>1503</v>
      </c>
      <c r="F632" s="28" t="s">
        <v>90</v>
      </c>
      <c r="G632" s="195" t="s">
        <v>3715</v>
      </c>
      <c r="H632" s="28" t="s">
        <v>5324</v>
      </c>
      <c r="I632" s="6" t="s">
        <v>5523</v>
      </c>
      <c r="J632" s="28" t="s">
        <v>5455</v>
      </c>
      <c r="K632" s="195"/>
      <c r="L632" s="195"/>
      <c r="M632" s="195" t="s">
        <v>5524</v>
      </c>
      <c r="N632" s="6" t="s">
        <v>5525</v>
      </c>
      <c r="O632" s="6" t="s">
        <v>604</v>
      </c>
      <c r="P632" s="195" t="s">
        <v>3718</v>
      </c>
      <c r="Q632" s="174" t="s">
        <v>604</v>
      </c>
      <c r="R632" s="174" t="n">
        <f aca="false">SRC_DEM_012</f>
        <v>2.5</v>
      </c>
      <c r="S632" s="41" t="str">
        <f aca="false">IF(ISNUMBER($AF632),INDEX(IDX_SrcStat,$AF632),"—")</f>
        <v>Active</v>
      </c>
      <c r="T632" s="41" t="n">
        <f aca="false">IF(ISNUMBER($AF632),INDEX(IDX_SrcGrade,$AF632),"—")</f>
        <v>2</v>
      </c>
      <c r="U632" s="28" t="s">
        <v>604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1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1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5526</v>
      </c>
      <c r="B633" s="195" t="s">
        <v>5451</v>
      </c>
      <c r="C633" s="28" t="s">
        <v>4784</v>
      </c>
      <c r="D633" s="28" t="s">
        <v>5527</v>
      </c>
      <c r="E633" s="225" t="s">
        <v>5528</v>
      </c>
      <c r="F633" s="41" t="s">
        <v>5529</v>
      </c>
      <c r="G633" s="195" t="s">
        <v>3715</v>
      </c>
      <c r="H633" s="28" t="s">
        <v>604</v>
      </c>
      <c r="I633" s="6" t="s">
        <v>604</v>
      </c>
      <c r="J633" s="28" t="s">
        <v>5455</v>
      </c>
      <c r="K633" s="195"/>
      <c r="L633" s="195"/>
      <c r="M633" s="195" t="s">
        <v>5530</v>
      </c>
      <c r="N633" s="6" t="s">
        <v>5531</v>
      </c>
      <c r="O633" s="6" t="s">
        <v>604</v>
      </c>
      <c r="P633" s="195" t="s">
        <v>3718</v>
      </c>
      <c r="Q633" s="174" t="s">
        <v>604</v>
      </c>
      <c r="R633" s="28" t="s">
        <v>604</v>
      </c>
      <c r="S633" s="41" t="str">
        <f aca="false">IF(ISNUMBER($AF633),INDEX(IDX_SrcStat,$AF633),"—")</f>
        <v>—</v>
      </c>
      <c r="T633" s="41" t="str">
        <f aca="false">IF(ISNUMBER($AF633),INDEX(IDX_SrcGrade,$AF633),"—")</f>
        <v>—</v>
      </c>
      <c r="U633" s="28" t="s">
        <v>604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1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1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5532</v>
      </c>
      <c r="B634" s="195" t="s">
        <v>5451</v>
      </c>
      <c r="C634" s="28" t="s">
        <v>4784</v>
      </c>
      <c r="D634" s="28" t="s">
        <v>5533</v>
      </c>
      <c r="E634" s="6" t="s">
        <v>1531</v>
      </c>
      <c r="F634" s="28" t="s">
        <v>90</v>
      </c>
      <c r="G634" s="195" t="s">
        <v>3715</v>
      </c>
      <c r="H634" s="28" t="s">
        <v>604</v>
      </c>
      <c r="I634" s="6" t="s">
        <v>604</v>
      </c>
      <c r="J634" s="28" t="s">
        <v>5455</v>
      </c>
      <c r="K634" s="195"/>
      <c r="L634" s="195"/>
      <c r="M634" s="195" t="s">
        <v>5534</v>
      </c>
      <c r="N634" s="6" t="s">
        <v>5535</v>
      </c>
      <c r="O634" s="6" t="s">
        <v>604</v>
      </c>
      <c r="P634" s="195" t="s">
        <v>3718</v>
      </c>
      <c r="Q634" s="186" t="n">
        <f aca="false">Cap_In!D211</f>
        <v>0.25</v>
      </c>
      <c r="R634" s="28" t="s">
        <v>604</v>
      </c>
      <c r="S634" s="41" t="str">
        <f aca="false">IF(ISNUMBER($AF634),INDEX(IDX_SrcStat,$AF634),"—")</f>
        <v>—</v>
      </c>
      <c r="T634" s="41" t="str">
        <f aca="false">IF(ISNUMBER($AF634),INDEX(IDX_SrcGrade,$AF634),"—")</f>
        <v>—</v>
      </c>
      <c r="U634" s="41" t="s">
        <v>3719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1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1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5536</v>
      </c>
      <c r="B635" s="195" t="s">
        <v>5451</v>
      </c>
      <c r="C635" s="28" t="s">
        <v>4784</v>
      </c>
      <c r="D635" s="28" t="s">
        <v>5537</v>
      </c>
      <c r="E635" s="6" t="s">
        <v>1533</v>
      </c>
      <c r="F635" s="28" t="s">
        <v>90</v>
      </c>
      <c r="G635" s="195" t="s">
        <v>3715</v>
      </c>
      <c r="H635" s="28" t="s">
        <v>604</v>
      </c>
      <c r="I635" s="6" t="s">
        <v>604</v>
      </c>
      <c r="J635" s="28" t="s">
        <v>5455</v>
      </c>
      <c r="K635" s="195"/>
      <c r="L635" s="195"/>
      <c r="M635" s="195" t="s">
        <v>5538</v>
      </c>
      <c r="N635" s="6" t="s">
        <v>5535</v>
      </c>
      <c r="O635" s="6" t="s">
        <v>604</v>
      </c>
      <c r="P635" s="195" t="s">
        <v>3718</v>
      </c>
      <c r="Q635" s="186" t="n">
        <f aca="false">Cap_In!D212</f>
        <v>0.45</v>
      </c>
      <c r="R635" s="28" t="s">
        <v>604</v>
      </c>
      <c r="S635" s="41" t="str">
        <f aca="false">IF(ISNUMBER($AF635),INDEX(IDX_SrcStat,$AF635),"—")</f>
        <v>—</v>
      </c>
      <c r="T635" s="41" t="str">
        <f aca="false">IF(ISNUMBER($AF635),INDEX(IDX_SrcGrade,$AF635),"—")</f>
        <v>—</v>
      </c>
      <c r="U635" s="41" t="s">
        <v>3719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1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1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5539</v>
      </c>
      <c r="B636" s="195" t="s">
        <v>5451</v>
      </c>
      <c r="C636" s="28" t="s">
        <v>4784</v>
      </c>
      <c r="D636" s="28" t="s">
        <v>5540</v>
      </c>
      <c r="E636" s="6" t="s">
        <v>1535</v>
      </c>
      <c r="F636" s="28" t="s">
        <v>90</v>
      </c>
      <c r="G636" s="195" t="s">
        <v>3715</v>
      </c>
      <c r="H636" s="28" t="s">
        <v>604</v>
      </c>
      <c r="I636" s="6" t="s">
        <v>604</v>
      </c>
      <c r="J636" s="28" t="s">
        <v>5455</v>
      </c>
      <c r="K636" s="195"/>
      <c r="L636" s="195"/>
      <c r="M636" s="195" t="s">
        <v>5534</v>
      </c>
      <c r="N636" s="6" t="s">
        <v>5535</v>
      </c>
      <c r="O636" s="6" t="s">
        <v>604</v>
      </c>
      <c r="P636" s="195" t="s">
        <v>3718</v>
      </c>
      <c r="Q636" s="186" t="n">
        <f aca="false">Cap_In!D213</f>
        <v>0.25</v>
      </c>
      <c r="R636" s="28" t="s">
        <v>604</v>
      </c>
      <c r="S636" s="41" t="str">
        <f aca="false">IF(ISNUMBER($AF636),INDEX(IDX_SrcStat,$AF636),"—")</f>
        <v>—</v>
      </c>
      <c r="T636" s="41" t="str">
        <f aca="false">IF(ISNUMBER($AF636),INDEX(IDX_SrcGrade,$AF636),"—")</f>
        <v>—</v>
      </c>
      <c r="U636" s="41" t="s">
        <v>3719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1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1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5541</v>
      </c>
      <c r="B637" s="195" t="s">
        <v>5451</v>
      </c>
      <c r="C637" s="28" t="s">
        <v>4784</v>
      </c>
      <c r="D637" s="28" t="s">
        <v>5542</v>
      </c>
      <c r="E637" s="6" t="s">
        <v>1537</v>
      </c>
      <c r="F637" s="28" t="s">
        <v>90</v>
      </c>
      <c r="G637" s="195" t="s">
        <v>3715</v>
      </c>
      <c r="H637" s="28" t="s">
        <v>604</v>
      </c>
      <c r="I637" s="6" t="s">
        <v>604</v>
      </c>
      <c r="J637" s="28" t="s">
        <v>5455</v>
      </c>
      <c r="K637" s="195"/>
      <c r="L637" s="195"/>
      <c r="M637" s="195" t="s">
        <v>5543</v>
      </c>
      <c r="N637" s="6" t="s">
        <v>5535</v>
      </c>
      <c r="O637" s="6" t="s">
        <v>604</v>
      </c>
      <c r="P637" s="195" t="s">
        <v>3718</v>
      </c>
      <c r="Q637" s="186" t="n">
        <f aca="false">Cap_In!D214</f>
        <v>0.05</v>
      </c>
      <c r="R637" s="28" t="s">
        <v>604</v>
      </c>
      <c r="S637" s="41" t="str">
        <f aca="false">IF(ISNUMBER($AF637),INDEX(IDX_SrcStat,$AF637),"—")</f>
        <v>—</v>
      </c>
      <c r="T637" s="41" t="str">
        <f aca="false">IF(ISNUMBER($AF637),INDEX(IDX_SrcGrade,$AF637),"—")</f>
        <v>—</v>
      </c>
      <c r="U637" s="41" t="s">
        <v>3719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1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1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55" hidden="false" customHeight="false" outlineLevel="0" collapsed="false">
      <c r="A638" s="59" t="s">
        <v>5544</v>
      </c>
      <c r="B638" s="58" t="s">
        <v>5545</v>
      </c>
      <c r="C638" s="59" t="s">
        <v>4784</v>
      </c>
      <c r="D638" s="59" t="s">
        <v>5546</v>
      </c>
      <c r="E638" s="5" t="s">
        <v>1559</v>
      </c>
      <c r="F638" s="59" t="s">
        <v>90</v>
      </c>
      <c r="G638" s="58" t="s">
        <v>75</v>
      </c>
      <c r="H638" s="59" t="s">
        <v>604</v>
      </c>
      <c r="I638" s="6" t="s">
        <v>604</v>
      </c>
      <c r="J638" s="59" t="s">
        <v>5547</v>
      </c>
      <c r="K638" s="107" t="n">
        <f aca="false">Cap_In!D226</f>
        <v>-0.25</v>
      </c>
      <c r="L638" s="107" t="n">
        <f aca="false">Cap_In!E226</f>
        <v>0.05</v>
      </c>
      <c r="M638" s="59" t="s">
        <v>5548</v>
      </c>
      <c r="N638" s="6" t="s">
        <v>5549</v>
      </c>
      <c r="O638" s="6" t="s">
        <v>604</v>
      </c>
      <c r="P638" s="58" t="s">
        <v>3718</v>
      </c>
      <c r="Q638" s="107" t="n">
        <f aca="false">Cap_In!C226</f>
        <v>-0.1</v>
      </c>
      <c r="R638" s="59" t="s">
        <v>604</v>
      </c>
      <c r="S638" s="58" t="str">
        <f aca="false">IF(ISNUMBER($AF638),INDEX(IDX_SrcStat,$AF638),"—")</f>
        <v>—</v>
      </c>
      <c r="T638" s="58" t="str">
        <f aca="false">IF(ISNUMBER($AF638),INDEX(IDX_SrcGrade,$AF638),"—")</f>
        <v>—</v>
      </c>
      <c r="U638" s="58" t="s">
        <v>3719</v>
      </c>
      <c r="V638" s="109" t="n">
        <f aca="false">IF(AND($F638="原始數據",$U638&lt;&gt;"連結 SRC"),1,0)</f>
        <v>0</v>
      </c>
      <c r="W638" s="109" t="n">
        <f aca="false">IF(AND($F638="Analogy",OR($H638="—",$H638="")),1,0)</f>
        <v>0</v>
      </c>
      <c r="X638" s="109" t="n">
        <f aca="false">IF(AND(OR($F638="Analogy",$F638="Assumed"),$G638&lt;&gt;"低",$G638&lt;&gt;"高",NOT(ISNUMBER($K638)),NOT(ISNUMBER($L638)),OR($M638="—",$M638="")),1,0)</f>
        <v>0</v>
      </c>
      <c r="Y638" s="109" t="n">
        <f aca="false">IF(AND(OR($F638="Analogy",$F638="Assumed",$F638="Derived（待改公式）",$F638="Derived（公式）"),OR($N638="—",$N638="",$N638=0)),1,0)</f>
        <v>0</v>
      </c>
      <c r="Z638" s="109" t="n">
        <f aca="false">IF(AND($F638="Decision",OR($J638="—",$J638="")),1,0)</f>
        <v>0</v>
      </c>
      <c r="AA638" s="87" t="n">
        <f aca="false">IF(OR($J638="—",$J638=""),0,IF(COUNTIF(Decisions!$A$5:$A$300,$J638)=0,1,0))</f>
        <v>0</v>
      </c>
      <c r="AB638" s="109" t="n">
        <f aca="false">IF(AND($F638="原始數據",$S638&lt;&gt;"Active"),1,0)</f>
        <v>0</v>
      </c>
      <c r="AC638" s="109" t="n">
        <f aca="false">IF(AND(ISNUMBER($K638),ISNUMBER($L638),ISNUMBER($Q638)),IF(OR($Q638&lt;MIN($K638,$L638),$Q638&gt;MAX($K638,$L638)),1,0),0)</f>
        <v>0</v>
      </c>
      <c r="AD638" s="109" t="n">
        <f aca="false">IF(AND(ISNUMBER($T638),$P638="高"),IF($T638=3,1,0),0)</f>
        <v>0</v>
      </c>
      <c r="AE638" s="109" t="n">
        <f aca="false">IF($S638="不存在",1,0)</f>
        <v>0</v>
      </c>
      <c r="AF638" s="58" t="str">
        <f aca="false">IF(OR($H638="—",$H638=""),"—",MATCH($H638,IDX_SrcID,0))</f>
        <v>—</v>
      </c>
      <c r="AG638" s="109" t="n">
        <f aca="false">IF(AND($P638="高",OR($AD638=1,$X638=1)),1,0)</f>
        <v>0</v>
      </c>
      <c r="AH638" s="109" t="n">
        <f aca="false">IF(AND($P638="高",$AG638=0,OR($F638&lt;&gt;"原始數據",$T638&lt;&gt;1)),1,0)</f>
        <v>0</v>
      </c>
      <c r="AI638" s="58" t="str">
        <f aca="false">IF(AND($P638="高",ISNUMBER($AF638)),INDEX(IDX_SrcDate,$AF638),"—")</f>
        <v>—</v>
      </c>
      <c r="AJ638" s="109" t="n">
        <f aca="false">IF(AND(ISTEXT($AI638),LEN($AI638)=10),IF(ISNUMBER(VALUE(SUBSTITUTE($AI638,"-",""))),VALUE(SUBSTITUTE($AI638,"-","")),0),0)</f>
        <v>0</v>
      </c>
    </row>
    <row r="639" customFormat="false" ht="86.55" hidden="false" customHeight="false" outlineLevel="0" collapsed="false">
      <c r="A639" s="59" t="s">
        <v>5550</v>
      </c>
      <c r="B639" s="58" t="s">
        <v>5545</v>
      </c>
      <c r="C639" s="59" t="s">
        <v>4784</v>
      </c>
      <c r="D639" s="59" t="s">
        <v>5551</v>
      </c>
      <c r="E639" s="5" t="s">
        <v>1559</v>
      </c>
      <c r="F639" s="59" t="s">
        <v>90</v>
      </c>
      <c r="G639" s="58" t="s">
        <v>4790</v>
      </c>
      <c r="H639" s="59" t="s">
        <v>604</v>
      </c>
      <c r="I639" s="6" t="s">
        <v>604</v>
      </c>
      <c r="J639" s="59" t="s">
        <v>5547</v>
      </c>
      <c r="K639" s="58"/>
      <c r="L639" s="58"/>
      <c r="M639" s="59" t="s">
        <v>5552</v>
      </c>
      <c r="N639" s="6" t="s">
        <v>5549</v>
      </c>
      <c r="O639" s="6" t="s">
        <v>604</v>
      </c>
      <c r="P639" s="58" t="s">
        <v>3718</v>
      </c>
      <c r="Q639" s="90" t="s">
        <v>604</v>
      </c>
      <c r="R639" s="59" t="s">
        <v>604</v>
      </c>
      <c r="S639" s="58" t="str">
        <f aca="false">IF(ISNUMBER($AF639),INDEX(IDX_SrcStat,$AF639),"—")</f>
        <v>—</v>
      </c>
      <c r="T639" s="58" t="str">
        <f aca="false">IF(ISNUMBER($AF639),INDEX(IDX_SrcGrade,$AF639),"—")</f>
        <v>—</v>
      </c>
      <c r="U639" s="59" t="s">
        <v>604</v>
      </c>
      <c r="V639" s="109" t="n">
        <f aca="false">IF(AND($F639="原始數據",$U639&lt;&gt;"連結 SRC"),1,0)</f>
        <v>0</v>
      </c>
      <c r="W639" s="109" t="n">
        <f aca="false">IF(AND($F639="Analogy",OR($H639="—",$H639="")),1,0)</f>
        <v>0</v>
      </c>
      <c r="X639" s="109" t="n">
        <f aca="false">IF(AND(OR($F639="Analogy",$F639="Assumed"),$G639&lt;&gt;"低",$G639&lt;&gt;"高",NOT(ISNUMBER($K639)),NOT(ISNUMBER($L639)),OR($M639="—",$M639="")),1,0)</f>
        <v>0</v>
      </c>
      <c r="Y639" s="109" t="n">
        <f aca="false">IF(AND(OR($F639="Analogy",$F639="Assumed",$F639="Derived（待改公式）",$F639="Derived（公式）"),OR($N639="—",$N639="",$N639=0)),1,0)</f>
        <v>0</v>
      </c>
      <c r="Z639" s="109" t="n">
        <f aca="false">IF(AND($F639="Decision",OR($J639="—",$J639="")),1,0)</f>
        <v>0</v>
      </c>
      <c r="AA639" s="87" t="n">
        <f aca="false">IF(OR($J639="—",$J639=""),0,IF(COUNTIF(Decisions!$A$5:$A$300,$J639)=0,1,0))</f>
        <v>0</v>
      </c>
      <c r="AB639" s="109" t="n">
        <f aca="false">IF(AND($F639="原始數據",$S639&lt;&gt;"Active"),1,0)</f>
        <v>0</v>
      </c>
      <c r="AC639" s="109" t="n">
        <f aca="false">IF(AND(ISNUMBER($K639),ISNUMBER($L639),ISNUMBER($Q639)),IF(OR($Q639&lt;MIN($K639,$L639),$Q639&gt;MAX($K639,$L639)),1,0),0)</f>
        <v>0</v>
      </c>
      <c r="AD639" s="109" t="n">
        <f aca="false">IF(AND(ISNUMBER($T639),$P639="高"),IF($T639=3,1,0),0)</f>
        <v>0</v>
      </c>
      <c r="AE639" s="109" t="n">
        <f aca="false">IF($S639="不存在",1,0)</f>
        <v>0</v>
      </c>
      <c r="AF639" s="58" t="str">
        <f aca="false">IF(OR($H639="—",$H639=""),"—",MATCH($H639,IDX_SrcID,0))</f>
        <v>—</v>
      </c>
      <c r="AG639" s="109" t="n">
        <f aca="false">IF(AND($P639="高",OR($AD639=1,$X639=1)),1,0)</f>
        <v>0</v>
      </c>
      <c r="AH639" s="109" t="n">
        <f aca="false">IF(AND($P639="高",$AG639=0,OR($F639&lt;&gt;"原始數據",$T639&lt;&gt;1)),1,0)</f>
        <v>0</v>
      </c>
      <c r="AI639" s="58" t="str">
        <f aca="false">IF(AND($P639="高",ISNUMBER($AF639)),INDEX(IDX_SrcDate,$AF639),"—")</f>
        <v>—</v>
      </c>
      <c r="AJ639" s="109" t="n">
        <f aca="false">IF(AND(ISTEXT($AI639),LEN($AI639)=10),IF(ISNUMBER(VALUE(SUBSTITUTE($AI639,"-",""))),VALUE(SUBSTITUTE($AI639,"-","")),0),0)</f>
        <v>0</v>
      </c>
    </row>
    <row r="640" customFormat="false" ht="69.4" hidden="false" customHeight="false" outlineLevel="0" collapsed="false">
      <c r="A640" s="59" t="s">
        <v>5553</v>
      </c>
      <c r="B640" s="58" t="s">
        <v>5545</v>
      </c>
      <c r="C640" s="59" t="s">
        <v>4784</v>
      </c>
      <c r="D640" s="59" t="s">
        <v>5554</v>
      </c>
      <c r="E640" s="5" t="s">
        <v>1561</v>
      </c>
      <c r="F640" s="59" t="s">
        <v>90</v>
      </c>
      <c r="G640" s="58" t="s">
        <v>75</v>
      </c>
      <c r="H640" s="59" t="s">
        <v>604</v>
      </c>
      <c r="I640" s="6" t="s">
        <v>604</v>
      </c>
      <c r="J640" s="59" t="s">
        <v>5547</v>
      </c>
      <c r="K640" s="87" t="n">
        <f aca="false">Cap_In!D227</f>
        <v>3</v>
      </c>
      <c r="L640" s="87" t="n">
        <f aca="false">Cap_In!E227</f>
        <v>5</v>
      </c>
      <c r="M640" s="59" t="s">
        <v>5555</v>
      </c>
      <c r="N640" s="6" t="s">
        <v>5556</v>
      </c>
      <c r="O640" s="6" t="s">
        <v>604</v>
      </c>
      <c r="P640" s="58" t="s">
        <v>3718</v>
      </c>
      <c r="Q640" s="87" t="n">
        <f aca="false">Cap_In!C227</f>
        <v>4</v>
      </c>
      <c r="R640" s="59" t="s">
        <v>604</v>
      </c>
      <c r="S640" s="58" t="str">
        <f aca="false">IF(ISNUMBER($AF640),INDEX(IDX_SrcStat,$AF640),"—")</f>
        <v>—</v>
      </c>
      <c r="T640" s="58" t="str">
        <f aca="false">IF(ISNUMBER($AF640),INDEX(IDX_SrcGrade,$AF640),"—")</f>
        <v>—</v>
      </c>
      <c r="U640" s="58" t="s">
        <v>3719</v>
      </c>
      <c r="V640" s="109" t="n">
        <f aca="false">IF(AND($F640="原始數據",$U640&lt;&gt;"連結 SRC"),1,0)</f>
        <v>0</v>
      </c>
      <c r="W640" s="109" t="n">
        <f aca="false">IF(AND($F640="Analogy",OR($H640="—",$H640="")),1,0)</f>
        <v>0</v>
      </c>
      <c r="X640" s="109" t="n">
        <f aca="false">IF(AND(OR($F640="Analogy",$F640="Assumed"),$G640&lt;&gt;"低",$G640&lt;&gt;"高",NOT(ISNUMBER($K640)),NOT(ISNUMBER($L640)),OR($M640="—",$M640="")),1,0)</f>
        <v>0</v>
      </c>
      <c r="Y640" s="109" t="n">
        <f aca="false">IF(AND(OR($F640="Analogy",$F640="Assumed",$F640="Derived（待改公式）",$F640="Derived（公式）"),OR($N640="—",$N640="",$N640=0)),1,0)</f>
        <v>0</v>
      </c>
      <c r="Z640" s="109" t="n">
        <f aca="false">IF(AND($F640="Decision",OR($J640="—",$J640="")),1,0)</f>
        <v>0</v>
      </c>
      <c r="AA640" s="87" t="n">
        <f aca="false">IF(OR($J640="—",$J640=""),0,IF(COUNTIF(Decisions!$A$5:$A$300,$J640)=0,1,0))</f>
        <v>0</v>
      </c>
      <c r="AB640" s="109" t="n">
        <f aca="false">IF(AND($F640="原始數據",$S640&lt;&gt;"Active"),1,0)</f>
        <v>0</v>
      </c>
      <c r="AC640" s="109" t="n">
        <f aca="false">IF(AND(ISNUMBER($K640),ISNUMBER($L640),ISNUMBER($Q640)),IF(OR($Q640&lt;MIN($K640,$L640),$Q640&gt;MAX($K640,$L640)),1,0),0)</f>
        <v>0</v>
      </c>
      <c r="AD640" s="109" t="n">
        <f aca="false">IF(AND(ISNUMBER($T640),$P640="高"),IF($T640=3,1,0),0)</f>
        <v>0</v>
      </c>
      <c r="AE640" s="109" t="n">
        <f aca="false">IF($S640="不存在",1,0)</f>
        <v>0</v>
      </c>
      <c r="AF640" s="58" t="str">
        <f aca="false">IF(OR($H640="—",$H640=""),"—",MATCH($H640,IDX_SrcID,0))</f>
        <v>—</v>
      </c>
      <c r="AG640" s="109" t="n">
        <f aca="false">IF(AND($P640="高",OR($AD640=1,$X640=1)),1,0)</f>
        <v>0</v>
      </c>
      <c r="AH640" s="109" t="n">
        <f aca="false">IF(AND($P640="高",$AG640=0,OR($F640&lt;&gt;"原始數據",$T640&lt;&gt;1)),1,0)</f>
        <v>0</v>
      </c>
      <c r="AI640" s="58" t="str">
        <f aca="false">IF(AND($P640="高",ISNUMBER($AF640)),INDEX(IDX_SrcDate,$AF640),"—")</f>
        <v>—</v>
      </c>
      <c r="AJ640" s="109" t="n">
        <f aca="false">IF(AND(ISTEXT($AI640),LEN($AI640)=10),IF(ISNUMBER(VALUE(SUBSTITUTE($AI640,"-",""))),VALUE(SUBSTITUTE($AI640,"-","")),0),0)</f>
        <v>0</v>
      </c>
    </row>
    <row r="641" customFormat="false" ht="69.4" hidden="false" customHeight="false" outlineLevel="0" collapsed="false">
      <c r="A641" s="59" t="s">
        <v>5557</v>
      </c>
      <c r="B641" s="58" t="s">
        <v>5545</v>
      </c>
      <c r="C641" s="59" t="s">
        <v>4784</v>
      </c>
      <c r="D641" s="59" t="s">
        <v>5558</v>
      </c>
      <c r="E641" s="5" t="s">
        <v>1561</v>
      </c>
      <c r="F641" s="59" t="s">
        <v>90</v>
      </c>
      <c r="G641" s="58" t="s">
        <v>4790</v>
      </c>
      <c r="H641" s="59" t="s">
        <v>604</v>
      </c>
      <c r="I641" s="6" t="s">
        <v>604</v>
      </c>
      <c r="J641" s="59" t="s">
        <v>5547</v>
      </c>
      <c r="K641" s="58"/>
      <c r="L641" s="58"/>
      <c r="M641" s="59" t="s">
        <v>5559</v>
      </c>
      <c r="N641" s="6" t="s">
        <v>5556</v>
      </c>
      <c r="O641" s="6" t="s">
        <v>604</v>
      </c>
      <c r="P641" s="58" t="s">
        <v>3718</v>
      </c>
      <c r="Q641" s="90" t="s">
        <v>604</v>
      </c>
      <c r="R641" s="59" t="s">
        <v>604</v>
      </c>
      <c r="S641" s="58" t="str">
        <f aca="false">IF(ISNUMBER($AF641),INDEX(IDX_SrcStat,$AF641),"—")</f>
        <v>—</v>
      </c>
      <c r="T641" s="58" t="str">
        <f aca="false">IF(ISNUMBER($AF641),INDEX(IDX_SrcGrade,$AF641),"—")</f>
        <v>—</v>
      </c>
      <c r="U641" s="59" t="s">
        <v>604</v>
      </c>
      <c r="V641" s="109" t="n">
        <f aca="false">IF(AND($F641="原始數據",$U641&lt;&gt;"連結 SRC"),1,0)</f>
        <v>0</v>
      </c>
      <c r="W641" s="109" t="n">
        <f aca="false">IF(AND($F641="Analogy",OR($H641="—",$H641="")),1,0)</f>
        <v>0</v>
      </c>
      <c r="X641" s="109" t="n">
        <f aca="false">IF(AND(OR($F641="Analogy",$F641="Assumed"),$G641&lt;&gt;"低",$G641&lt;&gt;"高",NOT(ISNUMBER($K641)),NOT(ISNUMBER($L641)),OR($M641="—",$M641="")),1,0)</f>
        <v>0</v>
      </c>
      <c r="Y641" s="109" t="n">
        <f aca="false">IF(AND(OR($F641="Analogy",$F641="Assumed",$F641="Derived（待改公式）",$F641="Derived（公式）"),OR($N641="—",$N641="",$N641=0)),1,0)</f>
        <v>0</v>
      </c>
      <c r="Z641" s="109" t="n">
        <f aca="false">IF(AND($F641="Decision",OR($J641="—",$J641="")),1,0)</f>
        <v>0</v>
      </c>
      <c r="AA641" s="87" t="n">
        <f aca="false">IF(OR($J641="—",$J641=""),0,IF(COUNTIF(Decisions!$A$5:$A$300,$J641)=0,1,0))</f>
        <v>0</v>
      </c>
      <c r="AB641" s="109" t="n">
        <f aca="false">IF(AND($F641="原始數據",$S641&lt;&gt;"Active"),1,0)</f>
        <v>0</v>
      </c>
      <c r="AC641" s="109" t="n">
        <f aca="false">IF(AND(ISNUMBER($K641),ISNUMBER($L641),ISNUMBER($Q641)),IF(OR($Q641&lt;MIN($K641,$L641),$Q641&gt;MAX($K641,$L641)),1,0),0)</f>
        <v>0</v>
      </c>
      <c r="AD641" s="109" t="n">
        <f aca="false">IF(AND(ISNUMBER($T641),$P641="高"),IF($T641=3,1,0),0)</f>
        <v>0</v>
      </c>
      <c r="AE641" s="109" t="n">
        <f aca="false">IF($S641="不存在",1,0)</f>
        <v>0</v>
      </c>
      <c r="AF641" s="58" t="str">
        <f aca="false">IF(OR($H641="—",$H641=""),"—",MATCH($H641,IDX_SrcID,0))</f>
        <v>—</v>
      </c>
      <c r="AG641" s="109" t="n">
        <f aca="false">IF(AND($P641="高",OR($AD641=1,$X641=1)),1,0)</f>
        <v>0</v>
      </c>
      <c r="AH641" s="109" t="n">
        <f aca="false">IF(AND($P641="高",$AG641=0,OR($F641&lt;&gt;"原始數據",$T641&lt;&gt;1)),1,0)</f>
        <v>0</v>
      </c>
      <c r="AI641" s="58" t="str">
        <f aca="false">IF(AND($P641="高",ISNUMBER($AF641)),INDEX(IDX_SrcDate,$AF641),"—")</f>
        <v>—</v>
      </c>
      <c r="AJ641" s="109" t="n">
        <f aca="false">IF(AND(ISTEXT($AI641),LEN($AI641)=10),IF(ISNUMBER(VALUE(SUBSTITUTE($AI641,"-",""))),VALUE(SUBSTITUTE($AI641,"-","")),0),0)</f>
        <v>0</v>
      </c>
    </row>
    <row r="642" customFormat="false" ht="58.2" hidden="false" customHeight="false" outlineLevel="0" collapsed="false">
      <c r="A642" s="59" t="s">
        <v>5560</v>
      </c>
      <c r="B642" s="58" t="s">
        <v>5545</v>
      </c>
      <c r="C642" s="59" t="s">
        <v>4784</v>
      </c>
      <c r="D642" s="59" t="s">
        <v>5561</v>
      </c>
      <c r="E642" s="5" t="s">
        <v>1563</v>
      </c>
      <c r="F642" s="59" t="s">
        <v>90</v>
      </c>
      <c r="G642" s="58" t="s">
        <v>75</v>
      </c>
      <c r="H642" s="59" t="s">
        <v>604</v>
      </c>
      <c r="I642" s="6" t="s">
        <v>604</v>
      </c>
      <c r="J642" s="59" t="s">
        <v>5547</v>
      </c>
      <c r="K642" s="115" t="n">
        <f aca="false">Cap_In!D228</f>
        <v>0.05</v>
      </c>
      <c r="L642" s="115" t="n">
        <f aca="false">Cap_In!E228</f>
        <v>1</v>
      </c>
      <c r="M642" s="59" t="s">
        <v>5562</v>
      </c>
      <c r="N642" s="6" t="s">
        <v>5563</v>
      </c>
      <c r="O642" s="6" t="s">
        <v>604</v>
      </c>
      <c r="P642" s="58" t="s">
        <v>3718</v>
      </c>
      <c r="Q642" s="115" t="n">
        <f aca="false">Cap_In!C228</f>
        <v>0.5</v>
      </c>
      <c r="R642" s="59" t="s">
        <v>604</v>
      </c>
      <c r="S642" s="58" t="str">
        <f aca="false">IF(ISNUMBER($AF642),INDEX(IDX_SrcStat,$AF642),"—")</f>
        <v>—</v>
      </c>
      <c r="T642" s="58" t="str">
        <f aca="false">IF(ISNUMBER($AF642),INDEX(IDX_SrcGrade,$AF642),"—")</f>
        <v>—</v>
      </c>
      <c r="U642" s="58" t="s">
        <v>3719</v>
      </c>
      <c r="V642" s="109" t="n">
        <f aca="false">IF(AND($F642="原始數據",$U642&lt;&gt;"連結 SRC"),1,0)</f>
        <v>0</v>
      </c>
      <c r="W642" s="109" t="n">
        <f aca="false">IF(AND($F642="Analogy",OR($H642="—",$H642="")),1,0)</f>
        <v>0</v>
      </c>
      <c r="X642" s="109" t="n">
        <f aca="false">IF(AND(OR($F642="Analogy",$F642="Assumed"),$G642&lt;&gt;"低",$G642&lt;&gt;"高",NOT(ISNUMBER($K642)),NOT(ISNUMBER($L642)),OR($M642="—",$M642="")),1,0)</f>
        <v>0</v>
      </c>
      <c r="Y642" s="109" t="n">
        <f aca="false">IF(AND(OR($F642="Analogy",$F642="Assumed",$F642="Derived（待改公式）",$F642="Derived（公式）"),OR($N642="—",$N642="",$N642=0)),1,0)</f>
        <v>0</v>
      </c>
      <c r="Z642" s="109" t="n">
        <f aca="false">IF(AND($F642="Decision",OR($J642="—",$J642="")),1,0)</f>
        <v>0</v>
      </c>
      <c r="AA642" s="87" t="n">
        <f aca="false">IF(OR($J642="—",$J642=""),0,IF(COUNTIF(Decisions!$A$5:$A$300,$J642)=0,1,0))</f>
        <v>0</v>
      </c>
      <c r="AB642" s="109" t="n">
        <f aca="false">IF(AND($F642="原始數據",$S642&lt;&gt;"Active"),1,0)</f>
        <v>0</v>
      </c>
      <c r="AC642" s="109" t="n">
        <f aca="false">IF(AND(ISNUMBER($K642),ISNUMBER($L642),ISNUMBER($Q642)),IF(OR($Q642&lt;MIN($K642,$L642),$Q642&gt;MAX($K642,$L642)),1,0),0)</f>
        <v>0</v>
      </c>
      <c r="AD642" s="109" t="n">
        <f aca="false">IF(AND(ISNUMBER($T642),$P642="高"),IF($T642=3,1,0),0)</f>
        <v>0</v>
      </c>
      <c r="AE642" s="109" t="n">
        <f aca="false">IF($S642="不存在",1,0)</f>
        <v>0</v>
      </c>
      <c r="AF642" s="58" t="str">
        <f aca="false">IF(OR($H642="—",$H642=""),"—",MATCH($H642,IDX_SrcID,0))</f>
        <v>—</v>
      </c>
      <c r="AG642" s="109" t="n">
        <f aca="false">IF(AND($P642="高",OR($AD642=1,$X642=1)),1,0)</f>
        <v>0</v>
      </c>
      <c r="AH642" s="109" t="n">
        <f aca="false">IF(AND($P642="高",$AG642=0,OR($F642&lt;&gt;"原始數據",$T642&lt;&gt;1)),1,0)</f>
        <v>0</v>
      </c>
      <c r="AI642" s="58" t="str">
        <f aca="false">IF(AND($P642="高",ISNUMBER($AF642)),INDEX(IDX_SrcDate,$AF642),"—")</f>
        <v>—</v>
      </c>
      <c r="AJ642" s="109" t="n">
        <f aca="false">IF(AND(ISTEXT($AI642),LEN($AI642)=10),IF(ISNUMBER(VALUE(SUBSTITUTE($AI642,"-",""))),VALUE(SUBSTITUTE($AI642,"-","")),0),0)</f>
        <v>0</v>
      </c>
    </row>
    <row r="643" customFormat="false" ht="58.2" hidden="false" customHeight="false" outlineLevel="0" collapsed="false">
      <c r="A643" s="59" t="s">
        <v>5564</v>
      </c>
      <c r="B643" s="58" t="s">
        <v>5545</v>
      </c>
      <c r="C643" s="59" t="s">
        <v>4784</v>
      </c>
      <c r="D643" s="59" t="s">
        <v>5565</v>
      </c>
      <c r="E643" s="5" t="s">
        <v>1563</v>
      </c>
      <c r="F643" s="59" t="s">
        <v>90</v>
      </c>
      <c r="G643" s="58" t="s">
        <v>1134</v>
      </c>
      <c r="H643" s="59" t="s">
        <v>604</v>
      </c>
      <c r="I643" s="6" t="s">
        <v>604</v>
      </c>
      <c r="J643" s="59" t="s">
        <v>5547</v>
      </c>
      <c r="K643" s="58"/>
      <c r="L643" s="58"/>
      <c r="M643" s="59" t="s">
        <v>5566</v>
      </c>
      <c r="N643" s="6" t="s">
        <v>5563</v>
      </c>
      <c r="O643" s="6" t="s">
        <v>604</v>
      </c>
      <c r="P643" s="58" t="s">
        <v>3718</v>
      </c>
      <c r="Q643" s="115" t="n">
        <f aca="false">Cap_In!E228</f>
        <v>1</v>
      </c>
      <c r="R643" s="59" t="s">
        <v>604</v>
      </c>
      <c r="S643" s="58" t="str">
        <f aca="false">IF(ISNUMBER($AF643),INDEX(IDX_SrcStat,$AF643),"—")</f>
        <v>—</v>
      </c>
      <c r="T643" s="58" t="str">
        <f aca="false">IF(ISNUMBER($AF643),INDEX(IDX_SrcGrade,$AF643),"—")</f>
        <v>—</v>
      </c>
      <c r="U643" s="58" t="s">
        <v>3719</v>
      </c>
      <c r="V643" s="109" t="n">
        <f aca="false">IF(AND($F643="原始數據",$U643&lt;&gt;"連結 SRC"),1,0)</f>
        <v>0</v>
      </c>
      <c r="W643" s="109" t="n">
        <f aca="false">IF(AND($F643="Analogy",OR($H643="—",$H643="")),1,0)</f>
        <v>0</v>
      </c>
      <c r="X643" s="109" t="n">
        <f aca="false">IF(AND(OR($F643="Analogy",$F643="Assumed"),$G643&lt;&gt;"低",$G643&lt;&gt;"高",NOT(ISNUMBER($K643)),NOT(ISNUMBER($L643)),OR($M643="—",$M643="")),1,0)</f>
        <v>0</v>
      </c>
      <c r="Y643" s="109" t="n">
        <f aca="false">IF(AND(OR($F643="Analogy",$F643="Assumed",$F643="Derived（待改公式）",$F643="Derived（公式）"),OR($N643="—",$N643="",$N643=0)),1,0)</f>
        <v>0</v>
      </c>
      <c r="Z643" s="109" t="n">
        <f aca="false">IF(AND($F643="Decision",OR($J643="—",$J643="")),1,0)</f>
        <v>0</v>
      </c>
      <c r="AA643" s="87" t="n">
        <f aca="false">IF(OR($J643="—",$J643=""),0,IF(COUNTIF(Decisions!$A$5:$A$300,$J643)=0,1,0))</f>
        <v>0</v>
      </c>
      <c r="AB643" s="109" t="n">
        <f aca="false">IF(AND($F643="原始數據",$S643&lt;&gt;"Active"),1,0)</f>
        <v>0</v>
      </c>
      <c r="AC643" s="109" t="n">
        <f aca="false">IF(AND(ISNUMBER($K643),ISNUMBER($L643),ISNUMBER($Q643)),IF(OR($Q643&lt;MIN($K643,$L643),$Q643&gt;MAX($K643,$L643)),1,0),0)</f>
        <v>0</v>
      </c>
      <c r="AD643" s="109" t="n">
        <f aca="false">IF(AND(ISNUMBER($T643),$P643="高"),IF($T643=3,1,0),0)</f>
        <v>0</v>
      </c>
      <c r="AE643" s="109" t="n">
        <f aca="false">IF($S643="不存在",1,0)</f>
        <v>0</v>
      </c>
      <c r="AF643" s="58" t="str">
        <f aca="false">IF(OR($H643="—",$H643=""),"—",MATCH($H643,IDX_SrcID,0))</f>
        <v>—</v>
      </c>
      <c r="AG643" s="109" t="n">
        <f aca="false">IF(AND($P643="高",OR($AD643=1,$X643=1)),1,0)</f>
        <v>0</v>
      </c>
      <c r="AH643" s="109" t="n">
        <f aca="false">IF(AND($P643="高",$AG643=0,OR($F643&lt;&gt;"原始數據",$T643&lt;&gt;1)),1,0)</f>
        <v>0</v>
      </c>
      <c r="AI643" s="58" t="str">
        <f aca="false">IF(AND($P643="高",ISNUMBER($AF643)),INDEX(IDX_SrcDate,$AF643),"—")</f>
        <v>—</v>
      </c>
      <c r="AJ643" s="109" t="n">
        <f aca="false">IF(AND(ISTEXT($AI643),LEN($AI643)=10),IF(ISNUMBER(VALUE(SUBSTITUTE($AI643,"-",""))),VALUE(SUBSTITUTE($AI643,"-","")),0),0)</f>
        <v>0</v>
      </c>
    </row>
    <row r="644" customFormat="false" ht="58.2" hidden="false" customHeight="false" outlineLevel="0" collapsed="false">
      <c r="A644" s="59" t="s">
        <v>5567</v>
      </c>
      <c r="B644" s="58" t="s">
        <v>5568</v>
      </c>
      <c r="C644" s="59" t="s">
        <v>4784</v>
      </c>
      <c r="D644" s="59" t="s">
        <v>5569</v>
      </c>
      <c r="E644" s="5" t="s">
        <v>1480</v>
      </c>
      <c r="F644" s="59" t="s">
        <v>90</v>
      </c>
      <c r="G644" s="58" t="s">
        <v>3715</v>
      </c>
      <c r="H644" s="59" t="s">
        <v>5570</v>
      </c>
      <c r="I644" s="5" t="s">
        <v>5571</v>
      </c>
      <c r="J644" s="59" t="s">
        <v>5572</v>
      </c>
      <c r="K644" s="134" t="n">
        <v>0</v>
      </c>
      <c r="L644" s="134" t="n">
        <v>0.2</v>
      </c>
      <c r="M644" s="58" t="s">
        <v>5573</v>
      </c>
      <c r="N644" s="6" t="s">
        <v>5574</v>
      </c>
      <c r="O644" s="6" t="s">
        <v>604</v>
      </c>
      <c r="P644" s="58" t="s">
        <v>3718</v>
      </c>
      <c r="Q644" s="92" t="n">
        <f aca="false">Cap_In!D186</f>
        <v>0</v>
      </c>
      <c r="R644" s="90" t="n">
        <f aca="false">SRC_DEM_072</f>
        <v>1</v>
      </c>
      <c r="S644" s="58" t="str">
        <f aca="false">IF(ISNUMBER($AF644),INDEX(IDX_SrcStat,$AF644),"—")</f>
        <v>Active</v>
      </c>
      <c r="T644" s="58" t="n">
        <f aca="false">IF(ISNUMBER($AF644),INDEX(IDX_SrcGrade,$AF644),"—")</f>
        <v>2</v>
      </c>
      <c r="U644" s="58" t="s">
        <v>3719</v>
      </c>
      <c r="V644" s="109" t="n">
        <f aca="false">IF(AND($F644="原始數據",$U644&lt;&gt;"連結 SRC"),1,0)</f>
        <v>0</v>
      </c>
      <c r="W644" s="109" t="n">
        <f aca="false">IF(AND($F644="Analogy",OR($H644="—",$H644="")),1,0)</f>
        <v>0</v>
      </c>
      <c r="X644" s="109" t="n">
        <f aca="false">IF(AND(OR($F644="Analogy",$F644="Assumed"),$G644&lt;&gt;"低",$G644&lt;&gt;"高",NOT(ISNUMBER($K644)),NOT(ISNUMBER($L644)),OR($M644="—",$M644="")),1,0)</f>
        <v>0</v>
      </c>
      <c r="Y644" s="109" t="n">
        <f aca="false">IF(AND(OR($F644="Analogy",$F644="Assumed",$F644="Derived（待改公式）",$F644="Derived（公式）"),OR($N644="—",$N644="",$N644=0)),1,0)</f>
        <v>0</v>
      </c>
      <c r="Z644" s="109" t="n">
        <f aca="false">IF(AND($F644="Decision",OR($J644="—",$J644="")),1,0)</f>
        <v>0</v>
      </c>
      <c r="AA644" s="87" t="n">
        <f aca="false">IF(OR($J644="—",$J644=""),0,IF(COUNTIF(Decisions!$A$5:$A$300,$J644)=0,1,0))</f>
        <v>0</v>
      </c>
      <c r="AB644" s="109" t="n">
        <f aca="false">IF(AND($F644="原始數據",$S644&lt;&gt;"Active"),1,0)</f>
        <v>0</v>
      </c>
      <c r="AC644" s="109" t="n">
        <f aca="false">IF(AND(ISNUMBER($K644),ISNUMBER($L644),ISNUMBER($Q644)),IF(OR($Q644&lt;MIN($K644,$L644),$Q644&gt;MAX($K644,$L644)),1,0),0)</f>
        <v>0</v>
      </c>
      <c r="AD644" s="109" t="n">
        <f aca="false">IF(AND(ISNUMBER($T644),$P644="高"),IF($T644=3,1,0),0)</f>
        <v>0</v>
      </c>
      <c r="AE644" s="109" t="n">
        <f aca="false">IF($S644="不存在",1,0)</f>
        <v>0</v>
      </c>
      <c r="AF644" s="58" t="n">
        <f aca="false">IF(OR($H644="—",$H644=""),"—",MATCH($H644,IDX_SrcID,0))</f>
        <v>705</v>
      </c>
      <c r="AG644" s="109" t="n">
        <f aca="false">IF(AND($P644="高",OR($AD644=1,$X644=1)),1,0)</f>
        <v>0</v>
      </c>
      <c r="AH644" s="109" t="n">
        <f aca="false">IF(AND($P644="高",$AG644=0,OR($F644&lt;&gt;"原始數據",$T644&lt;&gt;1)),1,0)</f>
        <v>0</v>
      </c>
      <c r="AI644" s="58" t="str">
        <f aca="false">IF(AND($P644="高",ISNUMBER($AF644)),INDEX(IDX_SrcDate,$AF644),"—")</f>
        <v>—</v>
      </c>
      <c r="AJ644" s="109" t="n">
        <f aca="false">IF(AND(ISTEXT($AI644),LEN($AI644)=10),IF(ISNUMBER(VALUE(SUBSTITUTE($AI644,"-",""))),VALUE(SUBSTITUTE($AI644,"-","")),0),0)</f>
        <v>0</v>
      </c>
    </row>
    <row r="645" customFormat="false" ht="58.2" hidden="false" customHeight="false" outlineLevel="0" collapsed="false">
      <c r="A645" s="59" t="s">
        <v>5575</v>
      </c>
      <c r="B645" s="58" t="s">
        <v>5568</v>
      </c>
      <c r="C645" s="59" t="s">
        <v>4784</v>
      </c>
      <c r="D645" s="59" t="s">
        <v>5576</v>
      </c>
      <c r="E645" s="5" t="s">
        <v>1480</v>
      </c>
      <c r="F645" s="59" t="s">
        <v>90</v>
      </c>
      <c r="G645" s="58" t="s">
        <v>3715</v>
      </c>
      <c r="H645" s="59" t="s">
        <v>5570</v>
      </c>
      <c r="I645" s="5" t="s">
        <v>5571</v>
      </c>
      <c r="J645" s="59" t="s">
        <v>5572</v>
      </c>
      <c r="K645" s="134" t="n">
        <v>0.3</v>
      </c>
      <c r="L645" s="134" t="n">
        <v>0.8</v>
      </c>
      <c r="M645" s="58" t="s">
        <v>5577</v>
      </c>
      <c r="N645" s="6" t="s">
        <v>5574</v>
      </c>
      <c r="O645" s="6" t="s">
        <v>604</v>
      </c>
      <c r="P645" s="58" t="s">
        <v>3718</v>
      </c>
      <c r="Q645" s="92" t="n">
        <f aca="false">Cap_In!E186</f>
        <v>0.5</v>
      </c>
      <c r="R645" s="90" t="n">
        <f aca="false">SRC_DEM_072</f>
        <v>1</v>
      </c>
      <c r="S645" s="58" t="str">
        <f aca="false">IF(ISNUMBER($AF645),INDEX(IDX_SrcStat,$AF645),"—")</f>
        <v>Active</v>
      </c>
      <c r="T645" s="58" t="n">
        <f aca="false">IF(ISNUMBER($AF645),INDEX(IDX_SrcGrade,$AF645),"—")</f>
        <v>2</v>
      </c>
      <c r="U645" s="58" t="s">
        <v>3719</v>
      </c>
      <c r="V645" s="109" t="n">
        <f aca="false">IF(AND($F645="原始數據",$U645&lt;&gt;"連結 SRC"),1,0)</f>
        <v>0</v>
      </c>
      <c r="W645" s="109" t="n">
        <f aca="false">IF(AND($F645="Analogy",OR($H645="—",$H645="")),1,0)</f>
        <v>0</v>
      </c>
      <c r="X645" s="109" t="n">
        <f aca="false">IF(AND(OR($F645="Analogy",$F645="Assumed"),$G645&lt;&gt;"低",$G645&lt;&gt;"高",NOT(ISNUMBER($K645)),NOT(ISNUMBER($L645)),OR($M645="—",$M645="")),1,0)</f>
        <v>0</v>
      </c>
      <c r="Y645" s="109" t="n">
        <f aca="false">IF(AND(OR($F645="Analogy",$F645="Assumed",$F645="Derived（待改公式）",$F645="Derived（公式）"),OR($N645="—",$N645="",$N645=0)),1,0)</f>
        <v>0</v>
      </c>
      <c r="Z645" s="109" t="n">
        <f aca="false">IF(AND($F645="Decision",OR($J645="—",$J645="")),1,0)</f>
        <v>0</v>
      </c>
      <c r="AA645" s="87" t="n">
        <f aca="false">IF(OR($J645="—",$J645=""),0,IF(COUNTIF(Decisions!$A$5:$A$300,$J645)=0,1,0))</f>
        <v>0</v>
      </c>
      <c r="AB645" s="109" t="n">
        <f aca="false">IF(AND($F645="原始數據",$S645&lt;&gt;"Active"),1,0)</f>
        <v>0</v>
      </c>
      <c r="AC645" s="109" t="n">
        <f aca="false">IF(AND(ISNUMBER($K645),ISNUMBER($L645),ISNUMBER($Q645)),IF(OR($Q645&lt;MIN($K645,$L645),$Q645&gt;MAX($K645,$L645)),1,0),0)</f>
        <v>0</v>
      </c>
      <c r="AD645" s="109" t="n">
        <f aca="false">IF(AND(ISNUMBER($T645),$P645="高"),IF($T645=3,1,0),0)</f>
        <v>0</v>
      </c>
      <c r="AE645" s="109" t="n">
        <f aca="false">IF($S645="不存在",1,0)</f>
        <v>0</v>
      </c>
      <c r="AF645" s="58" t="n">
        <f aca="false">IF(OR($H645="—",$H645=""),"—",MATCH($H645,IDX_SrcID,0))</f>
        <v>705</v>
      </c>
      <c r="AG645" s="109" t="n">
        <f aca="false">IF(AND($P645="高",OR($AD645=1,$X645=1)),1,0)</f>
        <v>0</v>
      </c>
      <c r="AH645" s="109" t="n">
        <f aca="false">IF(AND($P645="高",$AG645=0,OR($F645&lt;&gt;"原始數據",$T645&lt;&gt;1)),1,0)</f>
        <v>0</v>
      </c>
      <c r="AI645" s="58" t="str">
        <f aca="false">IF(AND($P645="高",ISNUMBER($AF645)),INDEX(IDX_SrcDate,$AF645),"—")</f>
        <v>—</v>
      </c>
      <c r="AJ645" s="109" t="n">
        <f aca="false">IF(AND(ISTEXT($AI645),LEN($AI645)=10),IF(ISNUMBER(VALUE(SUBSTITUTE($AI645,"-",""))),VALUE(SUBSTITUTE($AI645,"-","")),0),0)</f>
        <v>0</v>
      </c>
    </row>
    <row r="646" customFormat="false" ht="58.2" hidden="false" customHeight="false" outlineLevel="0" collapsed="false">
      <c r="A646" s="59" t="s">
        <v>5578</v>
      </c>
      <c r="B646" s="58" t="s">
        <v>5568</v>
      </c>
      <c r="C646" s="59" t="s">
        <v>4784</v>
      </c>
      <c r="D646" s="59" t="s">
        <v>5579</v>
      </c>
      <c r="E646" s="5" t="s">
        <v>1480</v>
      </c>
      <c r="F646" s="59" t="s">
        <v>90</v>
      </c>
      <c r="G646" s="58" t="s">
        <v>3715</v>
      </c>
      <c r="H646" s="59" t="s">
        <v>5570</v>
      </c>
      <c r="I646" s="5" t="s">
        <v>5571</v>
      </c>
      <c r="J646" s="59" t="s">
        <v>5572</v>
      </c>
      <c r="K646" s="134" t="n">
        <v>0.5</v>
      </c>
      <c r="L646" s="134" t="n">
        <v>1.5</v>
      </c>
      <c r="M646" s="58" t="s">
        <v>5580</v>
      </c>
      <c r="N646" s="6" t="s">
        <v>5574</v>
      </c>
      <c r="O646" s="6" t="s">
        <v>604</v>
      </c>
      <c r="P646" s="58" t="s">
        <v>3718</v>
      </c>
      <c r="Q646" s="92" t="n">
        <f aca="false">Cap_In!F186</f>
        <v>1</v>
      </c>
      <c r="R646" s="90" t="n">
        <f aca="false">SRC_DEM_072</f>
        <v>1</v>
      </c>
      <c r="S646" s="58" t="str">
        <f aca="false">IF(ISNUMBER($AF646),INDEX(IDX_SrcStat,$AF646),"—")</f>
        <v>Active</v>
      </c>
      <c r="T646" s="58" t="n">
        <f aca="false">IF(ISNUMBER($AF646),INDEX(IDX_SrcGrade,$AF646),"—")</f>
        <v>2</v>
      </c>
      <c r="U646" s="58" t="s">
        <v>3719</v>
      </c>
      <c r="V646" s="109" t="n">
        <f aca="false">IF(AND($F646="原始數據",$U646&lt;&gt;"連結 SRC"),1,0)</f>
        <v>0</v>
      </c>
      <c r="W646" s="109" t="n">
        <f aca="false">IF(AND($F646="Analogy",OR($H646="—",$H646="")),1,0)</f>
        <v>0</v>
      </c>
      <c r="X646" s="109" t="n">
        <f aca="false">IF(AND(OR($F646="Analogy",$F646="Assumed"),$G646&lt;&gt;"低",$G646&lt;&gt;"高",NOT(ISNUMBER($K646)),NOT(ISNUMBER($L646)),OR($M646="—",$M646="")),1,0)</f>
        <v>0</v>
      </c>
      <c r="Y646" s="109" t="n">
        <f aca="false">IF(AND(OR($F646="Analogy",$F646="Assumed",$F646="Derived（待改公式）",$F646="Derived（公式）"),OR($N646="—",$N646="",$N646=0)),1,0)</f>
        <v>0</v>
      </c>
      <c r="Z646" s="109" t="n">
        <f aca="false">IF(AND($F646="Decision",OR($J646="—",$J646="")),1,0)</f>
        <v>0</v>
      </c>
      <c r="AA646" s="87" t="n">
        <f aca="false">IF(OR($J646="—",$J646=""),0,IF(COUNTIF(Decisions!$A$5:$A$300,$J646)=0,1,0))</f>
        <v>0</v>
      </c>
      <c r="AB646" s="109" t="n">
        <f aca="false">IF(AND($F646="原始數據",$S646&lt;&gt;"Active"),1,0)</f>
        <v>0</v>
      </c>
      <c r="AC646" s="109" t="n">
        <f aca="false">IF(AND(ISNUMBER($K646),ISNUMBER($L646),ISNUMBER($Q646)),IF(OR($Q646&lt;MIN($K646,$L646),$Q646&gt;MAX($K646,$L646)),1,0),0)</f>
        <v>0</v>
      </c>
      <c r="AD646" s="109" t="n">
        <f aca="false">IF(AND(ISNUMBER($T646),$P646="高"),IF($T646=3,1,0),0)</f>
        <v>0</v>
      </c>
      <c r="AE646" s="109" t="n">
        <f aca="false">IF($S646="不存在",1,0)</f>
        <v>0</v>
      </c>
      <c r="AF646" s="58" t="n">
        <f aca="false">IF(OR($H646="—",$H646=""),"—",MATCH($H646,IDX_SrcID,0))</f>
        <v>705</v>
      </c>
      <c r="AG646" s="109" t="n">
        <f aca="false">IF(AND($P646="高",OR($AD646=1,$X646=1)),1,0)</f>
        <v>0</v>
      </c>
      <c r="AH646" s="109" t="n">
        <f aca="false">IF(AND($P646="高",$AG646=0,OR($F646&lt;&gt;"原始數據",$T646&lt;&gt;1)),1,0)</f>
        <v>0</v>
      </c>
      <c r="AI646" s="58" t="str">
        <f aca="false">IF(AND($P646="高",ISNUMBER($AF646)),INDEX(IDX_SrcDate,$AF646),"—")</f>
        <v>—</v>
      </c>
      <c r="AJ646" s="109" t="n">
        <f aca="false">IF(AND(ISTEXT($AI646),LEN($AI646)=10),IF(ISNUMBER(VALUE(SUBSTITUTE($AI646,"-",""))),VALUE(SUBSTITUTE($AI646,"-","")),0),0)</f>
        <v>0</v>
      </c>
    </row>
    <row r="647" customFormat="false" ht="72.35" hidden="false" customHeight="false" outlineLevel="0" collapsed="false">
      <c r="A647" s="59" t="s">
        <v>5581</v>
      </c>
      <c r="B647" s="58" t="s">
        <v>5568</v>
      </c>
      <c r="C647" s="59" t="s">
        <v>4784</v>
      </c>
      <c r="D647" s="59" t="s">
        <v>5582</v>
      </c>
      <c r="E647" s="6" t="s">
        <v>1511</v>
      </c>
      <c r="F647" s="59" t="s">
        <v>90</v>
      </c>
      <c r="G647" s="58" t="s">
        <v>3715</v>
      </c>
      <c r="H647" s="59" t="s">
        <v>604</v>
      </c>
      <c r="I647" s="6" t="s">
        <v>604</v>
      </c>
      <c r="J647" s="59" t="s">
        <v>5572</v>
      </c>
      <c r="K647" s="134" t="n">
        <v>0.5</v>
      </c>
      <c r="L647" s="134" t="n">
        <v>0.8</v>
      </c>
      <c r="M647" s="58" t="s">
        <v>5583</v>
      </c>
      <c r="N647" s="6" t="s">
        <v>5584</v>
      </c>
      <c r="O647" s="6" t="s">
        <v>604</v>
      </c>
      <c r="P647" s="58" t="s">
        <v>3718</v>
      </c>
      <c r="Q647" s="107" t="n">
        <f aca="false">Cap_In!D200</f>
        <v>0.65</v>
      </c>
      <c r="R647" s="59" t="s">
        <v>604</v>
      </c>
      <c r="S647" s="58" t="str">
        <f aca="false">IF(ISNUMBER($AF647),INDEX(IDX_SrcStat,$AF647),"—")</f>
        <v>—</v>
      </c>
      <c r="T647" s="58" t="str">
        <f aca="false">IF(ISNUMBER($AF647),INDEX(IDX_SrcGrade,$AF647),"—")</f>
        <v>—</v>
      </c>
      <c r="U647" s="58" t="s">
        <v>3719</v>
      </c>
      <c r="V647" s="109" t="n">
        <f aca="false">IF(AND($F647="原始數據",$U647&lt;&gt;"連結 SRC"),1,0)</f>
        <v>0</v>
      </c>
      <c r="W647" s="109" t="n">
        <f aca="false">IF(AND($F647="Analogy",OR($H647="—",$H647="")),1,0)</f>
        <v>0</v>
      </c>
      <c r="X647" s="109" t="n">
        <f aca="false">IF(AND(OR($F647="Analogy",$F647="Assumed"),$G647&lt;&gt;"低",$G647&lt;&gt;"高",NOT(ISNUMBER($K647)),NOT(ISNUMBER($L647)),OR($M647="—",$M647="")),1,0)</f>
        <v>0</v>
      </c>
      <c r="Y647" s="109" t="n">
        <f aca="false">IF(AND(OR($F647="Analogy",$F647="Assumed",$F647="Derived（待改公式）",$F647="Derived（公式）"),OR($N647="—",$N647="",$N647=0)),1,0)</f>
        <v>0</v>
      </c>
      <c r="Z647" s="109" t="n">
        <f aca="false">IF(AND($F647="Decision",OR($J647="—",$J647="")),1,0)</f>
        <v>0</v>
      </c>
      <c r="AA647" s="87" t="n">
        <f aca="false">IF(OR($J647="—",$J647=""),0,IF(COUNTIF(Decisions!$A$5:$A$300,$J647)=0,1,0))</f>
        <v>0</v>
      </c>
      <c r="AB647" s="109" t="n">
        <f aca="false">IF(AND($F647="原始數據",$S647&lt;&gt;"Active"),1,0)</f>
        <v>0</v>
      </c>
      <c r="AC647" s="109" t="n">
        <f aca="false">IF(AND(ISNUMBER($K647),ISNUMBER($L647),ISNUMBER($Q647)),IF(OR($Q647&lt;MIN($K647,$L647),$Q647&gt;MAX($K647,$L647)),1,0),0)</f>
        <v>0</v>
      </c>
      <c r="AD647" s="109" t="n">
        <f aca="false">IF(AND(ISNUMBER($T647),$P647="高"),IF($T647=3,1,0),0)</f>
        <v>0</v>
      </c>
      <c r="AE647" s="109" t="n">
        <f aca="false">IF($S647="不存在",1,0)</f>
        <v>0</v>
      </c>
      <c r="AF647" s="58" t="str">
        <f aca="false">IF(OR($H647="—",$H647=""),"—",MATCH($H647,IDX_SrcID,0))</f>
        <v>—</v>
      </c>
      <c r="AG647" s="109" t="n">
        <f aca="false">IF(AND($P647="高",OR($AD647=1,$X647=1)),1,0)</f>
        <v>0</v>
      </c>
      <c r="AH647" s="109" t="n">
        <f aca="false">IF(AND($P647="高",$AG647=0,OR($F647&lt;&gt;"原始數據",$T647&lt;&gt;1)),1,0)</f>
        <v>0</v>
      </c>
      <c r="AI647" s="58" t="str">
        <f aca="false">IF(AND($P647="高",ISNUMBER($AF647)),INDEX(IDX_SrcDate,$AF647),"—")</f>
        <v>—</v>
      </c>
      <c r="AJ647" s="109" t="n">
        <f aca="false">IF(AND(ISTEXT($AI647),LEN($AI647)=10),IF(ISNUMBER(VALUE(SUBSTITUTE($AI647,"-",""))),VALUE(SUBSTITUTE($AI647,"-","")),0),0)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8" t="s">
        <v>5585</v>
      </c>
    </row>
    <row r="2" customFormat="false" ht="15" hidden="false" customHeight="true" outlineLevel="0" collapsed="false">
      <c r="A2" s="42" t="s">
        <v>5586</v>
      </c>
    </row>
    <row r="4" customFormat="false" ht="29.25" hidden="false" customHeight="true" outlineLevel="0" collapsed="false">
      <c r="A4" s="219" t="s">
        <v>3688</v>
      </c>
      <c r="B4" s="219" t="s">
        <v>3229</v>
      </c>
      <c r="C4" s="219" t="s">
        <v>353</v>
      </c>
      <c r="D4" s="219" t="s">
        <v>5587</v>
      </c>
      <c r="E4" s="219" t="s">
        <v>5588</v>
      </c>
      <c r="F4" s="82" t="s">
        <v>5589</v>
      </c>
      <c r="G4" s="219" t="s">
        <v>591</v>
      </c>
      <c r="H4" s="219" t="s">
        <v>5590</v>
      </c>
      <c r="I4" s="219" t="s">
        <v>5591</v>
      </c>
      <c r="J4" s="219" t="s">
        <v>5592</v>
      </c>
    </row>
    <row r="5" customFormat="false" ht="29.25" hidden="false" customHeight="true" outlineLevel="0" collapsed="false">
      <c r="A5" s="28" t="s">
        <v>3716</v>
      </c>
      <c r="B5" s="28" t="s">
        <v>5593</v>
      </c>
      <c r="C5" s="19" t="s">
        <v>6</v>
      </c>
      <c r="D5" s="6" t="s">
        <v>5594</v>
      </c>
      <c r="E5" s="28" t="s">
        <v>5595</v>
      </c>
      <c r="F5" s="6" t="s">
        <v>604</v>
      </c>
      <c r="G5" s="221" t="s">
        <v>5596</v>
      </c>
      <c r="H5" s="6" t="s">
        <v>5597</v>
      </c>
      <c r="I5" s="221" t="s">
        <v>5598</v>
      </c>
      <c r="J5" s="221" t="s">
        <v>635</v>
      </c>
    </row>
    <row r="6" customFormat="false" ht="29.25" hidden="false" customHeight="true" outlineLevel="0" collapsed="false">
      <c r="A6" s="28" t="s">
        <v>5599</v>
      </c>
      <c r="B6" s="28" t="s">
        <v>5593</v>
      </c>
      <c r="C6" s="19" t="s">
        <v>161</v>
      </c>
      <c r="D6" s="6" t="s">
        <v>5600</v>
      </c>
      <c r="E6" s="28" t="s">
        <v>5595</v>
      </c>
      <c r="F6" s="6" t="s">
        <v>604</v>
      </c>
      <c r="G6" s="221" t="s">
        <v>5596</v>
      </c>
      <c r="H6" s="6" t="s">
        <v>604</v>
      </c>
      <c r="I6" s="221" t="s">
        <v>5598</v>
      </c>
      <c r="J6" s="221" t="s">
        <v>635</v>
      </c>
    </row>
    <row r="7" customFormat="false" ht="29.25" hidden="false" customHeight="true" outlineLevel="0" collapsed="false">
      <c r="A7" s="28" t="s">
        <v>3721</v>
      </c>
      <c r="B7" s="28" t="s">
        <v>5593</v>
      </c>
      <c r="C7" s="6" t="s">
        <v>5601</v>
      </c>
      <c r="D7" s="19" t="s">
        <v>5602</v>
      </c>
      <c r="E7" s="28" t="s">
        <v>5595</v>
      </c>
      <c r="F7" s="6" t="s">
        <v>604</v>
      </c>
      <c r="G7" s="221" t="s">
        <v>5596</v>
      </c>
      <c r="H7" s="6" t="s">
        <v>5603</v>
      </c>
      <c r="I7" s="221" t="s">
        <v>5598</v>
      </c>
      <c r="J7" s="221" t="s">
        <v>635</v>
      </c>
    </row>
    <row r="8" customFormat="false" ht="29.25" hidden="false" customHeight="true" outlineLevel="0" collapsed="false">
      <c r="A8" s="28" t="s">
        <v>3852</v>
      </c>
      <c r="B8" s="28" t="s">
        <v>5593</v>
      </c>
      <c r="C8" s="19" t="s">
        <v>5604</v>
      </c>
      <c r="D8" s="19" t="s">
        <v>5605</v>
      </c>
      <c r="E8" s="28" t="s">
        <v>5595</v>
      </c>
      <c r="F8" s="6" t="s">
        <v>604</v>
      </c>
      <c r="G8" s="221" t="s">
        <v>5596</v>
      </c>
      <c r="H8" s="6" t="s">
        <v>5606</v>
      </c>
      <c r="I8" s="221" t="s">
        <v>5598</v>
      </c>
      <c r="J8" s="221" t="s">
        <v>635</v>
      </c>
    </row>
    <row r="9" customFormat="false" ht="15" hidden="false" customHeight="true" outlineLevel="0" collapsed="false">
      <c r="A9" s="28" t="s">
        <v>4379</v>
      </c>
      <c r="B9" s="28" t="s">
        <v>5593</v>
      </c>
      <c r="C9" s="19" t="s">
        <v>248</v>
      </c>
      <c r="D9" s="19" t="s">
        <v>5607</v>
      </c>
      <c r="E9" s="28" t="s">
        <v>5595</v>
      </c>
      <c r="F9" s="6" t="s">
        <v>604</v>
      </c>
      <c r="G9" s="221" t="s">
        <v>5596</v>
      </c>
      <c r="H9" s="6" t="s">
        <v>604</v>
      </c>
      <c r="I9" s="221" t="s">
        <v>5598</v>
      </c>
      <c r="J9" s="221" t="s">
        <v>635</v>
      </c>
    </row>
    <row r="10" customFormat="false" ht="15" hidden="false" customHeight="true" outlineLevel="0" collapsed="false">
      <c r="A10" s="28" t="s">
        <v>3882</v>
      </c>
      <c r="B10" s="28" t="s">
        <v>5593</v>
      </c>
      <c r="C10" s="19" t="s">
        <v>5608</v>
      </c>
      <c r="D10" s="6" t="s">
        <v>5609</v>
      </c>
      <c r="E10" s="28" t="s">
        <v>5595</v>
      </c>
      <c r="F10" s="6" t="s">
        <v>604</v>
      </c>
      <c r="G10" s="221" t="s">
        <v>5596</v>
      </c>
      <c r="H10" s="6" t="s">
        <v>604</v>
      </c>
      <c r="I10" s="221" t="s">
        <v>5598</v>
      </c>
      <c r="J10" s="221" t="s">
        <v>635</v>
      </c>
    </row>
    <row r="11" customFormat="false" ht="15" hidden="false" customHeight="true" outlineLevel="0" collapsed="false">
      <c r="A11" s="28" t="s">
        <v>4208</v>
      </c>
      <c r="B11" s="28" t="s">
        <v>5593</v>
      </c>
      <c r="C11" s="19" t="s">
        <v>5610</v>
      </c>
      <c r="D11" s="6" t="s">
        <v>5611</v>
      </c>
      <c r="E11" s="28" t="s">
        <v>5595</v>
      </c>
      <c r="F11" s="6" t="s">
        <v>604</v>
      </c>
      <c r="G11" s="221" t="s">
        <v>5596</v>
      </c>
      <c r="H11" s="6" t="s">
        <v>604</v>
      </c>
      <c r="I11" s="221" t="s">
        <v>5598</v>
      </c>
      <c r="J11" s="221" t="s">
        <v>635</v>
      </c>
    </row>
    <row r="12" customFormat="false" ht="26.25" hidden="false" customHeight="true" outlineLevel="0" collapsed="false">
      <c r="A12" s="28" t="s">
        <v>3894</v>
      </c>
      <c r="B12" s="28" t="s">
        <v>5593</v>
      </c>
      <c r="C12" s="19" t="s">
        <v>5612</v>
      </c>
      <c r="D12" s="6" t="s">
        <v>5613</v>
      </c>
      <c r="E12" s="28" t="s">
        <v>5595</v>
      </c>
      <c r="F12" s="6" t="s">
        <v>604</v>
      </c>
      <c r="G12" s="221" t="s">
        <v>5596</v>
      </c>
      <c r="H12" s="6" t="s">
        <v>604</v>
      </c>
      <c r="I12" s="221" t="s">
        <v>5598</v>
      </c>
      <c r="J12" s="221" t="s">
        <v>635</v>
      </c>
    </row>
    <row r="13" customFormat="false" ht="15" hidden="false" customHeight="true" outlineLevel="0" collapsed="false">
      <c r="A13" s="28" t="s">
        <v>3728</v>
      </c>
      <c r="B13" s="28" t="s">
        <v>5593</v>
      </c>
      <c r="C13" s="19" t="s">
        <v>5614</v>
      </c>
      <c r="D13" s="19" t="s">
        <v>5615</v>
      </c>
      <c r="E13" s="28" t="s">
        <v>5595</v>
      </c>
      <c r="F13" s="6" t="s">
        <v>604</v>
      </c>
      <c r="G13" s="221" t="s">
        <v>5596</v>
      </c>
      <c r="H13" s="6" t="s">
        <v>604</v>
      </c>
      <c r="I13" s="221" t="s">
        <v>5598</v>
      </c>
      <c r="J13" s="221" t="s">
        <v>635</v>
      </c>
    </row>
    <row r="14" customFormat="false" ht="15" hidden="false" customHeight="true" outlineLevel="0" collapsed="false">
      <c r="A14" s="28" t="s">
        <v>3733</v>
      </c>
      <c r="B14" s="28" t="s">
        <v>5593</v>
      </c>
      <c r="C14" s="6" t="s">
        <v>888</v>
      </c>
      <c r="D14" s="19" t="s">
        <v>5616</v>
      </c>
      <c r="E14" s="28" t="s">
        <v>5595</v>
      </c>
      <c r="F14" s="6" t="s">
        <v>604</v>
      </c>
      <c r="G14" s="221" t="s">
        <v>5596</v>
      </c>
      <c r="H14" s="6" t="s">
        <v>5617</v>
      </c>
      <c r="I14" s="221" t="s">
        <v>5598</v>
      </c>
      <c r="J14" s="221" t="s">
        <v>635</v>
      </c>
    </row>
    <row r="15" customFormat="false" ht="29.25" hidden="false" customHeight="true" outlineLevel="0" collapsed="false">
      <c r="A15" s="28" t="s">
        <v>3740</v>
      </c>
      <c r="B15" s="28" t="s">
        <v>5593</v>
      </c>
      <c r="C15" s="19" t="s">
        <v>5618</v>
      </c>
      <c r="D15" s="6" t="s">
        <v>5619</v>
      </c>
      <c r="E15" s="28" t="s">
        <v>5595</v>
      </c>
      <c r="F15" s="6" t="s">
        <v>604</v>
      </c>
      <c r="G15" s="221" t="s">
        <v>5596</v>
      </c>
      <c r="H15" s="6" t="s">
        <v>604</v>
      </c>
      <c r="I15" s="221" t="s">
        <v>5598</v>
      </c>
      <c r="J15" s="221" t="s">
        <v>635</v>
      </c>
    </row>
    <row r="16" customFormat="false" ht="15" hidden="false" customHeight="true" outlineLevel="0" collapsed="false">
      <c r="A16" s="28" t="s">
        <v>4294</v>
      </c>
      <c r="B16" s="28" t="s">
        <v>5620</v>
      </c>
      <c r="C16" s="6" t="s">
        <v>5621</v>
      </c>
      <c r="D16" s="19" t="s">
        <v>5622</v>
      </c>
      <c r="E16" s="28" t="s">
        <v>5595</v>
      </c>
      <c r="F16" s="6" t="s">
        <v>604</v>
      </c>
      <c r="G16" s="221" t="s">
        <v>5596</v>
      </c>
      <c r="H16" s="6" t="s">
        <v>5623</v>
      </c>
      <c r="I16" s="221" t="s">
        <v>5598</v>
      </c>
      <c r="J16" s="221" t="s">
        <v>635</v>
      </c>
    </row>
    <row r="17" customFormat="false" ht="15" hidden="false" customHeight="true" outlineLevel="0" collapsed="false">
      <c r="A17" s="28" t="s">
        <v>4342</v>
      </c>
      <c r="B17" s="28" t="s">
        <v>5620</v>
      </c>
      <c r="C17" s="6" t="s">
        <v>5624</v>
      </c>
      <c r="D17" s="19" t="s">
        <v>5625</v>
      </c>
      <c r="E17" s="28" t="s">
        <v>5595</v>
      </c>
      <c r="F17" s="6" t="s">
        <v>604</v>
      </c>
      <c r="G17" s="221" t="s">
        <v>5596</v>
      </c>
      <c r="H17" s="6" t="s">
        <v>5626</v>
      </c>
      <c r="I17" s="221" t="s">
        <v>5598</v>
      </c>
      <c r="J17" s="221" t="s">
        <v>635</v>
      </c>
    </row>
    <row r="18" customFormat="false" ht="29.25" hidden="false" customHeight="true" outlineLevel="0" collapsed="false">
      <c r="A18" s="28" t="s">
        <v>4346</v>
      </c>
      <c r="B18" s="28" t="s">
        <v>5620</v>
      </c>
      <c r="C18" s="6" t="s">
        <v>5627</v>
      </c>
      <c r="D18" s="19" t="s">
        <v>5628</v>
      </c>
      <c r="E18" s="28" t="s">
        <v>5595</v>
      </c>
      <c r="F18" s="6" t="s">
        <v>604</v>
      </c>
      <c r="G18" s="221" t="s">
        <v>5596</v>
      </c>
      <c r="H18" s="6" t="s">
        <v>5629</v>
      </c>
      <c r="I18" s="221" t="s">
        <v>5598</v>
      </c>
      <c r="J18" s="221" t="s">
        <v>635</v>
      </c>
    </row>
    <row r="19" customFormat="false" ht="15" hidden="false" customHeight="true" outlineLevel="0" collapsed="false">
      <c r="A19" s="28" t="s">
        <v>5630</v>
      </c>
      <c r="B19" s="28" t="s">
        <v>5620</v>
      </c>
      <c r="C19" s="6" t="s">
        <v>5631</v>
      </c>
      <c r="D19" s="19" t="s">
        <v>5632</v>
      </c>
      <c r="E19" s="28" t="s">
        <v>5595</v>
      </c>
      <c r="F19" s="6" t="s">
        <v>604</v>
      </c>
      <c r="G19" s="221" t="s">
        <v>5596</v>
      </c>
      <c r="H19" s="6" t="s">
        <v>604</v>
      </c>
      <c r="I19" s="221" t="s">
        <v>5598</v>
      </c>
      <c r="J19" s="221" t="s">
        <v>635</v>
      </c>
    </row>
    <row r="20" customFormat="false" ht="15" hidden="false" customHeight="true" outlineLevel="0" collapsed="false">
      <c r="A20" s="28" t="s">
        <v>5633</v>
      </c>
      <c r="B20" s="28" t="s">
        <v>5620</v>
      </c>
      <c r="C20" s="19" t="s">
        <v>5634</v>
      </c>
      <c r="D20" s="19" t="s">
        <v>5635</v>
      </c>
      <c r="E20" s="28" t="s">
        <v>5595</v>
      </c>
      <c r="F20" s="6" t="s">
        <v>604</v>
      </c>
      <c r="G20" s="221" t="s">
        <v>5596</v>
      </c>
      <c r="H20" s="6" t="s">
        <v>604</v>
      </c>
      <c r="I20" s="221" t="s">
        <v>5598</v>
      </c>
      <c r="J20" s="221" t="s">
        <v>635</v>
      </c>
    </row>
    <row r="21" customFormat="false" ht="15" hidden="false" customHeight="true" outlineLevel="0" collapsed="false">
      <c r="A21" s="28" t="s">
        <v>5636</v>
      </c>
      <c r="B21" s="28" t="s">
        <v>5620</v>
      </c>
      <c r="C21" s="19" t="s">
        <v>5637</v>
      </c>
      <c r="D21" s="6" t="s">
        <v>5638</v>
      </c>
      <c r="E21" s="28" t="s">
        <v>5595</v>
      </c>
      <c r="F21" s="6" t="s">
        <v>604</v>
      </c>
      <c r="G21" s="221" t="s">
        <v>5639</v>
      </c>
      <c r="H21" s="6" t="s">
        <v>5640</v>
      </c>
      <c r="I21" s="221" t="s">
        <v>5598</v>
      </c>
      <c r="J21" s="221" t="s">
        <v>635</v>
      </c>
    </row>
    <row r="22" customFormat="false" ht="29.25" hidden="false" customHeight="true" outlineLevel="0" collapsed="false">
      <c r="A22" s="28" t="s">
        <v>5641</v>
      </c>
      <c r="B22" s="28" t="s">
        <v>5620</v>
      </c>
      <c r="C22" s="19" t="s">
        <v>5642</v>
      </c>
      <c r="D22" s="6" t="s">
        <v>5643</v>
      </c>
      <c r="E22" s="28" t="s">
        <v>5595</v>
      </c>
      <c r="F22" s="19" t="s">
        <v>5644</v>
      </c>
      <c r="G22" s="221" t="s">
        <v>5639</v>
      </c>
      <c r="H22" s="6" t="s">
        <v>5645</v>
      </c>
      <c r="I22" s="221" t="s">
        <v>5598</v>
      </c>
      <c r="J22" s="221" t="s">
        <v>635</v>
      </c>
    </row>
    <row r="23" customFormat="false" ht="29.25" hidden="false" customHeight="true" outlineLevel="0" collapsed="false">
      <c r="A23" s="28" t="s">
        <v>5646</v>
      </c>
      <c r="B23" s="221" t="s">
        <v>5647</v>
      </c>
      <c r="C23" s="19" t="s">
        <v>48</v>
      </c>
      <c r="D23" s="6" t="s">
        <v>5648</v>
      </c>
      <c r="E23" s="28" t="s">
        <v>5649</v>
      </c>
      <c r="F23" s="6" t="s">
        <v>604</v>
      </c>
      <c r="G23" s="221" t="s">
        <v>5596</v>
      </c>
      <c r="H23" s="6" t="s">
        <v>604</v>
      </c>
      <c r="I23" s="221" t="s">
        <v>5598</v>
      </c>
      <c r="J23" s="221" t="s">
        <v>635</v>
      </c>
    </row>
    <row r="24" customFormat="false" ht="15" hidden="false" customHeight="true" outlineLevel="0" collapsed="false">
      <c r="A24" s="28" t="s">
        <v>5650</v>
      </c>
      <c r="B24" s="28" t="s">
        <v>5620</v>
      </c>
      <c r="C24" s="19" t="s">
        <v>5651</v>
      </c>
      <c r="D24" s="6" t="s">
        <v>5652</v>
      </c>
      <c r="E24" s="28" t="s">
        <v>5595</v>
      </c>
      <c r="F24" s="6" t="s">
        <v>604</v>
      </c>
      <c r="G24" s="221" t="s">
        <v>5596</v>
      </c>
      <c r="H24" s="6" t="s">
        <v>604</v>
      </c>
      <c r="I24" s="221" t="s">
        <v>5598</v>
      </c>
      <c r="J24" s="221" t="s">
        <v>635</v>
      </c>
    </row>
    <row r="25" customFormat="false" ht="29.25" hidden="false" customHeight="true" outlineLevel="0" collapsed="false">
      <c r="A25" s="28" t="s">
        <v>5138</v>
      </c>
      <c r="B25" s="28" t="s">
        <v>5620</v>
      </c>
      <c r="C25" s="6" t="s">
        <v>5653</v>
      </c>
      <c r="D25" s="19" t="s">
        <v>5654</v>
      </c>
      <c r="E25" s="28" t="s">
        <v>5595</v>
      </c>
      <c r="F25" s="6" t="s">
        <v>604</v>
      </c>
      <c r="G25" s="221" t="s">
        <v>5596</v>
      </c>
      <c r="H25" s="6" t="s">
        <v>604</v>
      </c>
      <c r="I25" s="221" t="s">
        <v>5598</v>
      </c>
      <c r="J25" s="221" t="s">
        <v>635</v>
      </c>
    </row>
    <row r="26" customFormat="false" ht="43.5" hidden="false" customHeight="true" outlineLevel="0" collapsed="false">
      <c r="A26" s="28" t="s">
        <v>5168</v>
      </c>
      <c r="B26" s="28" t="s">
        <v>5620</v>
      </c>
      <c r="C26" s="6" t="s">
        <v>5655</v>
      </c>
      <c r="D26" s="19" t="s">
        <v>5656</v>
      </c>
      <c r="E26" s="28" t="s">
        <v>1219</v>
      </c>
      <c r="F26" s="6" t="s">
        <v>604</v>
      </c>
      <c r="G26" s="221" t="s">
        <v>5596</v>
      </c>
      <c r="H26" s="6" t="s">
        <v>604</v>
      </c>
      <c r="I26" s="221" t="s">
        <v>5598</v>
      </c>
      <c r="J26" s="221" t="s">
        <v>635</v>
      </c>
    </row>
    <row r="27" customFormat="false" ht="15" hidden="false" customHeight="true" outlineLevel="0" collapsed="false">
      <c r="A27" s="28" t="s">
        <v>5121</v>
      </c>
      <c r="B27" s="28" t="s">
        <v>5620</v>
      </c>
      <c r="C27" s="19" t="s">
        <v>1082</v>
      </c>
      <c r="D27" s="19" t="s">
        <v>5657</v>
      </c>
      <c r="E27" s="28" t="s">
        <v>5595</v>
      </c>
      <c r="F27" s="6" t="s">
        <v>604</v>
      </c>
      <c r="G27" s="221" t="s">
        <v>5596</v>
      </c>
      <c r="H27" s="6" t="s">
        <v>604</v>
      </c>
      <c r="I27" s="221" t="s">
        <v>5598</v>
      </c>
      <c r="J27" s="221" t="s">
        <v>635</v>
      </c>
    </row>
    <row r="28" customFormat="false" ht="15" hidden="false" customHeight="true" outlineLevel="0" collapsed="false">
      <c r="A28" s="28" t="s">
        <v>5658</v>
      </c>
      <c r="B28" s="28" t="s">
        <v>5620</v>
      </c>
      <c r="C28" s="19" t="s">
        <v>5659</v>
      </c>
      <c r="D28" s="6" t="s">
        <v>5660</v>
      </c>
      <c r="E28" s="28" t="s">
        <v>5595</v>
      </c>
      <c r="F28" s="6" t="s">
        <v>604</v>
      </c>
      <c r="G28" s="221" t="s">
        <v>5596</v>
      </c>
      <c r="H28" s="6" t="s">
        <v>604</v>
      </c>
      <c r="I28" s="221" t="s">
        <v>5598</v>
      </c>
      <c r="J28" s="221" t="s">
        <v>635</v>
      </c>
    </row>
    <row r="29" customFormat="false" ht="15" hidden="false" customHeight="true" outlineLevel="0" collapsed="false">
      <c r="A29" s="28" t="s">
        <v>5229</v>
      </c>
      <c r="B29" s="28" t="s">
        <v>5620</v>
      </c>
      <c r="C29" s="6" t="s">
        <v>5661</v>
      </c>
      <c r="D29" s="6" t="s">
        <v>5662</v>
      </c>
      <c r="E29" s="28" t="s">
        <v>5595</v>
      </c>
      <c r="F29" s="6" t="s">
        <v>604</v>
      </c>
      <c r="G29" s="221" t="s">
        <v>5596</v>
      </c>
      <c r="H29" s="6" t="s">
        <v>604</v>
      </c>
      <c r="I29" s="221" t="s">
        <v>5598</v>
      </c>
      <c r="J29" s="221" t="s">
        <v>635</v>
      </c>
    </row>
    <row r="30" customFormat="false" ht="15" hidden="false" customHeight="true" outlineLevel="0" collapsed="false">
      <c r="A30" s="28" t="s">
        <v>5128</v>
      </c>
      <c r="B30" s="28" t="s">
        <v>5620</v>
      </c>
      <c r="C30" s="19" t="s">
        <v>5663</v>
      </c>
      <c r="D30" s="6" t="s">
        <v>5664</v>
      </c>
      <c r="E30" s="28" t="s">
        <v>5649</v>
      </c>
      <c r="F30" s="6" t="s">
        <v>604</v>
      </c>
      <c r="G30" s="221" t="s">
        <v>5596</v>
      </c>
      <c r="H30" s="6" t="s">
        <v>5665</v>
      </c>
      <c r="I30" s="221" t="s">
        <v>5598</v>
      </c>
      <c r="J30" s="221" t="s">
        <v>635</v>
      </c>
    </row>
    <row r="31" customFormat="false" ht="15" hidden="false" customHeight="true" outlineLevel="0" collapsed="false">
      <c r="A31" s="28" t="s">
        <v>4756</v>
      </c>
      <c r="B31" s="28" t="s">
        <v>5620</v>
      </c>
      <c r="C31" s="19" t="s">
        <v>5666</v>
      </c>
      <c r="D31" s="19" t="s">
        <v>5667</v>
      </c>
      <c r="E31" s="28" t="s">
        <v>5595</v>
      </c>
      <c r="F31" s="6" t="s">
        <v>604</v>
      </c>
      <c r="G31" s="221" t="s">
        <v>5596</v>
      </c>
      <c r="H31" s="6" t="s">
        <v>604</v>
      </c>
      <c r="I31" s="221" t="s">
        <v>5598</v>
      </c>
      <c r="J31" s="221" t="s">
        <v>635</v>
      </c>
    </row>
    <row r="32" customFormat="false" ht="43.5" hidden="false" customHeight="true" outlineLevel="0" collapsed="false">
      <c r="A32" s="28" t="s">
        <v>5668</v>
      </c>
      <c r="B32" s="221" t="s">
        <v>5647</v>
      </c>
      <c r="C32" s="19" t="s">
        <v>5669</v>
      </c>
      <c r="D32" s="6" t="s">
        <v>5670</v>
      </c>
      <c r="E32" s="28" t="s">
        <v>5671</v>
      </c>
      <c r="F32" s="6" t="s">
        <v>604</v>
      </c>
      <c r="G32" s="221" t="s">
        <v>5596</v>
      </c>
      <c r="H32" s="6" t="s">
        <v>604</v>
      </c>
      <c r="I32" s="221" t="s">
        <v>5598</v>
      </c>
      <c r="J32" s="221" t="s">
        <v>635</v>
      </c>
    </row>
    <row r="33" customFormat="false" ht="43.5" hidden="false" customHeight="true" outlineLevel="0" collapsed="false">
      <c r="A33" s="28" t="s">
        <v>5672</v>
      </c>
      <c r="B33" s="221" t="s">
        <v>5647</v>
      </c>
      <c r="C33" s="6" t="s">
        <v>5673</v>
      </c>
      <c r="D33" s="19" t="s">
        <v>5674</v>
      </c>
      <c r="E33" s="28" t="s">
        <v>5595</v>
      </c>
      <c r="F33" s="6" t="s">
        <v>604</v>
      </c>
      <c r="G33" s="221" t="s">
        <v>5596</v>
      </c>
      <c r="H33" s="6" t="s">
        <v>604</v>
      </c>
      <c r="I33" s="221" t="s">
        <v>5598</v>
      </c>
      <c r="J33" s="221" t="s">
        <v>635</v>
      </c>
    </row>
    <row r="34" customFormat="false" ht="43.5" hidden="false" customHeight="true" outlineLevel="0" collapsed="false">
      <c r="A34" s="28" t="s">
        <v>5675</v>
      </c>
      <c r="B34" s="221" t="s">
        <v>5647</v>
      </c>
      <c r="C34" s="6" t="s">
        <v>5676</v>
      </c>
      <c r="D34" s="19" t="s">
        <v>5677</v>
      </c>
      <c r="E34" s="28" t="s">
        <v>1219</v>
      </c>
      <c r="F34" s="6" t="s">
        <v>604</v>
      </c>
      <c r="G34" s="221" t="s">
        <v>5596</v>
      </c>
      <c r="H34" s="6" t="s">
        <v>604</v>
      </c>
      <c r="I34" s="221" t="s">
        <v>5598</v>
      </c>
      <c r="J34" s="221" t="s">
        <v>635</v>
      </c>
    </row>
    <row r="35" customFormat="false" ht="43.5" hidden="false" customHeight="true" outlineLevel="0" collapsed="false">
      <c r="A35" s="28" t="s">
        <v>5678</v>
      </c>
      <c r="B35" s="221" t="s">
        <v>5647</v>
      </c>
      <c r="C35" s="19" t="s">
        <v>5679</v>
      </c>
      <c r="D35" s="6" t="s">
        <v>5680</v>
      </c>
      <c r="E35" s="28" t="s">
        <v>1219</v>
      </c>
      <c r="F35" s="6" t="s">
        <v>604</v>
      </c>
      <c r="G35" s="221" t="s">
        <v>5596</v>
      </c>
      <c r="H35" s="6" t="s">
        <v>604</v>
      </c>
      <c r="I35" s="221" t="s">
        <v>5598</v>
      </c>
      <c r="J35" s="221" t="s">
        <v>635</v>
      </c>
    </row>
    <row r="36" customFormat="false" ht="15" hidden="false" customHeight="true" outlineLevel="0" collapsed="false">
      <c r="A36" s="28" t="s">
        <v>5681</v>
      </c>
      <c r="B36" s="221" t="s">
        <v>5647</v>
      </c>
      <c r="C36" s="19" t="s">
        <v>5682</v>
      </c>
      <c r="D36" s="19" t="s">
        <v>5683</v>
      </c>
      <c r="E36" s="28" t="s">
        <v>5595</v>
      </c>
      <c r="F36" s="6" t="s">
        <v>604</v>
      </c>
      <c r="G36" s="221" t="s">
        <v>5596</v>
      </c>
      <c r="H36" s="6" t="s">
        <v>604</v>
      </c>
      <c r="I36" s="221" t="s">
        <v>5598</v>
      </c>
      <c r="J36" s="221" t="s">
        <v>635</v>
      </c>
    </row>
    <row r="37" customFormat="false" ht="15" hidden="false" customHeight="true" outlineLevel="0" collapsed="false">
      <c r="A37" s="28" t="s">
        <v>3648</v>
      </c>
      <c r="B37" s="28" t="s">
        <v>699</v>
      </c>
      <c r="C37" s="19" t="s">
        <v>5684</v>
      </c>
      <c r="D37" s="6" t="s">
        <v>5685</v>
      </c>
      <c r="E37" s="28" t="s">
        <v>1219</v>
      </c>
      <c r="F37" s="19" t="s">
        <v>5686</v>
      </c>
      <c r="G37" s="221" t="s">
        <v>5596</v>
      </c>
      <c r="H37" s="6" t="s">
        <v>604</v>
      </c>
      <c r="I37" s="221" t="s">
        <v>5598</v>
      </c>
      <c r="J37" s="221" t="s">
        <v>635</v>
      </c>
    </row>
    <row r="38" customFormat="false" ht="29.25" hidden="false" customHeight="true" outlineLevel="0" collapsed="false">
      <c r="A38" s="28" t="s">
        <v>3651</v>
      </c>
      <c r="B38" s="28" t="s">
        <v>699</v>
      </c>
      <c r="C38" s="19" t="s">
        <v>5687</v>
      </c>
      <c r="D38" s="6" t="s">
        <v>5688</v>
      </c>
      <c r="E38" s="28" t="s">
        <v>5595</v>
      </c>
      <c r="F38" s="19" t="s">
        <v>5689</v>
      </c>
      <c r="G38" s="221" t="s">
        <v>5596</v>
      </c>
      <c r="H38" s="6" t="s">
        <v>604</v>
      </c>
      <c r="I38" s="221" t="s">
        <v>5598</v>
      </c>
      <c r="J38" s="221" t="s">
        <v>635</v>
      </c>
    </row>
    <row r="39" customFormat="false" ht="29.25" hidden="false" customHeight="true" outlineLevel="0" collapsed="false">
      <c r="A39" s="28" t="s">
        <v>3654</v>
      </c>
      <c r="B39" s="28" t="s">
        <v>699</v>
      </c>
      <c r="C39" s="19" t="s">
        <v>5690</v>
      </c>
      <c r="D39" s="6" t="s">
        <v>5691</v>
      </c>
      <c r="E39" s="28" t="s">
        <v>5595</v>
      </c>
      <c r="F39" s="6" t="s">
        <v>604</v>
      </c>
      <c r="G39" s="221" t="s">
        <v>5596</v>
      </c>
      <c r="H39" s="6" t="s">
        <v>604</v>
      </c>
      <c r="I39" s="221" t="s">
        <v>5598</v>
      </c>
      <c r="J39" s="221" t="s">
        <v>635</v>
      </c>
    </row>
    <row r="40" customFormat="false" ht="43.5" hidden="false" customHeight="true" outlineLevel="0" collapsed="false">
      <c r="A40" s="28" t="s">
        <v>3657</v>
      </c>
      <c r="B40" s="28" t="s">
        <v>699</v>
      </c>
      <c r="C40" s="19" t="s">
        <v>5692</v>
      </c>
      <c r="D40" s="6" t="s">
        <v>5693</v>
      </c>
      <c r="E40" s="28" t="s">
        <v>5595</v>
      </c>
      <c r="F40" s="19" t="s">
        <v>5694</v>
      </c>
      <c r="G40" s="221" t="s">
        <v>5596</v>
      </c>
      <c r="H40" s="6" t="s">
        <v>604</v>
      </c>
      <c r="I40" s="221" t="s">
        <v>5598</v>
      </c>
      <c r="J40" s="221" t="s">
        <v>635</v>
      </c>
    </row>
    <row r="41" customFormat="false" ht="15" hidden="false" customHeight="true" outlineLevel="0" collapsed="false">
      <c r="A41" s="28" t="s">
        <v>3660</v>
      </c>
      <c r="B41" s="28" t="s">
        <v>699</v>
      </c>
      <c r="C41" s="19" t="s">
        <v>5695</v>
      </c>
      <c r="D41" s="6" t="s">
        <v>5696</v>
      </c>
      <c r="E41" s="28" t="s">
        <v>5595</v>
      </c>
      <c r="F41" s="6" t="s">
        <v>604</v>
      </c>
      <c r="G41" s="221" t="s">
        <v>5596</v>
      </c>
      <c r="H41" s="6" t="s">
        <v>604</v>
      </c>
      <c r="I41" s="221" t="s">
        <v>5598</v>
      </c>
      <c r="J41" s="221" t="s">
        <v>635</v>
      </c>
    </row>
    <row r="42" customFormat="false" ht="43.5" hidden="false" customHeight="true" outlineLevel="0" collapsed="false">
      <c r="A42" s="28" t="s">
        <v>3663</v>
      </c>
      <c r="B42" s="28" t="s">
        <v>699</v>
      </c>
      <c r="C42" s="19" t="s">
        <v>5697</v>
      </c>
      <c r="D42" s="19" t="s">
        <v>5698</v>
      </c>
      <c r="E42" s="28" t="s">
        <v>1219</v>
      </c>
      <c r="F42" s="6" t="s">
        <v>604</v>
      </c>
      <c r="G42" s="221" t="s">
        <v>5596</v>
      </c>
      <c r="H42" s="6" t="s">
        <v>5699</v>
      </c>
      <c r="I42" s="221" t="s">
        <v>5598</v>
      </c>
      <c r="J42" s="221" t="s">
        <v>635</v>
      </c>
    </row>
    <row r="43" customFormat="false" ht="29.25" hidden="false" customHeight="true" outlineLevel="0" collapsed="false">
      <c r="A43" s="28" t="s">
        <v>3666</v>
      </c>
      <c r="B43" s="28" t="s">
        <v>699</v>
      </c>
      <c r="C43" s="6" t="s">
        <v>5700</v>
      </c>
      <c r="D43" s="19" t="s">
        <v>5701</v>
      </c>
      <c r="E43" s="28" t="s">
        <v>5595</v>
      </c>
      <c r="F43" s="6" t="s">
        <v>604</v>
      </c>
      <c r="G43" s="221" t="s">
        <v>5596</v>
      </c>
      <c r="H43" s="6" t="s">
        <v>604</v>
      </c>
      <c r="I43" s="221" t="s">
        <v>5598</v>
      </c>
      <c r="J43" s="221" t="s">
        <v>635</v>
      </c>
    </row>
    <row r="44" customFormat="false" ht="15" hidden="false" customHeight="true" outlineLevel="0" collapsed="false">
      <c r="A44" s="28" t="s">
        <v>5702</v>
      </c>
      <c r="B44" s="28" t="s">
        <v>699</v>
      </c>
      <c r="C44" s="19" t="s">
        <v>5703</v>
      </c>
      <c r="D44" s="19" t="s">
        <v>5704</v>
      </c>
      <c r="E44" s="28" t="s">
        <v>5595</v>
      </c>
      <c r="F44" s="6" t="s">
        <v>604</v>
      </c>
      <c r="G44" s="221" t="s">
        <v>5596</v>
      </c>
      <c r="H44" s="6" t="s">
        <v>604</v>
      </c>
      <c r="I44" s="221" t="s">
        <v>5598</v>
      </c>
      <c r="J44" s="221" t="s">
        <v>635</v>
      </c>
    </row>
    <row r="45" customFormat="false" ht="29.25" hidden="false" customHeight="true" outlineLevel="0" collapsed="false">
      <c r="A45" s="28" t="s">
        <v>5705</v>
      </c>
      <c r="B45" s="28" t="s">
        <v>699</v>
      </c>
      <c r="C45" s="19" t="s">
        <v>5706</v>
      </c>
      <c r="D45" s="19" t="s">
        <v>5707</v>
      </c>
      <c r="E45" s="28" t="s">
        <v>5595</v>
      </c>
      <c r="F45" s="6" t="s">
        <v>604</v>
      </c>
      <c r="G45" s="221" t="s">
        <v>5596</v>
      </c>
      <c r="H45" s="6" t="s">
        <v>604</v>
      </c>
      <c r="I45" s="221" t="s">
        <v>5598</v>
      </c>
      <c r="J45" s="221" t="s">
        <v>635</v>
      </c>
    </row>
    <row r="46" customFormat="false" ht="26.25" hidden="false" customHeight="true" outlineLevel="0" collapsed="false">
      <c r="A46" s="28" t="s">
        <v>4853</v>
      </c>
      <c r="B46" s="28" t="s">
        <v>699</v>
      </c>
      <c r="C46" s="19" t="s">
        <v>5708</v>
      </c>
      <c r="D46" s="19" t="s">
        <v>5709</v>
      </c>
      <c r="E46" s="28" t="s">
        <v>5595</v>
      </c>
      <c r="F46" s="6" t="s">
        <v>604</v>
      </c>
      <c r="G46" s="221" t="s">
        <v>5596</v>
      </c>
      <c r="H46" s="6" t="s">
        <v>604</v>
      </c>
      <c r="I46" s="221" t="s">
        <v>5598</v>
      </c>
      <c r="J46" s="221" t="s">
        <v>635</v>
      </c>
    </row>
    <row r="47" customFormat="false" ht="29.25" hidden="false" customHeight="true" outlineLevel="0" collapsed="false">
      <c r="A47" s="28" t="s">
        <v>4336</v>
      </c>
      <c r="B47" s="28" t="s">
        <v>699</v>
      </c>
      <c r="C47" s="19" t="s">
        <v>5710</v>
      </c>
      <c r="D47" s="19" t="s">
        <v>5711</v>
      </c>
      <c r="E47" s="28" t="s">
        <v>5712</v>
      </c>
      <c r="F47" s="19" t="s">
        <v>5713</v>
      </c>
      <c r="G47" s="221" t="s">
        <v>5639</v>
      </c>
      <c r="H47" s="6" t="s">
        <v>5714</v>
      </c>
      <c r="I47" s="221" t="s">
        <v>5598</v>
      </c>
      <c r="J47" s="221" t="s">
        <v>635</v>
      </c>
    </row>
    <row r="48" customFormat="false" ht="15" hidden="false" customHeight="true" outlineLevel="0" collapsed="false">
      <c r="A48" s="28" t="s">
        <v>4813</v>
      </c>
      <c r="B48" s="28" t="s">
        <v>699</v>
      </c>
      <c r="C48" s="19" t="s">
        <v>5715</v>
      </c>
      <c r="D48" s="19" t="s">
        <v>5716</v>
      </c>
      <c r="E48" s="28" t="s">
        <v>5595</v>
      </c>
      <c r="F48" s="6" t="s">
        <v>604</v>
      </c>
      <c r="G48" s="221" t="s">
        <v>5596</v>
      </c>
      <c r="H48" s="6" t="s">
        <v>604</v>
      </c>
      <c r="I48" s="221" t="s">
        <v>5598</v>
      </c>
      <c r="J48" s="221" t="s">
        <v>635</v>
      </c>
    </row>
    <row r="49" customFormat="false" ht="15" hidden="false" customHeight="true" outlineLevel="0" collapsed="false">
      <c r="A49" s="28" t="s">
        <v>4902</v>
      </c>
      <c r="B49" s="28" t="s">
        <v>699</v>
      </c>
      <c r="C49" s="19" t="s">
        <v>5717</v>
      </c>
      <c r="D49" s="19" t="s">
        <v>5718</v>
      </c>
      <c r="E49" s="28" t="s">
        <v>5595</v>
      </c>
      <c r="F49" s="19" t="s">
        <v>5719</v>
      </c>
      <c r="G49" s="221" t="s">
        <v>5596</v>
      </c>
      <c r="H49" s="6" t="s">
        <v>604</v>
      </c>
      <c r="I49" s="221" t="s">
        <v>5598</v>
      </c>
      <c r="J49" s="221" t="s">
        <v>635</v>
      </c>
    </row>
    <row r="50" customFormat="false" ht="15" hidden="false" customHeight="true" outlineLevel="0" collapsed="false">
      <c r="A50" s="28" t="s">
        <v>5720</v>
      </c>
      <c r="B50" s="28" t="s">
        <v>699</v>
      </c>
      <c r="C50" s="19" t="s">
        <v>5721</v>
      </c>
      <c r="D50" s="19" t="s">
        <v>5722</v>
      </c>
      <c r="E50" s="28" t="s">
        <v>5595</v>
      </c>
      <c r="F50" s="6" t="s">
        <v>604</v>
      </c>
      <c r="G50" s="221" t="s">
        <v>5596</v>
      </c>
      <c r="H50" s="6" t="s">
        <v>604</v>
      </c>
      <c r="I50" s="221" t="s">
        <v>5598</v>
      </c>
      <c r="J50" s="221" t="s">
        <v>635</v>
      </c>
    </row>
    <row r="51" customFormat="false" ht="43.5" hidden="false" customHeight="true" outlineLevel="0" collapsed="false">
      <c r="A51" s="28" t="s">
        <v>4437</v>
      </c>
      <c r="B51" s="28" t="s">
        <v>5723</v>
      </c>
      <c r="C51" s="6" t="s">
        <v>5724</v>
      </c>
      <c r="D51" s="19" t="s">
        <v>5725</v>
      </c>
      <c r="E51" s="28" t="s">
        <v>1219</v>
      </c>
      <c r="F51" s="19" t="s">
        <v>5726</v>
      </c>
      <c r="G51" s="221" t="s">
        <v>5596</v>
      </c>
      <c r="H51" s="6" t="s">
        <v>5727</v>
      </c>
      <c r="I51" s="221" t="s">
        <v>5598</v>
      </c>
      <c r="J51" s="221" t="s">
        <v>635</v>
      </c>
    </row>
    <row r="52" customFormat="false" ht="29.25" hidden="false" customHeight="true" outlineLevel="0" collapsed="false">
      <c r="A52" s="28" t="s">
        <v>5728</v>
      </c>
      <c r="B52" s="28" t="s">
        <v>5723</v>
      </c>
      <c r="C52" s="19" t="s">
        <v>5729</v>
      </c>
      <c r="D52" s="6" t="s">
        <v>5730</v>
      </c>
      <c r="E52" s="28" t="s">
        <v>5595</v>
      </c>
      <c r="F52" s="19" t="s">
        <v>5731</v>
      </c>
      <c r="G52" s="221" t="s">
        <v>5596</v>
      </c>
      <c r="H52" s="6" t="s">
        <v>604</v>
      </c>
      <c r="I52" s="221" t="s">
        <v>5598</v>
      </c>
      <c r="J52" s="221" t="s">
        <v>635</v>
      </c>
    </row>
    <row r="53" customFormat="false" ht="29.25" hidden="false" customHeight="true" outlineLevel="0" collapsed="false">
      <c r="A53" s="28" t="s">
        <v>4441</v>
      </c>
      <c r="B53" s="28" t="s">
        <v>5723</v>
      </c>
      <c r="C53" s="19" t="s">
        <v>5732</v>
      </c>
      <c r="D53" s="19" t="s">
        <v>5733</v>
      </c>
      <c r="E53" s="28" t="s">
        <v>5595</v>
      </c>
      <c r="F53" s="19" t="s">
        <v>5734</v>
      </c>
      <c r="G53" s="221" t="s">
        <v>5596</v>
      </c>
      <c r="H53" s="6" t="s">
        <v>5735</v>
      </c>
      <c r="I53" s="221" t="s">
        <v>5598</v>
      </c>
      <c r="J53" s="221" t="s">
        <v>635</v>
      </c>
    </row>
    <row r="54" customFormat="false" ht="29.25" hidden="false" customHeight="true" outlineLevel="0" collapsed="false">
      <c r="A54" s="28" t="s">
        <v>5736</v>
      </c>
      <c r="B54" s="28" t="s">
        <v>5723</v>
      </c>
      <c r="C54" s="6" t="s">
        <v>5737</v>
      </c>
      <c r="D54" s="19" t="s">
        <v>5738</v>
      </c>
      <c r="E54" s="28" t="s">
        <v>5595</v>
      </c>
      <c r="F54" s="6" t="s">
        <v>604</v>
      </c>
      <c r="G54" s="221" t="s">
        <v>5596</v>
      </c>
      <c r="H54" s="6" t="s">
        <v>604</v>
      </c>
      <c r="I54" s="221" t="s">
        <v>5598</v>
      </c>
      <c r="J54" s="221" t="s">
        <v>635</v>
      </c>
    </row>
    <row r="55" customFormat="false" ht="15" hidden="false" customHeight="true" outlineLevel="0" collapsed="false">
      <c r="A55" s="28" t="s">
        <v>5739</v>
      </c>
      <c r="B55" s="28" t="s">
        <v>5723</v>
      </c>
      <c r="C55" s="19" t="s">
        <v>5740</v>
      </c>
      <c r="D55" s="19" t="s">
        <v>5741</v>
      </c>
      <c r="E55" s="28" t="s">
        <v>5595</v>
      </c>
      <c r="F55" s="6" t="s">
        <v>604</v>
      </c>
      <c r="G55" s="221" t="s">
        <v>5596</v>
      </c>
      <c r="H55" s="6" t="s">
        <v>604</v>
      </c>
      <c r="I55" s="221" t="s">
        <v>5598</v>
      </c>
      <c r="J55" s="221" t="s">
        <v>635</v>
      </c>
    </row>
    <row r="56" customFormat="false" ht="15" hidden="false" customHeight="true" outlineLevel="0" collapsed="false">
      <c r="A56" s="28" t="s">
        <v>5742</v>
      </c>
      <c r="B56" s="28" t="s">
        <v>5723</v>
      </c>
      <c r="C56" s="19" t="s">
        <v>5743</v>
      </c>
      <c r="D56" s="19" t="s">
        <v>5744</v>
      </c>
      <c r="E56" s="28" t="s">
        <v>5595</v>
      </c>
      <c r="F56" s="6" t="s">
        <v>604</v>
      </c>
      <c r="G56" s="221" t="s">
        <v>5596</v>
      </c>
      <c r="H56" s="6" t="s">
        <v>604</v>
      </c>
      <c r="I56" s="221" t="s">
        <v>5598</v>
      </c>
      <c r="J56" s="221" t="s">
        <v>635</v>
      </c>
    </row>
    <row r="57" customFormat="false" ht="29.25" hidden="false" customHeight="true" outlineLevel="0" collapsed="false">
      <c r="A57" s="28" t="s">
        <v>5745</v>
      </c>
      <c r="B57" s="28" t="s">
        <v>5723</v>
      </c>
      <c r="C57" s="6" t="s">
        <v>5746</v>
      </c>
      <c r="D57" s="19" t="s">
        <v>5747</v>
      </c>
      <c r="E57" s="28" t="s">
        <v>5595</v>
      </c>
      <c r="F57" s="6" t="s">
        <v>604</v>
      </c>
      <c r="G57" s="221" t="s">
        <v>5596</v>
      </c>
      <c r="H57" s="6" t="s">
        <v>604</v>
      </c>
      <c r="I57" s="221" t="s">
        <v>5598</v>
      </c>
      <c r="J57" s="221" t="s">
        <v>635</v>
      </c>
    </row>
    <row r="58" customFormat="false" ht="29.25" hidden="false" customHeight="true" outlineLevel="0" collapsed="false">
      <c r="A58" s="28" t="s">
        <v>5748</v>
      </c>
      <c r="B58" s="28" t="s">
        <v>5723</v>
      </c>
      <c r="C58" s="19" t="s">
        <v>5749</v>
      </c>
      <c r="D58" s="6" t="s">
        <v>5750</v>
      </c>
      <c r="E58" s="28" t="s">
        <v>1219</v>
      </c>
      <c r="F58" s="6" t="s">
        <v>604</v>
      </c>
      <c r="G58" s="221" t="s">
        <v>5596</v>
      </c>
      <c r="H58" s="6" t="s">
        <v>5751</v>
      </c>
      <c r="I58" s="221" t="s">
        <v>5598</v>
      </c>
      <c r="J58" s="221" t="s">
        <v>635</v>
      </c>
    </row>
    <row r="59" customFormat="false" ht="43.5" hidden="false" customHeight="true" outlineLevel="0" collapsed="false">
      <c r="A59" s="28" t="s">
        <v>651</v>
      </c>
      <c r="B59" s="28" t="s">
        <v>24</v>
      </c>
      <c r="C59" s="19" t="s">
        <v>5752</v>
      </c>
      <c r="D59" s="19" t="s">
        <v>5753</v>
      </c>
      <c r="E59" s="28" t="s">
        <v>1219</v>
      </c>
      <c r="F59" s="6" t="s">
        <v>604</v>
      </c>
      <c r="G59" s="221" t="s">
        <v>5596</v>
      </c>
      <c r="H59" s="6" t="s">
        <v>604</v>
      </c>
      <c r="I59" s="221" t="s">
        <v>5598</v>
      </c>
      <c r="J59" s="221" t="s">
        <v>635</v>
      </c>
    </row>
    <row r="60" customFormat="false" ht="43.5" hidden="false" customHeight="true" outlineLevel="0" collapsed="false">
      <c r="A60" s="28" t="s">
        <v>5754</v>
      </c>
      <c r="B60" s="221" t="s">
        <v>5755</v>
      </c>
      <c r="C60" s="6" t="s">
        <v>5756</v>
      </c>
      <c r="D60" s="6" t="s">
        <v>5757</v>
      </c>
      <c r="E60" s="28" t="s">
        <v>5712</v>
      </c>
      <c r="F60" s="6" t="s">
        <v>604</v>
      </c>
      <c r="G60" s="221" t="s">
        <v>5596</v>
      </c>
      <c r="H60" s="6" t="s">
        <v>604</v>
      </c>
      <c r="I60" s="221" t="s">
        <v>5598</v>
      </c>
      <c r="J60" s="221" t="s">
        <v>635</v>
      </c>
    </row>
    <row r="61" customFormat="false" ht="57.75" hidden="false" customHeight="true" outlineLevel="0" collapsed="false">
      <c r="A61" s="28" t="s">
        <v>5758</v>
      </c>
      <c r="B61" s="221" t="s">
        <v>5755</v>
      </c>
      <c r="C61" s="19" t="s">
        <v>5759</v>
      </c>
      <c r="D61" s="19" t="s">
        <v>5760</v>
      </c>
      <c r="E61" s="28" t="s">
        <v>5595</v>
      </c>
      <c r="F61" s="6" t="s">
        <v>604</v>
      </c>
      <c r="G61" s="221" t="s">
        <v>5596</v>
      </c>
      <c r="H61" s="6" t="s">
        <v>604</v>
      </c>
      <c r="I61" s="221" t="s">
        <v>5598</v>
      </c>
      <c r="J61" s="221" t="s">
        <v>635</v>
      </c>
    </row>
    <row r="62" customFormat="false" ht="29.25" hidden="false" customHeight="true" outlineLevel="0" collapsed="false">
      <c r="A62" s="28" t="s">
        <v>5761</v>
      </c>
      <c r="B62" s="221" t="s">
        <v>5755</v>
      </c>
      <c r="C62" s="19" t="s">
        <v>5762</v>
      </c>
      <c r="D62" s="6" t="s">
        <v>5763</v>
      </c>
      <c r="E62" s="28" t="s">
        <v>5595</v>
      </c>
      <c r="F62" s="6" t="s">
        <v>604</v>
      </c>
      <c r="G62" s="221" t="s">
        <v>5596</v>
      </c>
      <c r="H62" s="6" t="s">
        <v>604</v>
      </c>
      <c r="I62" s="221" t="s">
        <v>5598</v>
      </c>
      <c r="J62" s="221" t="s">
        <v>635</v>
      </c>
    </row>
    <row r="63" customFormat="false" ht="15" hidden="false" customHeight="true" outlineLevel="0" collapsed="false">
      <c r="A63" s="28" t="s">
        <v>5764</v>
      </c>
      <c r="B63" s="221" t="s">
        <v>5755</v>
      </c>
      <c r="C63" s="19" t="s">
        <v>5765</v>
      </c>
      <c r="D63" s="19" t="s">
        <v>5766</v>
      </c>
      <c r="E63" s="28" t="s">
        <v>5595</v>
      </c>
      <c r="F63" s="6" t="s">
        <v>604</v>
      </c>
      <c r="G63" s="221" t="s">
        <v>5596</v>
      </c>
      <c r="H63" s="6" t="s">
        <v>604</v>
      </c>
      <c r="I63" s="221" t="s">
        <v>5598</v>
      </c>
      <c r="J63" s="221" t="s">
        <v>635</v>
      </c>
    </row>
    <row r="64" customFormat="false" ht="29.25" hidden="false" customHeight="true" outlineLevel="0" collapsed="false">
      <c r="A64" s="28" t="s">
        <v>4384</v>
      </c>
      <c r="B64" s="221" t="s">
        <v>5755</v>
      </c>
      <c r="C64" s="19" t="s">
        <v>5767</v>
      </c>
      <c r="D64" s="19" t="s">
        <v>5768</v>
      </c>
      <c r="E64" s="28" t="s">
        <v>5595</v>
      </c>
      <c r="F64" s="19" t="s">
        <v>5769</v>
      </c>
      <c r="G64" s="221" t="s">
        <v>5596</v>
      </c>
      <c r="H64" s="6" t="s">
        <v>604</v>
      </c>
      <c r="I64" s="221" t="s">
        <v>5598</v>
      </c>
      <c r="J64" s="221" t="s">
        <v>635</v>
      </c>
    </row>
    <row r="65" customFormat="false" ht="29.25" hidden="false" customHeight="true" outlineLevel="0" collapsed="false">
      <c r="A65" s="28" t="s">
        <v>3888</v>
      </c>
      <c r="B65" s="221" t="s">
        <v>5755</v>
      </c>
      <c r="C65" s="6" t="s">
        <v>5770</v>
      </c>
      <c r="D65" s="6" t="s">
        <v>5771</v>
      </c>
      <c r="E65" s="28" t="s">
        <v>5595</v>
      </c>
      <c r="F65" s="6" t="s">
        <v>604</v>
      </c>
      <c r="G65" s="221" t="s">
        <v>5596</v>
      </c>
      <c r="H65" s="6" t="s">
        <v>604</v>
      </c>
      <c r="I65" s="221" t="s">
        <v>5598</v>
      </c>
      <c r="J65" s="221" t="s">
        <v>635</v>
      </c>
    </row>
    <row r="66" customFormat="false" ht="57.75" hidden="false" customHeight="true" outlineLevel="0" collapsed="false">
      <c r="A66" s="28" t="s">
        <v>4400</v>
      </c>
      <c r="B66" s="221" t="s">
        <v>5755</v>
      </c>
      <c r="C66" s="6" t="s">
        <v>5772</v>
      </c>
      <c r="D66" s="19" t="s">
        <v>5773</v>
      </c>
      <c r="E66" s="28" t="s">
        <v>5595</v>
      </c>
      <c r="F66" s="6" t="s">
        <v>604</v>
      </c>
      <c r="G66" s="221" t="s">
        <v>5596</v>
      </c>
      <c r="H66" s="6" t="s">
        <v>604</v>
      </c>
      <c r="I66" s="221" t="s">
        <v>5598</v>
      </c>
      <c r="J66" s="221" t="s">
        <v>635</v>
      </c>
    </row>
    <row r="67" customFormat="false" ht="43.5" hidden="false" customHeight="true" outlineLevel="0" collapsed="false">
      <c r="A67" s="28" t="s">
        <v>3902</v>
      </c>
      <c r="B67" s="221" t="s">
        <v>5755</v>
      </c>
      <c r="C67" s="19" t="s">
        <v>5774</v>
      </c>
      <c r="D67" s="19" t="s">
        <v>5775</v>
      </c>
      <c r="E67" s="28" t="s">
        <v>5595</v>
      </c>
      <c r="F67" s="6" t="s">
        <v>604</v>
      </c>
      <c r="G67" s="221" t="s">
        <v>5596</v>
      </c>
      <c r="H67" s="6" t="s">
        <v>604</v>
      </c>
      <c r="I67" s="221" t="s">
        <v>5598</v>
      </c>
      <c r="J67" s="221" t="s">
        <v>635</v>
      </c>
    </row>
    <row r="68" customFormat="false" ht="57.75" hidden="false" customHeight="true" outlineLevel="0" collapsed="false">
      <c r="A68" s="28" t="s">
        <v>3920</v>
      </c>
      <c r="B68" s="221" t="s">
        <v>5755</v>
      </c>
      <c r="C68" s="19" t="s">
        <v>5776</v>
      </c>
      <c r="D68" s="19" t="s">
        <v>5777</v>
      </c>
      <c r="E68" s="28" t="s">
        <v>5595</v>
      </c>
      <c r="F68" s="19" t="s">
        <v>5778</v>
      </c>
      <c r="G68" s="221" t="s">
        <v>5596</v>
      </c>
      <c r="H68" s="6" t="s">
        <v>604</v>
      </c>
      <c r="I68" s="221" t="s">
        <v>5598</v>
      </c>
      <c r="J68" s="221" t="s">
        <v>635</v>
      </c>
    </row>
    <row r="69" customFormat="false" ht="29.25" hidden="false" customHeight="true" outlineLevel="0" collapsed="false">
      <c r="A69" s="28" t="s">
        <v>3933</v>
      </c>
      <c r="B69" s="221" t="s">
        <v>5755</v>
      </c>
      <c r="C69" s="19" t="s">
        <v>5779</v>
      </c>
      <c r="D69" s="19" t="s">
        <v>5780</v>
      </c>
      <c r="E69" s="28" t="s">
        <v>5595</v>
      </c>
      <c r="F69" s="6" t="s">
        <v>604</v>
      </c>
      <c r="G69" s="221" t="s">
        <v>5596</v>
      </c>
      <c r="H69" s="6" t="s">
        <v>604</v>
      </c>
      <c r="I69" s="221" t="s">
        <v>5598</v>
      </c>
      <c r="J69" s="221" t="s">
        <v>635</v>
      </c>
    </row>
    <row r="70" customFormat="false" ht="15" hidden="false" customHeight="true" outlineLevel="0" collapsed="false">
      <c r="A70" s="28" t="s">
        <v>3953</v>
      </c>
      <c r="B70" s="221" t="s">
        <v>5755</v>
      </c>
      <c r="C70" s="19" t="s">
        <v>5781</v>
      </c>
      <c r="D70" s="19" t="s">
        <v>5782</v>
      </c>
      <c r="E70" s="28" t="s">
        <v>5595</v>
      </c>
      <c r="F70" s="6" t="s">
        <v>604</v>
      </c>
      <c r="G70" s="221" t="s">
        <v>5596</v>
      </c>
      <c r="H70" s="6" t="s">
        <v>604</v>
      </c>
      <c r="I70" s="221" t="s">
        <v>5598</v>
      </c>
      <c r="J70" s="221" t="s">
        <v>635</v>
      </c>
    </row>
    <row r="71" customFormat="false" ht="29.25" hidden="false" customHeight="true" outlineLevel="0" collapsed="false">
      <c r="A71" s="28" t="s">
        <v>3974</v>
      </c>
      <c r="B71" s="221" t="s">
        <v>5755</v>
      </c>
      <c r="C71" s="19" t="s">
        <v>5783</v>
      </c>
      <c r="D71" s="19" t="s">
        <v>5784</v>
      </c>
      <c r="E71" s="28" t="s">
        <v>5712</v>
      </c>
      <c r="F71" s="6" t="s">
        <v>604</v>
      </c>
      <c r="G71" s="221" t="s">
        <v>5596</v>
      </c>
      <c r="H71" s="6" t="s">
        <v>604</v>
      </c>
      <c r="I71" s="221" t="s">
        <v>5598</v>
      </c>
      <c r="J71" s="221" t="s">
        <v>635</v>
      </c>
    </row>
    <row r="72" customFormat="false" ht="129" hidden="false" customHeight="true" outlineLevel="0" collapsed="false">
      <c r="A72" s="28" t="s">
        <v>4451</v>
      </c>
      <c r="B72" s="221" t="s">
        <v>5755</v>
      </c>
      <c r="C72" s="6" t="s">
        <v>5785</v>
      </c>
      <c r="D72" s="6" t="s">
        <v>5786</v>
      </c>
      <c r="E72" s="28" t="s">
        <v>5712</v>
      </c>
      <c r="F72" s="19" t="s">
        <v>5787</v>
      </c>
      <c r="G72" s="221" t="s">
        <v>5596</v>
      </c>
      <c r="H72" s="6" t="s">
        <v>604</v>
      </c>
      <c r="I72" s="221" t="s">
        <v>5598</v>
      </c>
      <c r="J72" s="221" t="s">
        <v>635</v>
      </c>
    </row>
    <row r="73" customFormat="false" ht="57.75" hidden="false" customHeight="true" outlineLevel="0" collapsed="false">
      <c r="A73" s="28" t="s">
        <v>3989</v>
      </c>
      <c r="B73" s="221" t="s">
        <v>5755</v>
      </c>
      <c r="C73" s="19" t="s">
        <v>5788</v>
      </c>
      <c r="D73" s="19" t="s">
        <v>5789</v>
      </c>
      <c r="E73" s="28" t="s">
        <v>5712</v>
      </c>
      <c r="F73" s="19" t="s">
        <v>5790</v>
      </c>
      <c r="G73" s="221" t="s">
        <v>5596</v>
      </c>
      <c r="H73" s="6" t="s">
        <v>604</v>
      </c>
      <c r="I73" s="221" t="s">
        <v>5598</v>
      </c>
      <c r="J73" s="221" t="s">
        <v>635</v>
      </c>
    </row>
    <row r="74" customFormat="false" ht="29.25" hidden="false" customHeight="true" outlineLevel="0" collapsed="false">
      <c r="A74" s="28" t="s">
        <v>3670</v>
      </c>
      <c r="B74" s="28" t="s">
        <v>5723</v>
      </c>
      <c r="C74" s="19" t="s">
        <v>5791</v>
      </c>
      <c r="D74" s="6" t="s">
        <v>5792</v>
      </c>
      <c r="E74" s="28" t="s">
        <v>5712</v>
      </c>
      <c r="F74" s="6" t="s">
        <v>5793</v>
      </c>
      <c r="G74" s="221" t="s">
        <v>5596</v>
      </c>
      <c r="H74" s="6" t="s">
        <v>5794</v>
      </c>
      <c r="I74" s="221" t="s">
        <v>5795</v>
      </c>
      <c r="J74" s="221" t="s">
        <v>635</v>
      </c>
    </row>
    <row r="75" customFormat="false" ht="15" hidden="false" customHeight="true" outlineLevel="0" collapsed="false">
      <c r="A75" s="28" t="s">
        <v>5796</v>
      </c>
      <c r="B75" s="28" t="s">
        <v>5797</v>
      </c>
      <c r="C75" s="19" t="s">
        <v>5798</v>
      </c>
      <c r="D75" s="19" t="s">
        <v>5799</v>
      </c>
      <c r="E75" s="28" t="s">
        <v>5712</v>
      </c>
      <c r="F75" s="19" t="s">
        <v>5800</v>
      </c>
      <c r="G75" s="195" t="s">
        <v>5801</v>
      </c>
      <c r="H75" s="6" t="s">
        <v>5802</v>
      </c>
      <c r="I75" s="221" t="s">
        <v>5803</v>
      </c>
      <c r="J75" s="221" t="s">
        <v>635</v>
      </c>
    </row>
    <row r="76" customFormat="false" ht="15" hidden="false" customHeight="true" outlineLevel="0" collapsed="false">
      <c r="A76" s="28" t="s">
        <v>5804</v>
      </c>
      <c r="B76" s="28" t="s">
        <v>5797</v>
      </c>
      <c r="C76" s="19" t="s">
        <v>5805</v>
      </c>
      <c r="D76" s="19" t="s">
        <v>5806</v>
      </c>
      <c r="E76" s="28" t="s">
        <v>5712</v>
      </c>
      <c r="F76" s="19" t="s">
        <v>5800</v>
      </c>
      <c r="G76" s="195" t="s">
        <v>5801</v>
      </c>
      <c r="H76" s="6" t="s">
        <v>5802</v>
      </c>
      <c r="I76" s="221" t="s">
        <v>5803</v>
      </c>
      <c r="J76" s="221" t="s">
        <v>635</v>
      </c>
    </row>
    <row r="77" customFormat="false" ht="15" hidden="false" customHeight="true" outlineLevel="0" collapsed="false">
      <c r="A77" s="28" t="s">
        <v>5807</v>
      </c>
      <c r="B77" s="28" t="s">
        <v>5797</v>
      </c>
      <c r="C77" s="6" t="s">
        <v>5808</v>
      </c>
      <c r="D77" s="19" t="s">
        <v>5809</v>
      </c>
      <c r="E77" s="28" t="s">
        <v>5712</v>
      </c>
      <c r="F77" s="19" t="s">
        <v>5800</v>
      </c>
      <c r="G77" s="195" t="s">
        <v>5801</v>
      </c>
      <c r="H77" s="6" t="s">
        <v>5802</v>
      </c>
      <c r="I77" s="221" t="s">
        <v>5803</v>
      </c>
      <c r="J77" s="221" t="s">
        <v>635</v>
      </c>
    </row>
    <row r="78" customFormat="false" ht="15" hidden="false" customHeight="true" outlineLevel="0" collapsed="false">
      <c r="A78" s="28" t="s">
        <v>5810</v>
      </c>
      <c r="B78" s="28" t="s">
        <v>5797</v>
      </c>
      <c r="C78" s="19" t="s">
        <v>5811</v>
      </c>
      <c r="D78" s="19" t="s">
        <v>5812</v>
      </c>
      <c r="E78" s="28" t="s">
        <v>5712</v>
      </c>
      <c r="F78" s="19" t="s">
        <v>5800</v>
      </c>
      <c r="G78" s="195" t="s">
        <v>5801</v>
      </c>
      <c r="H78" s="6" t="s">
        <v>5802</v>
      </c>
      <c r="I78" s="221" t="s">
        <v>5803</v>
      </c>
      <c r="J78" s="221" t="s">
        <v>635</v>
      </c>
    </row>
    <row r="79" customFormat="false" ht="29.25" hidden="false" customHeight="true" outlineLevel="0" collapsed="false">
      <c r="A79" s="28" t="s">
        <v>5813</v>
      </c>
      <c r="B79" s="28" t="s">
        <v>5797</v>
      </c>
      <c r="C79" s="6" t="s">
        <v>5814</v>
      </c>
      <c r="D79" s="19" t="s">
        <v>5815</v>
      </c>
      <c r="E79" s="28" t="s">
        <v>5712</v>
      </c>
      <c r="F79" s="19" t="s">
        <v>5800</v>
      </c>
      <c r="G79" s="195" t="s">
        <v>5801</v>
      </c>
      <c r="H79" s="6" t="s">
        <v>5802</v>
      </c>
      <c r="I79" s="221" t="s">
        <v>5803</v>
      </c>
      <c r="J79" s="221" t="s">
        <v>635</v>
      </c>
    </row>
    <row r="80" customFormat="false" ht="15" hidden="false" customHeight="true" outlineLevel="0" collapsed="false">
      <c r="A80" s="28" t="s">
        <v>5816</v>
      </c>
      <c r="B80" s="28" t="s">
        <v>5797</v>
      </c>
      <c r="C80" s="19" t="s">
        <v>5817</v>
      </c>
      <c r="D80" s="19" t="s">
        <v>5818</v>
      </c>
      <c r="E80" s="28" t="s">
        <v>5712</v>
      </c>
      <c r="F80" s="19" t="s">
        <v>5800</v>
      </c>
      <c r="G80" s="195" t="s">
        <v>5801</v>
      </c>
      <c r="H80" s="6" t="s">
        <v>5802</v>
      </c>
      <c r="I80" s="221" t="s">
        <v>5803</v>
      </c>
      <c r="J80" s="221" t="s">
        <v>635</v>
      </c>
    </row>
    <row r="81" customFormat="false" ht="15" hidden="false" customHeight="true" outlineLevel="0" collapsed="false">
      <c r="A81" s="28" t="s">
        <v>5819</v>
      </c>
      <c r="B81" s="28" t="s">
        <v>5797</v>
      </c>
      <c r="C81" s="19" t="s">
        <v>5820</v>
      </c>
      <c r="D81" s="19" t="s">
        <v>5821</v>
      </c>
      <c r="E81" s="28" t="s">
        <v>5712</v>
      </c>
      <c r="F81" s="19" t="s">
        <v>5800</v>
      </c>
      <c r="G81" s="195" t="s">
        <v>5801</v>
      </c>
      <c r="H81" s="6" t="s">
        <v>5802</v>
      </c>
      <c r="I81" s="221" t="s">
        <v>5803</v>
      </c>
      <c r="J81" s="221" t="s">
        <v>635</v>
      </c>
    </row>
    <row r="82" customFormat="false" ht="15" hidden="false" customHeight="true" outlineLevel="0" collapsed="false">
      <c r="A82" s="28" t="s">
        <v>5288</v>
      </c>
      <c r="B82" s="28" t="s">
        <v>5797</v>
      </c>
      <c r="C82" s="19" t="s">
        <v>5822</v>
      </c>
      <c r="D82" s="19" t="s">
        <v>5823</v>
      </c>
      <c r="E82" s="28" t="s">
        <v>5712</v>
      </c>
      <c r="F82" s="19" t="s">
        <v>5800</v>
      </c>
      <c r="G82" s="195" t="s">
        <v>5801</v>
      </c>
      <c r="H82" s="6" t="s">
        <v>5802</v>
      </c>
      <c r="I82" s="221" t="s">
        <v>5803</v>
      </c>
      <c r="J82" s="221" t="s">
        <v>635</v>
      </c>
    </row>
    <row r="83" customFormat="false" ht="15" hidden="false" customHeight="true" outlineLevel="0" collapsed="false">
      <c r="A83" s="28" t="s">
        <v>5824</v>
      </c>
      <c r="B83" s="221" t="s">
        <v>5825</v>
      </c>
      <c r="C83" s="19" t="s">
        <v>5826</v>
      </c>
      <c r="D83" s="19" t="s">
        <v>5827</v>
      </c>
      <c r="E83" s="28" t="s">
        <v>5712</v>
      </c>
      <c r="F83" s="19" t="s">
        <v>5828</v>
      </c>
      <c r="G83" s="221" t="s">
        <v>5596</v>
      </c>
      <c r="H83" s="6" t="s">
        <v>604</v>
      </c>
      <c r="I83" s="221" t="s">
        <v>5829</v>
      </c>
      <c r="J83" s="221" t="s">
        <v>635</v>
      </c>
    </row>
    <row r="84" customFormat="false" ht="43.5" hidden="false" customHeight="true" outlineLevel="0" collapsed="false">
      <c r="A84" s="28" t="s">
        <v>5830</v>
      </c>
      <c r="B84" s="221" t="s">
        <v>5825</v>
      </c>
      <c r="C84" s="6" t="s">
        <v>5831</v>
      </c>
      <c r="D84" s="19" t="s">
        <v>5832</v>
      </c>
      <c r="E84" s="28" t="s">
        <v>5712</v>
      </c>
      <c r="F84" s="19" t="s">
        <v>5833</v>
      </c>
      <c r="G84" s="221" t="s">
        <v>5596</v>
      </c>
      <c r="H84" s="6" t="s">
        <v>5834</v>
      </c>
      <c r="I84" s="221" t="s">
        <v>5829</v>
      </c>
      <c r="J84" s="221" t="s">
        <v>635</v>
      </c>
    </row>
    <row r="85" customFormat="false" ht="26.25" hidden="false" customHeight="true" outlineLevel="0" collapsed="false">
      <c r="A85" s="28" t="s">
        <v>5835</v>
      </c>
      <c r="B85" s="221" t="s">
        <v>5825</v>
      </c>
      <c r="C85" s="6" t="s">
        <v>5836</v>
      </c>
      <c r="D85" s="6" t="s">
        <v>5837</v>
      </c>
      <c r="E85" s="28" t="s">
        <v>5712</v>
      </c>
      <c r="F85" s="19" t="s">
        <v>5833</v>
      </c>
      <c r="G85" s="221" t="s">
        <v>5596</v>
      </c>
      <c r="H85" s="6" t="s">
        <v>5838</v>
      </c>
      <c r="I85" s="221" t="s">
        <v>5829</v>
      </c>
      <c r="J85" s="221" t="s">
        <v>635</v>
      </c>
    </row>
    <row r="86" customFormat="false" ht="29.25" hidden="false" customHeight="true" outlineLevel="0" collapsed="false">
      <c r="A86" s="28" t="s">
        <v>5839</v>
      </c>
      <c r="B86" s="221" t="s">
        <v>5825</v>
      </c>
      <c r="C86" s="19" t="s">
        <v>5840</v>
      </c>
      <c r="D86" s="19" t="s">
        <v>5841</v>
      </c>
      <c r="E86" s="28" t="s">
        <v>5712</v>
      </c>
      <c r="F86" s="19" t="s">
        <v>5833</v>
      </c>
      <c r="G86" s="221" t="s">
        <v>5596</v>
      </c>
      <c r="H86" s="6" t="s">
        <v>604</v>
      </c>
      <c r="I86" s="221" t="s">
        <v>5829</v>
      </c>
      <c r="J86" s="221" t="s">
        <v>635</v>
      </c>
    </row>
    <row r="87" customFormat="false" ht="29.25" hidden="false" customHeight="true" outlineLevel="0" collapsed="false">
      <c r="A87" s="28" t="s">
        <v>5842</v>
      </c>
      <c r="B87" s="221" t="s">
        <v>5825</v>
      </c>
      <c r="C87" s="19" t="s">
        <v>5843</v>
      </c>
      <c r="D87" s="19" t="s">
        <v>5844</v>
      </c>
      <c r="E87" s="28" t="s">
        <v>5712</v>
      </c>
      <c r="F87" s="19" t="s">
        <v>5828</v>
      </c>
      <c r="G87" s="221" t="s">
        <v>5596</v>
      </c>
      <c r="H87" s="6" t="s">
        <v>5845</v>
      </c>
      <c r="I87" s="221" t="s">
        <v>5829</v>
      </c>
      <c r="J87" s="221" t="s">
        <v>635</v>
      </c>
    </row>
    <row r="88" customFormat="false" ht="29.25" hidden="false" customHeight="true" outlineLevel="0" collapsed="false">
      <c r="A88" s="28" t="s">
        <v>5079</v>
      </c>
      <c r="B88" s="221" t="s">
        <v>5825</v>
      </c>
      <c r="C88" s="6" t="s">
        <v>5846</v>
      </c>
      <c r="D88" s="6" t="s">
        <v>5847</v>
      </c>
      <c r="E88" s="28" t="s">
        <v>5712</v>
      </c>
      <c r="F88" s="19" t="s">
        <v>5833</v>
      </c>
      <c r="G88" s="221" t="s">
        <v>5596</v>
      </c>
      <c r="H88" s="6" t="s">
        <v>5848</v>
      </c>
      <c r="I88" s="221" t="s">
        <v>5829</v>
      </c>
      <c r="J88" s="221" t="s">
        <v>635</v>
      </c>
    </row>
    <row r="89" customFormat="false" ht="29.25" hidden="false" customHeight="true" outlineLevel="0" collapsed="false">
      <c r="A89" s="28" t="s">
        <v>5849</v>
      </c>
      <c r="B89" s="221" t="s">
        <v>5825</v>
      </c>
      <c r="C89" s="19" t="s">
        <v>5850</v>
      </c>
      <c r="D89" s="6" t="s">
        <v>5851</v>
      </c>
      <c r="E89" s="28" t="s">
        <v>5712</v>
      </c>
      <c r="F89" s="19" t="s">
        <v>5833</v>
      </c>
      <c r="G89" s="221" t="s">
        <v>5596</v>
      </c>
      <c r="H89" s="6" t="s">
        <v>604</v>
      </c>
      <c r="I89" s="221" t="s">
        <v>5829</v>
      </c>
      <c r="J89" s="221" t="s">
        <v>635</v>
      </c>
    </row>
    <row r="90" customFormat="false" ht="43.5" hidden="false" customHeight="true" outlineLevel="0" collapsed="false">
      <c r="A90" s="28" t="s">
        <v>5852</v>
      </c>
      <c r="B90" s="221" t="s">
        <v>5825</v>
      </c>
      <c r="C90" s="19" t="s">
        <v>5853</v>
      </c>
      <c r="D90" s="19" t="s">
        <v>5854</v>
      </c>
      <c r="E90" s="28" t="s">
        <v>5712</v>
      </c>
      <c r="F90" s="19" t="s">
        <v>5855</v>
      </c>
      <c r="G90" s="221" t="s">
        <v>5596</v>
      </c>
      <c r="H90" s="6" t="s">
        <v>604</v>
      </c>
      <c r="I90" s="221" t="s">
        <v>5829</v>
      </c>
      <c r="J90" s="221" t="s">
        <v>635</v>
      </c>
    </row>
    <row r="91" customFormat="false" ht="29.25" hidden="false" customHeight="true" outlineLevel="0" collapsed="false">
      <c r="A91" s="28" t="s">
        <v>5856</v>
      </c>
      <c r="B91" s="221" t="s">
        <v>5825</v>
      </c>
      <c r="C91" s="19" t="s">
        <v>5857</v>
      </c>
      <c r="D91" s="6" t="s">
        <v>5858</v>
      </c>
      <c r="E91" s="28" t="s">
        <v>5712</v>
      </c>
      <c r="F91" s="6" t="s">
        <v>604</v>
      </c>
      <c r="G91" s="221" t="s">
        <v>5596</v>
      </c>
      <c r="H91" s="6" t="s">
        <v>604</v>
      </c>
      <c r="I91" s="221" t="s">
        <v>5829</v>
      </c>
      <c r="J91" s="221" t="s">
        <v>635</v>
      </c>
    </row>
    <row r="92" customFormat="false" ht="15" hidden="false" customHeight="true" outlineLevel="0" collapsed="false">
      <c r="A92" s="28" t="s">
        <v>5859</v>
      </c>
      <c r="B92" s="221" t="s">
        <v>5825</v>
      </c>
      <c r="C92" s="19" t="s">
        <v>5860</v>
      </c>
      <c r="D92" s="19" t="s">
        <v>5861</v>
      </c>
      <c r="E92" s="28" t="s">
        <v>5712</v>
      </c>
      <c r="F92" s="6" t="s">
        <v>604</v>
      </c>
      <c r="G92" s="221" t="s">
        <v>5596</v>
      </c>
      <c r="H92" s="6" t="s">
        <v>604</v>
      </c>
      <c r="I92" s="221" t="s">
        <v>5829</v>
      </c>
      <c r="J92" s="221" t="s">
        <v>635</v>
      </c>
    </row>
    <row r="93" customFormat="false" ht="29.25" hidden="false" customHeight="true" outlineLevel="0" collapsed="false">
      <c r="A93" s="28" t="s">
        <v>5862</v>
      </c>
      <c r="B93" s="221" t="s">
        <v>5825</v>
      </c>
      <c r="C93" s="6" t="s">
        <v>5863</v>
      </c>
      <c r="D93" s="19" t="s">
        <v>5864</v>
      </c>
      <c r="E93" s="28" t="s">
        <v>5712</v>
      </c>
      <c r="F93" s="19" t="s">
        <v>5865</v>
      </c>
      <c r="G93" s="221" t="s">
        <v>5596</v>
      </c>
      <c r="H93" s="6" t="s">
        <v>5714</v>
      </c>
      <c r="I93" s="221" t="s">
        <v>5829</v>
      </c>
      <c r="J93" s="221" t="s">
        <v>635</v>
      </c>
    </row>
    <row r="94" customFormat="false" ht="29.25" hidden="false" customHeight="true" outlineLevel="0" collapsed="false">
      <c r="A94" s="28" t="s">
        <v>3879</v>
      </c>
      <c r="B94" s="221" t="s">
        <v>5866</v>
      </c>
      <c r="C94" s="6" t="s">
        <v>5867</v>
      </c>
      <c r="D94" s="6" t="s">
        <v>5868</v>
      </c>
      <c r="E94" s="28" t="s">
        <v>5869</v>
      </c>
      <c r="F94" s="225" t="s">
        <v>5870</v>
      </c>
      <c r="G94" s="221" t="s">
        <v>5596</v>
      </c>
      <c r="H94" s="6" t="s">
        <v>5871</v>
      </c>
      <c r="I94" s="28" t="s">
        <v>5872</v>
      </c>
      <c r="J94" s="221" t="s">
        <v>635</v>
      </c>
    </row>
    <row r="95" customFormat="false" ht="51.75" hidden="false" customHeight="true" outlineLevel="0" collapsed="false">
      <c r="A95" s="28" t="s">
        <v>5873</v>
      </c>
      <c r="B95" s="28" t="s">
        <v>5797</v>
      </c>
      <c r="C95" s="19" t="s">
        <v>5874</v>
      </c>
      <c r="D95" s="6" t="s">
        <v>5875</v>
      </c>
      <c r="E95" s="28" t="s">
        <v>5876</v>
      </c>
      <c r="F95" s="19" t="s">
        <v>5877</v>
      </c>
      <c r="G95" s="28" t="s">
        <v>5878</v>
      </c>
      <c r="H95" s="6" t="s">
        <v>5879</v>
      </c>
      <c r="I95" s="221" t="s">
        <v>5880</v>
      </c>
      <c r="J95" s="221" t="s">
        <v>635</v>
      </c>
    </row>
    <row r="96" customFormat="false" ht="26.25" hidden="false" customHeight="true" outlineLevel="0" collapsed="false">
      <c r="A96" s="28" t="s">
        <v>5881</v>
      </c>
      <c r="B96" s="28" t="s">
        <v>5797</v>
      </c>
      <c r="C96" s="19" t="s">
        <v>5323</v>
      </c>
      <c r="D96" s="19" t="s">
        <v>5882</v>
      </c>
      <c r="E96" s="28" t="s">
        <v>5876</v>
      </c>
      <c r="F96" s="19" t="s">
        <v>5883</v>
      </c>
      <c r="G96" s="28" t="s">
        <v>5878</v>
      </c>
      <c r="H96" s="6" t="s">
        <v>5884</v>
      </c>
      <c r="I96" s="221" t="s">
        <v>5880</v>
      </c>
      <c r="J96" s="221" t="s">
        <v>635</v>
      </c>
    </row>
    <row r="97" customFormat="false" ht="26.25" hidden="false" customHeight="true" outlineLevel="0" collapsed="false">
      <c r="A97" s="28" t="s">
        <v>5885</v>
      </c>
      <c r="B97" s="28" t="s">
        <v>5886</v>
      </c>
      <c r="C97" s="19" t="s">
        <v>5887</v>
      </c>
      <c r="D97" s="6" t="s">
        <v>5888</v>
      </c>
      <c r="E97" s="28" t="s">
        <v>5889</v>
      </c>
      <c r="F97" s="19" t="s">
        <v>5890</v>
      </c>
      <c r="G97" s="221" t="s">
        <v>5891</v>
      </c>
      <c r="H97" s="6" t="s">
        <v>5892</v>
      </c>
      <c r="I97" s="221" t="s">
        <v>5893</v>
      </c>
      <c r="J97" s="221" t="s">
        <v>635</v>
      </c>
    </row>
    <row r="98" customFormat="false" ht="26.25" hidden="false" customHeight="true" outlineLevel="0" collapsed="false">
      <c r="A98" s="28" t="s">
        <v>5894</v>
      </c>
      <c r="B98" s="28" t="s">
        <v>5886</v>
      </c>
      <c r="C98" s="6" t="s">
        <v>5895</v>
      </c>
      <c r="D98" s="6" t="s">
        <v>5896</v>
      </c>
      <c r="E98" s="28" t="s">
        <v>5889</v>
      </c>
      <c r="F98" s="19" t="s">
        <v>5890</v>
      </c>
      <c r="G98" s="221" t="s">
        <v>5891</v>
      </c>
      <c r="H98" s="6" t="s">
        <v>5897</v>
      </c>
      <c r="I98" s="221" t="s">
        <v>5893</v>
      </c>
      <c r="J98" s="221" t="s">
        <v>635</v>
      </c>
    </row>
    <row r="99" customFormat="false" ht="51.75" hidden="false" customHeight="true" outlineLevel="0" collapsed="false">
      <c r="A99" s="28" t="s">
        <v>3630</v>
      </c>
      <c r="B99" s="28" t="s">
        <v>5886</v>
      </c>
      <c r="C99" s="19" t="s">
        <v>5898</v>
      </c>
      <c r="D99" s="19" t="s">
        <v>5899</v>
      </c>
      <c r="E99" s="28" t="s">
        <v>5889</v>
      </c>
      <c r="F99" s="19" t="s">
        <v>5900</v>
      </c>
      <c r="G99" s="221" t="s">
        <v>5891</v>
      </c>
      <c r="H99" s="6" t="s">
        <v>5901</v>
      </c>
      <c r="I99" s="221" t="s">
        <v>5902</v>
      </c>
      <c r="J99" s="221" t="s">
        <v>635</v>
      </c>
    </row>
    <row r="100" customFormat="false" ht="39" hidden="false" customHeight="true" outlineLevel="0" collapsed="false">
      <c r="A100" s="28" t="s">
        <v>4505</v>
      </c>
      <c r="B100" s="28" t="s">
        <v>5886</v>
      </c>
      <c r="C100" s="19" t="s">
        <v>5903</v>
      </c>
      <c r="D100" s="19" t="s">
        <v>5904</v>
      </c>
      <c r="E100" s="28" t="s">
        <v>5889</v>
      </c>
      <c r="F100" s="19" t="s">
        <v>5905</v>
      </c>
      <c r="G100" s="221" t="s">
        <v>5891</v>
      </c>
      <c r="H100" s="6" t="s">
        <v>5906</v>
      </c>
      <c r="I100" s="221" t="s">
        <v>5902</v>
      </c>
      <c r="J100" s="221" t="s">
        <v>635</v>
      </c>
    </row>
    <row r="101" customFormat="false" ht="51.75" hidden="false" customHeight="true" outlineLevel="0" collapsed="false">
      <c r="A101" s="28" t="s">
        <v>5907</v>
      </c>
      <c r="B101" s="28" t="s">
        <v>5886</v>
      </c>
      <c r="C101" s="19" t="s">
        <v>5908</v>
      </c>
      <c r="D101" s="6" t="s">
        <v>5909</v>
      </c>
      <c r="E101" s="28" t="s">
        <v>5910</v>
      </c>
      <c r="F101" s="6" t="s">
        <v>5911</v>
      </c>
      <c r="G101" s="221" t="s">
        <v>5891</v>
      </c>
      <c r="H101" s="6" t="s">
        <v>5912</v>
      </c>
      <c r="I101" s="221" t="s">
        <v>5913</v>
      </c>
      <c r="J101" s="221" t="s">
        <v>607</v>
      </c>
    </row>
    <row r="102" customFormat="false" ht="39" hidden="false" customHeight="true" outlineLevel="0" collapsed="false">
      <c r="A102" s="28" t="s">
        <v>5914</v>
      </c>
      <c r="B102" s="28" t="s">
        <v>5886</v>
      </c>
      <c r="C102" s="6" t="s">
        <v>5915</v>
      </c>
      <c r="D102" s="6" t="s">
        <v>5916</v>
      </c>
      <c r="E102" s="28" t="s">
        <v>5910</v>
      </c>
      <c r="F102" s="6" t="s">
        <v>5917</v>
      </c>
      <c r="G102" s="221" t="s">
        <v>5891</v>
      </c>
      <c r="H102" s="6" t="s">
        <v>5918</v>
      </c>
      <c r="I102" s="221" t="s">
        <v>5919</v>
      </c>
      <c r="J102" s="221" t="s">
        <v>607</v>
      </c>
    </row>
    <row r="103" customFormat="false" ht="39" hidden="false" customHeight="true" outlineLevel="0" collapsed="false">
      <c r="A103" s="28" t="s">
        <v>5920</v>
      </c>
      <c r="B103" s="28" t="s">
        <v>5886</v>
      </c>
      <c r="C103" s="6" t="s">
        <v>5921</v>
      </c>
      <c r="D103" s="6" t="s">
        <v>5922</v>
      </c>
      <c r="E103" s="28" t="s">
        <v>5910</v>
      </c>
      <c r="F103" s="6" t="s">
        <v>5923</v>
      </c>
      <c r="G103" s="221" t="s">
        <v>5891</v>
      </c>
      <c r="H103" s="6" t="s">
        <v>5924</v>
      </c>
      <c r="I103" s="28" t="s">
        <v>5925</v>
      </c>
      <c r="J103" s="221" t="s">
        <v>607</v>
      </c>
    </row>
    <row r="104" customFormat="false" ht="26.25" hidden="false" customHeight="true" outlineLevel="0" collapsed="false">
      <c r="A104" s="28" t="s">
        <v>5926</v>
      </c>
      <c r="B104" s="28" t="s">
        <v>5886</v>
      </c>
      <c r="C104" s="6" t="s">
        <v>5927</v>
      </c>
      <c r="D104" s="19" t="s">
        <v>5928</v>
      </c>
      <c r="E104" s="28" t="s">
        <v>5889</v>
      </c>
      <c r="F104" s="19" t="s">
        <v>5929</v>
      </c>
      <c r="G104" s="221" t="s">
        <v>5891</v>
      </c>
      <c r="H104" s="6" t="s">
        <v>5930</v>
      </c>
      <c r="I104" s="221" t="s">
        <v>5931</v>
      </c>
      <c r="J104" s="221" t="s">
        <v>635</v>
      </c>
    </row>
    <row r="105" customFormat="false" ht="51.75" hidden="false" customHeight="true" outlineLevel="0" collapsed="false">
      <c r="A105" s="28" t="s">
        <v>3640</v>
      </c>
      <c r="B105" s="28" t="s">
        <v>5932</v>
      </c>
      <c r="C105" s="6" t="s">
        <v>5933</v>
      </c>
      <c r="D105" s="6" t="s">
        <v>5934</v>
      </c>
      <c r="E105" s="28" t="s">
        <v>5910</v>
      </c>
      <c r="F105" s="19" t="s">
        <v>5935</v>
      </c>
      <c r="G105" s="28" t="s">
        <v>5936</v>
      </c>
      <c r="H105" s="6" t="s">
        <v>5937</v>
      </c>
      <c r="I105" s="221" t="s">
        <v>5938</v>
      </c>
      <c r="J105" s="221" t="s">
        <v>635</v>
      </c>
    </row>
    <row r="106" customFormat="false" ht="51.75" hidden="false" customHeight="true" outlineLevel="0" collapsed="false">
      <c r="A106" s="28" t="s">
        <v>5939</v>
      </c>
      <c r="B106" s="28" t="s">
        <v>5932</v>
      </c>
      <c r="C106" s="6" t="s">
        <v>5940</v>
      </c>
      <c r="D106" s="6" t="s">
        <v>5941</v>
      </c>
      <c r="E106" s="28" t="s">
        <v>5910</v>
      </c>
      <c r="F106" s="19" t="s">
        <v>5942</v>
      </c>
      <c r="G106" s="28" t="s">
        <v>5936</v>
      </c>
      <c r="H106" s="6" t="s">
        <v>5943</v>
      </c>
      <c r="I106" s="221" t="s">
        <v>5944</v>
      </c>
      <c r="J106" s="221" t="s">
        <v>635</v>
      </c>
    </row>
    <row r="107" customFormat="false" ht="64.5" hidden="false" customHeight="true" outlineLevel="0" collapsed="false">
      <c r="A107" s="28" t="s">
        <v>5945</v>
      </c>
      <c r="B107" s="28" t="s">
        <v>5946</v>
      </c>
      <c r="C107" s="6" t="s">
        <v>5947</v>
      </c>
      <c r="D107" s="6" t="s">
        <v>5948</v>
      </c>
      <c r="E107" s="28" t="s">
        <v>5910</v>
      </c>
      <c r="F107" s="19" t="s">
        <v>5949</v>
      </c>
      <c r="G107" s="28" t="s">
        <v>5950</v>
      </c>
      <c r="H107" s="6" t="s">
        <v>5951</v>
      </c>
      <c r="I107" s="221" t="s">
        <v>5952</v>
      </c>
      <c r="J107" s="221" t="s">
        <v>635</v>
      </c>
    </row>
    <row r="108" customFormat="false" ht="51.75" hidden="false" customHeight="true" outlineLevel="0" collapsed="false">
      <c r="A108" s="28" t="s">
        <v>5953</v>
      </c>
      <c r="B108" s="28" t="s">
        <v>5946</v>
      </c>
      <c r="C108" s="6" t="s">
        <v>5954</v>
      </c>
      <c r="D108" s="6" t="s">
        <v>5955</v>
      </c>
      <c r="E108" s="28" t="s">
        <v>5910</v>
      </c>
      <c r="F108" s="19" t="s">
        <v>5956</v>
      </c>
      <c r="G108" s="28" t="s">
        <v>5957</v>
      </c>
      <c r="H108" s="6" t="s">
        <v>5958</v>
      </c>
      <c r="I108" s="221" t="s">
        <v>5959</v>
      </c>
      <c r="J108" s="221" t="s">
        <v>635</v>
      </c>
    </row>
    <row r="109" customFormat="false" ht="51.75" hidden="false" customHeight="true" outlineLevel="0" collapsed="false">
      <c r="A109" s="28" t="s">
        <v>5960</v>
      </c>
      <c r="B109" s="28" t="s">
        <v>5946</v>
      </c>
      <c r="C109" s="6" t="s">
        <v>5961</v>
      </c>
      <c r="D109" s="6" t="s">
        <v>5962</v>
      </c>
      <c r="E109" s="28" t="s">
        <v>5910</v>
      </c>
      <c r="F109" s="19" t="s">
        <v>5963</v>
      </c>
      <c r="G109" s="28" t="s">
        <v>5950</v>
      </c>
      <c r="H109" s="6" t="s">
        <v>5964</v>
      </c>
      <c r="I109" s="221" t="s">
        <v>5965</v>
      </c>
      <c r="J109" s="221" t="s">
        <v>635</v>
      </c>
    </row>
    <row r="110" customFormat="false" ht="51.75" hidden="false" customHeight="true" outlineLevel="0" collapsed="false">
      <c r="A110" s="28" t="s">
        <v>5966</v>
      </c>
      <c r="B110" s="28" t="s">
        <v>5967</v>
      </c>
      <c r="C110" s="6" t="s">
        <v>5968</v>
      </c>
      <c r="D110" s="6" t="s">
        <v>5969</v>
      </c>
      <c r="E110" s="28" t="s">
        <v>5910</v>
      </c>
      <c r="F110" s="19" t="s">
        <v>5970</v>
      </c>
      <c r="G110" s="28" t="s">
        <v>5971</v>
      </c>
      <c r="H110" s="6" t="s">
        <v>5972</v>
      </c>
      <c r="I110" s="221" t="s">
        <v>5973</v>
      </c>
      <c r="J110" s="221" t="s">
        <v>635</v>
      </c>
    </row>
    <row r="111" customFormat="false" ht="77.25" hidden="false" customHeight="true" outlineLevel="0" collapsed="false">
      <c r="A111" s="28" t="s">
        <v>3644</v>
      </c>
      <c r="B111" s="28" t="s">
        <v>5974</v>
      </c>
      <c r="C111" s="19" t="s">
        <v>5975</v>
      </c>
      <c r="D111" s="19" t="s">
        <v>5976</v>
      </c>
      <c r="E111" s="28" t="s">
        <v>5910</v>
      </c>
      <c r="F111" s="19" t="s">
        <v>5977</v>
      </c>
      <c r="G111" s="28" t="s">
        <v>5978</v>
      </c>
      <c r="H111" s="6" t="s">
        <v>5979</v>
      </c>
      <c r="I111" s="221" t="s">
        <v>5980</v>
      </c>
      <c r="J111" s="221" t="s">
        <v>635</v>
      </c>
    </row>
    <row r="112" customFormat="false" ht="51.75" hidden="false" customHeight="true" outlineLevel="0" collapsed="false">
      <c r="A112" s="28" t="s">
        <v>5981</v>
      </c>
      <c r="B112" s="28" t="s">
        <v>5974</v>
      </c>
      <c r="C112" s="6" t="s">
        <v>5982</v>
      </c>
      <c r="D112" s="6" t="s">
        <v>5983</v>
      </c>
      <c r="E112" s="28" t="s">
        <v>5910</v>
      </c>
      <c r="F112" s="19" t="s">
        <v>5984</v>
      </c>
      <c r="G112" s="28" t="s">
        <v>5978</v>
      </c>
      <c r="H112" s="6" t="s">
        <v>5985</v>
      </c>
      <c r="I112" s="221" t="s">
        <v>5986</v>
      </c>
      <c r="J112" s="221" t="s">
        <v>635</v>
      </c>
    </row>
    <row r="113" customFormat="false" ht="51.75" hidden="false" customHeight="true" outlineLevel="0" collapsed="false">
      <c r="A113" s="28" t="s">
        <v>5987</v>
      </c>
      <c r="B113" s="28" t="s">
        <v>5974</v>
      </c>
      <c r="C113" s="6" t="s">
        <v>5988</v>
      </c>
      <c r="D113" s="6" t="s">
        <v>5989</v>
      </c>
      <c r="E113" s="28" t="s">
        <v>5910</v>
      </c>
      <c r="F113" s="19" t="s">
        <v>5990</v>
      </c>
      <c r="G113" s="28" t="s">
        <v>5978</v>
      </c>
      <c r="H113" s="6" t="s">
        <v>5991</v>
      </c>
      <c r="I113" s="221" t="s">
        <v>5992</v>
      </c>
      <c r="J113" s="221" t="s">
        <v>635</v>
      </c>
    </row>
    <row r="114" customFormat="false" ht="141" hidden="false" customHeight="true" outlineLevel="0" collapsed="false">
      <c r="A114" s="28" t="s">
        <v>5367</v>
      </c>
      <c r="B114" s="28" t="s">
        <v>5993</v>
      </c>
      <c r="C114" s="6" t="s">
        <v>5994</v>
      </c>
      <c r="D114" s="6" t="s">
        <v>5995</v>
      </c>
      <c r="E114" s="28" t="s">
        <v>5996</v>
      </c>
      <c r="F114" s="19" t="s">
        <v>5997</v>
      </c>
      <c r="G114" s="28" t="s">
        <v>5998</v>
      </c>
      <c r="H114" s="6" t="s">
        <v>5999</v>
      </c>
      <c r="I114" s="221" t="s">
        <v>6000</v>
      </c>
      <c r="J114" s="221" t="s">
        <v>635</v>
      </c>
    </row>
    <row r="115" customFormat="false" ht="57.75" hidden="false" customHeight="true" outlineLevel="0" collapsed="false">
      <c r="A115" s="28" t="s">
        <v>6001</v>
      </c>
      <c r="B115" s="28" t="s">
        <v>6002</v>
      </c>
      <c r="C115" s="6" t="s">
        <v>6003</v>
      </c>
      <c r="D115" s="6" t="s">
        <v>6004</v>
      </c>
      <c r="E115" s="28" t="s">
        <v>5996</v>
      </c>
      <c r="F115" s="225" t="s">
        <v>6005</v>
      </c>
      <c r="G115" s="28" t="s">
        <v>6006</v>
      </c>
      <c r="H115" s="6" t="s">
        <v>6007</v>
      </c>
      <c r="I115" s="195" t="s">
        <v>6008</v>
      </c>
      <c r="J115" s="195" t="s">
        <v>635</v>
      </c>
    </row>
    <row r="116" customFormat="false" ht="213.75" hidden="false" customHeight="true" outlineLevel="0" collapsed="false">
      <c r="A116" s="28" t="s">
        <v>6009</v>
      </c>
      <c r="B116" s="28" t="s">
        <v>6002</v>
      </c>
      <c r="C116" s="6" t="s">
        <v>6010</v>
      </c>
      <c r="D116" s="6" t="s">
        <v>6011</v>
      </c>
      <c r="E116" s="28" t="s">
        <v>5996</v>
      </c>
      <c r="F116" s="225" t="s">
        <v>6005</v>
      </c>
      <c r="G116" s="28" t="s">
        <v>6006</v>
      </c>
      <c r="H116" s="6" t="s">
        <v>6012</v>
      </c>
      <c r="I116" s="195" t="s">
        <v>6013</v>
      </c>
      <c r="J116" s="195" t="s">
        <v>635</v>
      </c>
    </row>
    <row r="117" customFormat="false" ht="213.75" hidden="false" customHeight="true" outlineLevel="0" collapsed="false">
      <c r="A117" s="28" t="s">
        <v>6014</v>
      </c>
      <c r="B117" s="28" t="s">
        <v>6015</v>
      </c>
      <c r="C117" s="6" t="s">
        <v>6016</v>
      </c>
      <c r="D117" s="6" t="s">
        <v>6017</v>
      </c>
      <c r="E117" s="28" t="s">
        <v>3225</v>
      </c>
      <c r="F117" s="225" t="s">
        <v>6005</v>
      </c>
      <c r="G117" s="28" t="s">
        <v>6018</v>
      </c>
      <c r="H117" s="6" t="s">
        <v>6019</v>
      </c>
      <c r="I117" s="195" t="s">
        <v>6020</v>
      </c>
      <c r="J117" s="195" t="s">
        <v>635</v>
      </c>
    </row>
    <row r="118" customFormat="false" ht="54.75" hidden="false" customHeight="true" outlineLevel="0" collapsed="false">
      <c r="A118" s="28" t="s">
        <v>6021</v>
      </c>
      <c r="B118" s="28" t="s">
        <v>6022</v>
      </c>
      <c r="C118" s="6" t="s">
        <v>6023</v>
      </c>
      <c r="D118" s="6" t="s">
        <v>6024</v>
      </c>
      <c r="E118" s="28" t="s">
        <v>3225</v>
      </c>
      <c r="F118" s="6" t="s">
        <v>6025</v>
      </c>
      <c r="G118" s="28" t="s">
        <v>6026</v>
      </c>
      <c r="H118" s="6" t="s">
        <v>6027</v>
      </c>
      <c r="I118" s="195" t="s">
        <v>6028</v>
      </c>
      <c r="J118" s="195" t="s">
        <v>635</v>
      </c>
    </row>
    <row r="119" customFormat="false" ht="54.75" hidden="false" customHeight="true" outlineLevel="0" collapsed="false">
      <c r="A119" s="28" t="s">
        <v>6029</v>
      </c>
      <c r="B119" s="28" t="s">
        <v>6022</v>
      </c>
      <c r="C119" s="6" t="s">
        <v>6030</v>
      </c>
      <c r="D119" s="225" t="s">
        <v>6031</v>
      </c>
      <c r="E119" s="28" t="s">
        <v>3225</v>
      </c>
      <c r="F119" s="6" t="s">
        <v>6025</v>
      </c>
      <c r="G119" s="28" t="s">
        <v>6026</v>
      </c>
      <c r="H119" s="6" t="s">
        <v>6032</v>
      </c>
      <c r="I119" s="195" t="s">
        <v>6028</v>
      </c>
      <c r="J119" s="195" t="s">
        <v>635</v>
      </c>
    </row>
    <row r="120" customFormat="false" ht="72" hidden="false" customHeight="true" outlineLevel="0" collapsed="false">
      <c r="A120" s="28" t="s">
        <v>6033</v>
      </c>
      <c r="B120" s="28" t="s">
        <v>6022</v>
      </c>
      <c r="C120" s="6" t="s">
        <v>6034</v>
      </c>
      <c r="D120" s="6" t="s">
        <v>6035</v>
      </c>
      <c r="E120" s="28" t="s">
        <v>3225</v>
      </c>
      <c r="F120" s="6" t="s">
        <v>6025</v>
      </c>
      <c r="G120" s="28" t="s">
        <v>6026</v>
      </c>
      <c r="H120" s="6" t="s">
        <v>6036</v>
      </c>
      <c r="I120" s="195" t="s">
        <v>6028</v>
      </c>
      <c r="J120" s="195" t="s">
        <v>635</v>
      </c>
    </row>
    <row r="121" customFormat="false" ht="54.75" hidden="false" customHeight="true" outlineLevel="0" collapsed="false">
      <c r="A121" s="28" t="s">
        <v>6037</v>
      </c>
      <c r="B121" s="28" t="s">
        <v>6022</v>
      </c>
      <c r="C121" s="6" t="s">
        <v>6038</v>
      </c>
      <c r="D121" s="225" t="s">
        <v>6039</v>
      </c>
      <c r="E121" s="28" t="s">
        <v>3225</v>
      </c>
      <c r="F121" s="6" t="s">
        <v>6025</v>
      </c>
      <c r="G121" s="28" t="s">
        <v>6026</v>
      </c>
      <c r="H121" s="6" t="s">
        <v>6040</v>
      </c>
      <c r="I121" s="195" t="s">
        <v>6028</v>
      </c>
      <c r="J121" s="195" t="s">
        <v>635</v>
      </c>
    </row>
    <row r="122" customFormat="false" ht="54.75" hidden="false" customHeight="true" outlineLevel="0" collapsed="false">
      <c r="A122" s="28" t="s">
        <v>6041</v>
      </c>
      <c r="B122" s="28" t="s">
        <v>6022</v>
      </c>
      <c r="C122" s="6" t="s">
        <v>6042</v>
      </c>
      <c r="D122" s="6" t="s">
        <v>6043</v>
      </c>
      <c r="E122" s="28" t="s">
        <v>3225</v>
      </c>
      <c r="F122" s="6" t="s">
        <v>6025</v>
      </c>
      <c r="G122" s="28" t="s">
        <v>6026</v>
      </c>
      <c r="H122" s="6" t="s">
        <v>6044</v>
      </c>
      <c r="I122" s="195" t="s">
        <v>6028</v>
      </c>
      <c r="J122" s="195" t="s">
        <v>635</v>
      </c>
    </row>
    <row r="123" customFormat="false" ht="54.75" hidden="false" customHeight="true" outlineLevel="0" collapsed="false">
      <c r="A123" s="28" t="s">
        <v>6045</v>
      </c>
      <c r="B123" s="28" t="s">
        <v>6022</v>
      </c>
      <c r="C123" s="6" t="s">
        <v>6046</v>
      </c>
      <c r="D123" s="6" t="s">
        <v>6047</v>
      </c>
      <c r="E123" s="28" t="s">
        <v>3225</v>
      </c>
      <c r="F123" s="6" t="s">
        <v>6025</v>
      </c>
      <c r="G123" s="28" t="s">
        <v>6026</v>
      </c>
      <c r="H123" s="6" t="s">
        <v>6048</v>
      </c>
      <c r="I123" s="195" t="s">
        <v>6028</v>
      </c>
      <c r="J123" s="195" t="s">
        <v>635</v>
      </c>
    </row>
    <row r="124" customFormat="false" ht="54.75" hidden="false" customHeight="true" outlineLevel="0" collapsed="false">
      <c r="A124" s="28" t="s">
        <v>6049</v>
      </c>
      <c r="B124" s="28" t="s">
        <v>6022</v>
      </c>
      <c r="C124" s="6" t="s">
        <v>6050</v>
      </c>
      <c r="D124" s="225" t="s">
        <v>6051</v>
      </c>
      <c r="E124" s="28" t="s">
        <v>3225</v>
      </c>
      <c r="F124" s="6" t="s">
        <v>6025</v>
      </c>
      <c r="G124" s="28" t="s">
        <v>6026</v>
      </c>
      <c r="H124" s="6" t="s">
        <v>6052</v>
      </c>
      <c r="I124" s="195" t="s">
        <v>6028</v>
      </c>
      <c r="J124" s="195" t="s">
        <v>635</v>
      </c>
    </row>
    <row r="125" customFormat="false" ht="57.75" hidden="false" customHeight="true" outlineLevel="0" collapsed="false">
      <c r="A125" s="28" t="s">
        <v>6053</v>
      </c>
      <c r="B125" s="28" t="s">
        <v>6022</v>
      </c>
      <c r="C125" s="6" t="s">
        <v>6054</v>
      </c>
      <c r="D125" s="225" t="s">
        <v>6055</v>
      </c>
      <c r="E125" s="28" t="s">
        <v>3225</v>
      </c>
      <c r="F125" s="6" t="s">
        <v>6025</v>
      </c>
      <c r="G125" s="28" t="s">
        <v>6026</v>
      </c>
      <c r="H125" s="6" t="s">
        <v>6056</v>
      </c>
      <c r="I125" s="195" t="s">
        <v>6028</v>
      </c>
      <c r="J125" s="195" t="s">
        <v>635</v>
      </c>
    </row>
    <row r="126" customFormat="false" ht="54.75" hidden="false" customHeight="true" outlineLevel="0" collapsed="false">
      <c r="A126" s="28" t="s">
        <v>6057</v>
      </c>
      <c r="B126" s="28" t="s">
        <v>6022</v>
      </c>
      <c r="C126" s="6" t="s">
        <v>6058</v>
      </c>
      <c r="D126" s="6" t="s">
        <v>6059</v>
      </c>
      <c r="E126" s="28" t="s">
        <v>3225</v>
      </c>
      <c r="F126" s="6" t="s">
        <v>6025</v>
      </c>
      <c r="G126" s="28" t="s">
        <v>6026</v>
      </c>
      <c r="H126" s="6" t="s">
        <v>6060</v>
      </c>
      <c r="I126" s="195" t="s">
        <v>6028</v>
      </c>
      <c r="J126" s="195" t="s">
        <v>635</v>
      </c>
    </row>
    <row r="127" customFormat="false" ht="54.75" hidden="false" customHeight="true" outlineLevel="0" collapsed="false">
      <c r="A127" s="28" t="s">
        <v>6061</v>
      </c>
      <c r="B127" s="28" t="s">
        <v>6022</v>
      </c>
      <c r="C127" s="6" t="s">
        <v>6062</v>
      </c>
      <c r="D127" s="225" t="s">
        <v>6063</v>
      </c>
      <c r="E127" s="28" t="s">
        <v>3225</v>
      </c>
      <c r="F127" s="6" t="s">
        <v>6025</v>
      </c>
      <c r="G127" s="28" t="s">
        <v>6026</v>
      </c>
      <c r="H127" s="225" t="s">
        <v>6064</v>
      </c>
      <c r="I127" s="195" t="s">
        <v>6028</v>
      </c>
      <c r="J127" s="195" t="s">
        <v>635</v>
      </c>
    </row>
    <row r="128" customFormat="false" ht="114.75" hidden="false" customHeight="true" outlineLevel="0" collapsed="false">
      <c r="A128" s="28" t="s">
        <v>6065</v>
      </c>
      <c r="B128" s="28" t="s">
        <v>6022</v>
      </c>
      <c r="C128" s="6" t="s">
        <v>6066</v>
      </c>
      <c r="D128" s="225" t="s">
        <v>6067</v>
      </c>
      <c r="E128" s="28" t="s">
        <v>3225</v>
      </c>
      <c r="F128" s="6" t="s">
        <v>6068</v>
      </c>
      <c r="G128" s="28" t="s">
        <v>6026</v>
      </c>
      <c r="H128" s="6" t="s">
        <v>6069</v>
      </c>
      <c r="I128" s="195" t="s">
        <v>6028</v>
      </c>
      <c r="J128" s="195" t="s">
        <v>635</v>
      </c>
    </row>
    <row r="129" customFormat="false" ht="43.5" hidden="false" customHeight="true" outlineLevel="0" collapsed="false">
      <c r="A129" s="28" t="s">
        <v>6070</v>
      </c>
      <c r="B129" s="28" t="s">
        <v>6022</v>
      </c>
      <c r="C129" s="6" t="s">
        <v>6071</v>
      </c>
      <c r="D129" s="6" t="s">
        <v>6072</v>
      </c>
      <c r="E129" s="28" t="s">
        <v>3225</v>
      </c>
      <c r="F129" s="6" t="s">
        <v>6068</v>
      </c>
      <c r="G129" s="28" t="s">
        <v>6026</v>
      </c>
      <c r="H129" s="6" t="s">
        <v>6073</v>
      </c>
      <c r="I129" s="195" t="s">
        <v>6028</v>
      </c>
      <c r="J129" s="195" t="s">
        <v>635</v>
      </c>
    </row>
    <row r="130" customFormat="false" ht="69" hidden="false" customHeight="true" outlineLevel="0" collapsed="false">
      <c r="A130" s="28" t="s">
        <v>5373</v>
      </c>
      <c r="B130" s="28" t="s">
        <v>6022</v>
      </c>
      <c r="C130" s="6" t="s">
        <v>6074</v>
      </c>
      <c r="D130" s="6" t="s">
        <v>6075</v>
      </c>
      <c r="E130" s="28" t="s">
        <v>3225</v>
      </c>
      <c r="F130" s="6" t="s">
        <v>6068</v>
      </c>
      <c r="G130" s="28" t="s">
        <v>6026</v>
      </c>
      <c r="H130" s="6" t="s">
        <v>6076</v>
      </c>
      <c r="I130" s="195" t="s">
        <v>6028</v>
      </c>
      <c r="J130" s="195" t="s">
        <v>635</v>
      </c>
    </row>
    <row r="131" customFormat="false" ht="54.75" hidden="false" customHeight="true" outlineLevel="0" collapsed="false">
      <c r="A131" s="28" t="s">
        <v>4507</v>
      </c>
      <c r="B131" s="28" t="s">
        <v>6022</v>
      </c>
      <c r="C131" s="6" t="s">
        <v>6077</v>
      </c>
      <c r="D131" s="6" t="s">
        <v>6078</v>
      </c>
      <c r="E131" s="28" t="s">
        <v>3225</v>
      </c>
      <c r="F131" s="6" t="s">
        <v>6025</v>
      </c>
      <c r="G131" s="28" t="s">
        <v>6026</v>
      </c>
      <c r="H131" s="6" t="s">
        <v>6079</v>
      </c>
      <c r="I131" s="195" t="s">
        <v>6080</v>
      </c>
      <c r="J131" s="195" t="s">
        <v>635</v>
      </c>
    </row>
    <row r="132" customFormat="false" ht="86.25" hidden="false" customHeight="true" outlineLevel="0" collapsed="false">
      <c r="A132" s="28" t="s">
        <v>6081</v>
      </c>
      <c r="B132" s="28" t="s">
        <v>6082</v>
      </c>
      <c r="C132" s="6" t="s">
        <v>6083</v>
      </c>
      <c r="D132" s="6" t="s">
        <v>6084</v>
      </c>
      <c r="E132" s="28" t="s">
        <v>3225</v>
      </c>
      <c r="F132" s="6" t="s">
        <v>6085</v>
      </c>
      <c r="G132" s="28" t="s">
        <v>6086</v>
      </c>
      <c r="H132" s="6" t="s">
        <v>6087</v>
      </c>
      <c r="I132" s="195" t="s">
        <v>6088</v>
      </c>
      <c r="J132" s="195" t="s">
        <v>635</v>
      </c>
    </row>
    <row r="133" customFormat="false" ht="57.75" hidden="false" customHeight="true" outlineLevel="0" collapsed="false">
      <c r="A133" s="28" t="s">
        <v>6089</v>
      </c>
      <c r="B133" s="28" t="s">
        <v>6082</v>
      </c>
      <c r="C133" s="6" t="s">
        <v>6090</v>
      </c>
      <c r="D133" s="6" t="s">
        <v>6091</v>
      </c>
      <c r="E133" s="28" t="s">
        <v>3225</v>
      </c>
      <c r="F133" s="6" t="s">
        <v>6085</v>
      </c>
      <c r="G133" s="28" t="s">
        <v>6086</v>
      </c>
      <c r="H133" s="6" t="s">
        <v>6092</v>
      </c>
      <c r="I133" s="195" t="s">
        <v>6093</v>
      </c>
      <c r="J133" s="195" t="s">
        <v>635</v>
      </c>
    </row>
    <row r="134" customFormat="false" ht="57.75" hidden="false" customHeight="true" outlineLevel="0" collapsed="false">
      <c r="A134" s="28" t="s">
        <v>6094</v>
      </c>
      <c r="B134" s="28" t="s">
        <v>6082</v>
      </c>
      <c r="C134" s="6" t="s">
        <v>6095</v>
      </c>
      <c r="D134" s="6" t="s">
        <v>6096</v>
      </c>
      <c r="E134" s="28" t="s">
        <v>3225</v>
      </c>
      <c r="F134" s="6" t="s">
        <v>6085</v>
      </c>
      <c r="G134" s="28" t="s">
        <v>6086</v>
      </c>
      <c r="H134" s="6" t="s">
        <v>6097</v>
      </c>
      <c r="I134" s="195" t="s">
        <v>6098</v>
      </c>
      <c r="J134" s="195" t="s">
        <v>635</v>
      </c>
    </row>
    <row r="135" customFormat="false" ht="72" hidden="false" customHeight="true" outlineLevel="0" collapsed="false">
      <c r="A135" s="28" t="s">
        <v>3945</v>
      </c>
      <c r="B135" s="28" t="s">
        <v>6099</v>
      </c>
      <c r="C135" s="6" t="s">
        <v>6100</v>
      </c>
      <c r="D135" s="6" t="s">
        <v>6101</v>
      </c>
      <c r="E135" s="28" t="s">
        <v>3225</v>
      </c>
      <c r="F135" s="6" t="s">
        <v>6102</v>
      </c>
      <c r="G135" s="28" t="s">
        <v>6103</v>
      </c>
      <c r="H135" s="6" t="s">
        <v>6104</v>
      </c>
      <c r="I135" s="195" t="s">
        <v>6105</v>
      </c>
      <c r="J135" s="195" t="s">
        <v>635</v>
      </c>
    </row>
    <row r="136" customFormat="false" ht="72" hidden="false" customHeight="true" outlineLevel="0" collapsed="false">
      <c r="A136" s="28" t="s">
        <v>3808</v>
      </c>
      <c r="B136" s="28" t="s">
        <v>6099</v>
      </c>
      <c r="C136" s="6" t="s">
        <v>6106</v>
      </c>
      <c r="D136" s="6" t="s">
        <v>6107</v>
      </c>
      <c r="E136" s="28" t="s">
        <v>3225</v>
      </c>
      <c r="F136" s="6" t="s">
        <v>6102</v>
      </c>
      <c r="G136" s="28" t="s">
        <v>6103</v>
      </c>
      <c r="H136" s="6" t="s">
        <v>6108</v>
      </c>
      <c r="I136" s="195" t="s">
        <v>6109</v>
      </c>
      <c r="J136" s="195" t="s">
        <v>635</v>
      </c>
    </row>
    <row r="137" customFormat="false" ht="43.5" hidden="false" customHeight="true" outlineLevel="0" collapsed="false">
      <c r="A137" s="28" t="s">
        <v>5395</v>
      </c>
      <c r="B137" s="28" t="s">
        <v>6099</v>
      </c>
      <c r="C137" s="6" t="s">
        <v>6110</v>
      </c>
      <c r="D137" s="6" t="s">
        <v>6111</v>
      </c>
      <c r="E137" s="28" t="s">
        <v>3225</v>
      </c>
      <c r="F137" s="6" t="s">
        <v>6102</v>
      </c>
      <c r="G137" s="28" t="s">
        <v>6103</v>
      </c>
      <c r="H137" s="6" t="s">
        <v>6112</v>
      </c>
      <c r="I137" s="195" t="s">
        <v>6109</v>
      </c>
      <c r="J137" s="195" t="s">
        <v>635</v>
      </c>
    </row>
    <row r="138" customFormat="false" ht="57.75" hidden="false" customHeight="true" outlineLevel="0" collapsed="false">
      <c r="A138" s="28" t="s">
        <v>6113</v>
      </c>
      <c r="B138" s="28" t="s">
        <v>6099</v>
      </c>
      <c r="C138" s="6" t="s">
        <v>6114</v>
      </c>
      <c r="D138" s="6" t="s">
        <v>6115</v>
      </c>
      <c r="E138" s="28" t="s">
        <v>3225</v>
      </c>
      <c r="F138" s="6" t="s">
        <v>6102</v>
      </c>
      <c r="G138" s="28" t="s">
        <v>6103</v>
      </c>
      <c r="H138" s="6" t="s">
        <v>6116</v>
      </c>
      <c r="I138" s="195" t="s">
        <v>6117</v>
      </c>
      <c r="J138" s="195" t="s">
        <v>635</v>
      </c>
    </row>
    <row r="139" customFormat="false" ht="57.75" hidden="false" customHeight="true" outlineLevel="0" collapsed="false">
      <c r="A139" s="28" t="s">
        <v>6118</v>
      </c>
      <c r="B139" s="28" t="s">
        <v>6099</v>
      </c>
      <c r="C139" s="6" t="s">
        <v>6119</v>
      </c>
      <c r="D139" s="225" t="s">
        <v>6120</v>
      </c>
      <c r="E139" s="28" t="s">
        <v>3225</v>
      </c>
      <c r="F139" s="6" t="s">
        <v>6102</v>
      </c>
      <c r="G139" s="28" t="s">
        <v>6103</v>
      </c>
      <c r="H139" s="6" t="s">
        <v>6121</v>
      </c>
      <c r="I139" s="195" t="s">
        <v>6122</v>
      </c>
      <c r="J139" s="195" t="s">
        <v>635</v>
      </c>
    </row>
    <row r="140" customFormat="false" ht="143.25" hidden="false" customHeight="true" outlineLevel="0" collapsed="false">
      <c r="A140" s="28" t="s">
        <v>5424</v>
      </c>
      <c r="B140" s="28" t="s">
        <v>6123</v>
      </c>
      <c r="C140" s="6" t="s">
        <v>6124</v>
      </c>
      <c r="D140" s="6" t="s">
        <v>6125</v>
      </c>
      <c r="E140" s="28" t="s">
        <v>6126</v>
      </c>
      <c r="F140" s="6" t="s">
        <v>6127</v>
      </c>
      <c r="G140" s="28" t="s">
        <v>6128</v>
      </c>
      <c r="H140" s="6" t="s">
        <v>6129</v>
      </c>
      <c r="I140" s="195" t="s">
        <v>6130</v>
      </c>
      <c r="J140" s="195" t="s">
        <v>635</v>
      </c>
    </row>
    <row r="141" customFormat="false" ht="143.25" hidden="false" customHeight="true" outlineLevel="0" collapsed="false">
      <c r="A141" s="28" t="s">
        <v>6131</v>
      </c>
      <c r="B141" s="28" t="s">
        <v>6123</v>
      </c>
      <c r="C141" s="6" t="s">
        <v>6132</v>
      </c>
      <c r="D141" s="225" t="s">
        <v>6133</v>
      </c>
      <c r="E141" s="28" t="s">
        <v>6126</v>
      </c>
      <c r="F141" s="6" t="s">
        <v>6127</v>
      </c>
      <c r="G141" s="28" t="s">
        <v>6128</v>
      </c>
      <c r="H141" s="6" t="s">
        <v>6134</v>
      </c>
      <c r="I141" s="195" t="s">
        <v>6135</v>
      </c>
      <c r="J141" s="195" t="s">
        <v>635</v>
      </c>
    </row>
    <row r="142" customFormat="false" ht="143.25" hidden="false" customHeight="true" outlineLevel="0" collapsed="false">
      <c r="A142" s="28" t="s">
        <v>6136</v>
      </c>
      <c r="B142" s="28" t="s">
        <v>6123</v>
      </c>
      <c r="C142" s="6" t="s">
        <v>6137</v>
      </c>
      <c r="D142" s="6" t="s">
        <v>6138</v>
      </c>
      <c r="E142" s="28" t="s">
        <v>6126</v>
      </c>
      <c r="F142" s="6" t="s">
        <v>6127</v>
      </c>
      <c r="G142" s="28" t="s">
        <v>6128</v>
      </c>
      <c r="H142" s="6" t="s">
        <v>6139</v>
      </c>
      <c r="I142" s="195" t="s">
        <v>6140</v>
      </c>
      <c r="J142" s="195" t="s">
        <v>635</v>
      </c>
    </row>
    <row r="143" customFormat="false" ht="143.25" hidden="false" customHeight="true" outlineLevel="0" collapsed="false">
      <c r="A143" s="28" t="s">
        <v>6141</v>
      </c>
      <c r="B143" s="28" t="s">
        <v>6123</v>
      </c>
      <c r="C143" s="6" t="s">
        <v>6142</v>
      </c>
      <c r="D143" s="225" t="s">
        <v>6143</v>
      </c>
      <c r="E143" s="28" t="s">
        <v>6126</v>
      </c>
      <c r="F143" s="6" t="s">
        <v>6127</v>
      </c>
      <c r="G143" s="28" t="s">
        <v>6128</v>
      </c>
      <c r="H143" s="225" t="s">
        <v>6144</v>
      </c>
      <c r="I143" s="195" t="s">
        <v>6145</v>
      </c>
      <c r="J143" s="195" t="s">
        <v>635</v>
      </c>
    </row>
    <row r="144" customFormat="false" ht="143.25" hidden="false" customHeight="true" outlineLevel="0" collapsed="false">
      <c r="A144" s="28" t="s">
        <v>6146</v>
      </c>
      <c r="B144" s="28" t="s">
        <v>6123</v>
      </c>
      <c r="C144" s="6" t="s">
        <v>6147</v>
      </c>
      <c r="D144" s="225" t="s">
        <v>6148</v>
      </c>
      <c r="E144" s="28" t="s">
        <v>6126</v>
      </c>
      <c r="F144" s="6" t="s">
        <v>6127</v>
      </c>
      <c r="G144" s="28" t="s">
        <v>6128</v>
      </c>
      <c r="H144" s="6" t="s">
        <v>6149</v>
      </c>
      <c r="I144" s="195" t="s">
        <v>6135</v>
      </c>
      <c r="J144" s="195" t="s">
        <v>635</v>
      </c>
    </row>
    <row r="145" customFormat="false" ht="143.25" hidden="false" customHeight="true" outlineLevel="0" collapsed="false">
      <c r="A145" s="28" t="s">
        <v>6150</v>
      </c>
      <c r="B145" s="28" t="s">
        <v>6123</v>
      </c>
      <c r="C145" s="6" t="s">
        <v>6151</v>
      </c>
      <c r="D145" s="6" t="s">
        <v>6152</v>
      </c>
      <c r="E145" s="28" t="s">
        <v>6126</v>
      </c>
      <c r="F145" s="6" t="s">
        <v>6127</v>
      </c>
      <c r="G145" s="28" t="s">
        <v>6128</v>
      </c>
      <c r="H145" s="6" t="s">
        <v>6153</v>
      </c>
      <c r="I145" s="195" t="s">
        <v>6154</v>
      </c>
      <c r="J145" s="195" t="s">
        <v>635</v>
      </c>
    </row>
    <row r="146" customFormat="false" ht="143.25" hidden="false" customHeight="true" outlineLevel="0" collapsed="false">
      <c r="A146" s="28" t="s">
        <v>6155</v>
      </c>
      <c r="B146" s="28" t="s">
        <v>6156</v>
      </c>
      <c r="C146" s="6" t="s">
        <v>6157</v>
      </c>
      <c r="D146" s="225" t="s">
        <v>6158</v>
      </c>
      <c r="E146" s="28" t="s">
        <v>6159</v>
      </c>
      <c r="F146" s="6" t="s">
        <v>6160</v>
      </c>
      <c r="G146" s="28" t="s">
        <v>6161</v>
      </c>
      <c r="H146" s="6" t="s">
        <v>6162</v>
      </c>
      <c r="I146" s="195" t="s">
        <v>6163</v>
      </c>
      <c r="J146" s="195" t="s">
        <v>635</v>
      </c>
    </row>
    <row r="147" customFormat="false" ht="143.25" hidden="false" customHeight="true" outlineLevel="0" collapsed="false">
      <c r="A147" s="28" t="s">
        <v>6164</v>
      </c>
      <c r="B147" s="28" t="s">
        <v>6156</v>
      </c>
      <c r="C147" s="6" t="s">
        <v>6165</v>
      </c>
      <c r="D147" s="6" t="s">
        <v>6166</v>
      </c>
      <c r="E147" s="28" t="s">
        <v>6159</v>
      </c>
      <c r="F147" s="6" t="s">
        <v>6160</v>
      </c>
      <c r="G147" s="28" t="s">
        <v>6161</v>
      </c>
      <c r="H147" s="6" t="s">
        <v>6167</v>
      </c>
      <c r="I147" s="195" t="s">
        <v>6168</v>
      </c>
      <c r="J147" s="195" t="s">
        <v>635</v>
      </c>
    </row>
    <row r="148" customFormat="false" ht="143.25" hidden="false" customHeight="true" outlineLevel="0" collapsed="false">
      <c r="A148" s="28" t="s">
        <v>6169</v>
      </c>
      <c r="B148" s="28" t="s">
        <v>6156</v>
      </c>
      <c r="C148" s="6" t="s">
        <v>6170</v>
      </c>
      <c r="D148" s="6" t="s">
        <v>6171</v>
      </c>
      <c r="E148" s="28" t="s">
        <v>6159</v>
      </c>
      <c r="F148" s="6" t="s">
        <v>6160</v>
      </c>
      <c r="G148" s="28" t="s">
        <v>6161</v>
      </c>
      <c r="H148" s="6" t="s">
        <v>6172</v>
      </c>
      <c r="I148" s="195" t="s">
        <v>6168</v>
      </c>
      <c r="J148" s="195" t="s">
        <v>635</v>
      </c>
    </row>
    <row r="149" customFormat="false" ht="143.25" hidden="false" customHeight="true" outlineLevel="0" collapsed="false">
      <c r="A149" s="28" t="s">
        <v>6173</v>
      </c>
      <c r="B149" s="28" t="s">
        <v>6156</v>
      </c>
      <c r="C149" s="6" t="s">
        <v>6174</v>
      </c>
      <c r="D149" s="6" t="s">
        <v>6175</v>
      </c>
      <c r="E149" s="28" t="s">
        <v>6159</v>
      </c>
      <c r="F149" s="6" t="s">
        <v>6160</v>
      </c>
      <c r="G149" s="28" t="s">
        <v>6161</v>
      </c>
      <c r="H149" s="6" t="s">
        <v>6176</v>
      </c>
      <c r="I149" s="195" t="s">
        <v>6177</v>
      </c>
      <c r="J149" s="195" t="s">
        <v>635</v>
      </c>
    </row>
    <row r="150" customFormat="false" ht="143.25" hidden="false" customHeight="true" outlineLevel="0" collapsed="false">
      <c r="A150" s="28" t="s">
        <v>5444</v>
      </c>
      <c r="B150" s="28" t="s">
        <v>6156</v>
      </c>
      <c r="C150" s="6" t="s">
        <v>6178</v>
      </c>
      <c r="D150" s="225" t="s">
        <v>6179</v>
      </c>
      <c r="E150" s="28" t="s">
        <v>6159</v>
      </c>
      <c r="F150" s="6" t="s">
        <v>6160</v>
      </c>
      <c r="G150" s="28" t="s">
        <v>6161</v>
      </c>
      <c r="H150" s="6" t="s">
        <v>6180</v>
      </c>
      <c r="I150" s="195" t="s">
        <v>6181</v>
      </c>
      <c r="J150" s="195" t="s">
        <v>635</v>
      </c>
    </row>
    <row r="151" customFormat="false" ht="143.25" hidden="false" customHeight="true" outlineLevel="0" collapsed="false">
      <c r="A151" s="28" t="s">
        <v>6182</v>
      </c>
      <c r="B151" s="28" t="s">
        <v>6156</v>
      </c>
      <c r="C151" s="6" t="s">
        <v>6183</v>
      </c>
      <c r="D151" s="225" t="s">
        <v>6184</v>
      </c>
      <c r="E151" s="28" t="s">
        <v>6159</v>
      </c>
      <c r="F151" s="6" t="s">
        <v>6160</v>
      </c>
      <c r="G151" s="28" t="s">
        <v>6161</v>
      </c>
      <c r="H151" s="6" t="s">
        <v>6185</v>
      </c>
      <c r="I151" s="195" t="s">
        <v>6177</v>
      </c>
      <c r="J151" s="195" t="s">
        <v>635</v>
      </c>
    </row>
    <row r="152" customFormat="false" ht="143.25" hidden="false" customHeight="true" outlineLevel="0" collapsed="false">
      <c r="A152" s="28" t="s">
        <v>6186</v>
      </c>
      <c r="B152" s="28" t="s">
        <v>6156</v>
      </c>
      <c r="C152" s="6" t="s">
        <v>6187</v>
      </c>
      <c r="D152" s="6" t="s">
        <v>6188</v>
      </c>
      <c r="E152" s="28" t="s">
        <v>6159</v>
      </c>
      <c r="F152" s="6" t="s">
        <v>6160</v>
      </c>
      <c r="G152" s="28" t="s">
        <v>6161</v>
      </c>
      <c r="H152" s="6" t="s">
        <v>6189</v>
      </c>
      <c r="I152" s="195" t="s">
        <v>6177</v>
      </c>
      <c r="J152" s="195" t="s">
        <v>635</v>
      </c>
    </row>
    <row r="153" customFormat="false" ht="143.25" hidden="false" customHeight="true" outlineLevel="0" collapsed="false">
      <c r="A153" s="28" t="s">
        <v>6190</v>
      </c>
      <c r="B153" s="28" t="s">
        <v>6156</v>
      </c>
      <c r="C153" s="6" t="s">
        <v>6191</v>
      </c>
      <c r="D153" s="6" t="s">
        <v>6192</v>
      </c>
      <c r="E153" s="28" t="s">
        <v>6159</v>
      </c>
      <c r="F153" s="6" t="s">
        <v>6160</v>
      </c>
      <c r="G153" s="28" t="s">
        <v>6161</v>
      </c>
      <c r="H153" s="6" t="s">
        <v>6193</v>
      </c>
      <c r="I153" s="195" t="s">
        <v>6194</v>
      </c>
      <c r="J153" s="195" t="s">
        <v>635</v>
      </c>
    </row>
    <row r="154" customFormat="false" ht="199.5" hidden="false" customHeight="true" outlineLevel="0" collapsed="false">
      <c r="A154" s="28" t="s">
        <v>6195</v>
      </c>
      <c r="B154" s="28" t="s">
        <v>6196</v>
      </c>
      <c r="C154" s="6" t="s">
        <v>6197</v>
      </c>
      <c r="D154" s="6" t="s">
        <v>6198</v>
      </c>
      <c r="E154" s="28" t="s">
        <v>6199</v>
      </c>
      <c r="F154" s="6" t="s">
        <v>6200</v>
      </c>
      <c r="G154" s="28" t="s">
        <v>6201</v>
      </c>
      <c r="H154" s="6" t="s">
        <v>6202</v>
      </c>
      <c r="I154" s="195" t="s">
        <v>6203</v>
      </c>
      <c r="J154" s="195" t="s">
        <v>635</v>
      </c>
    </row>
    <row r="155" customFormat="false" ht="199.5" hidden="false" customHeight="true" outlineLevel="0" collapsed="false">
      <c r="A155" s="28" t="s">
        <v>6204</v>
      </c>
      <c r="B155" s="28" t="s">
        <v>6196</v>
      </c>
      <c r="C155" s="6" t="s">
        <v>6205</v>
      </c>
      <c r="D155" s="225" t="s">
        <v>6206</v>
      </c>
      <c r="E155" s="28" t="s">
        <v>6199</v>
      </c>
      <c r="F155" s="6" t="s">
        <v>6200</v>
      </c>
      <c r="G155" s="28" t="s">
        <v>6201</v>
      </c>
      <c r="H155" s="6" t="s">
        <v>6207</v>
      </c>
      <c r="I155" s="195" t="s">
        <v>6208</v>
      </c>
      <c r="J155" s="195" t="s">
        <v>635</v>
      </c>
    </row>
    <row r="156" customFormat="false" ht="199.5" hidden="false" customHeight="true" outlineLevel="0" collapsed="false">
      <c r="A156" s="28" t="s">
        <v>5480</v>
      </c>
      <c r="B156" s="28" t="s">
        <v>6196</v>
      </c>
      <c r="C156" s="6" t="s">
        <v>6209</v>
      </c>
      <c r="D156" s="6" t="s">
        <v>6210</v>
      </c>
      <c r="E156" s="28" t="s">
        <v>6199</v>
      </c>
      <c r="F156" s="6" t="s">
        <v>6200</v>
      </c>
      <c r="G156" s="28" t="s">
        <v>6201</v>
      </c>
      <c r="H156" s="6" t="s">
        <v>6211</v>
      </c>
      <c r="I156" s="195" t="s">
        <v>6212</v>
      </c>
      <c r="J156" s="195" t="s">
        <v>635</v>
      </c>
    </row>
    <row r="157" customFormat="false" ht="199.5" hidden="false" customHeight="true" outlineLevel="0" collapsed="false">
      <c r="A157" s="28" t="s">
        <v>5455</v>
      </c>
      <c r="B157" s="28" t="s">
        <v>6196</v>
      </c>
      <c r="C157" s="6" t="s">
        <v>6213</v>
      </c>
      <c r="D157" s="6" t="s">
        <v>6214</v>
      </c>
      <c r="E157" s="28" t="s">
        <v>6199</v>
      </c>
      <c r="F157" s="6" t="s">
        <v>6200</v>
      </c>
      <c r="G157" s="28" t="s">
        <v>6201</v>
      </c>
      <c r="H157" s="6" t="s">
        <v>6215</v>
      </c>
      <c r="I157" s="195" t="s">
        <v>6216</v>
      </c>
      <c r="J157" s="195" t="s">
        <v>635</v>
      </c>
    </row>
    <row r="158" customFormat="false" ht="199.5" hidden="false" customHeight="true" outlineLevel="0" collapsed="false">
      <c r="A158" s="28" t="s">
        <v>5464</v>
      </c>
      <c r="B158" s="28" t="s">
        <v>6196</v>
      </c>
      <c r="C158" s="6" t="s">
        <v>6217</v>
      </c>
      <c r="D158" s="225" t="s">
        <v>6218</v>
      </c>
      <c r="E158" s="28" t="s">
        <v>6199</v>
      </c>
      <c r="F158" s="6" t="s">
        <v>6200</v>
      </c>
      <c r="G158" s="28" t="s">
        <v>6201</v>
      </c>
      <c r="H158" s="6" t="s">
        <v>6219</v>
      </c>
      <c r="I158" s="195" t="s">
        <v>6220</v>
      </c>
      <c r="J158" s="195" t="s">
        <v>635</v>
      </c>
    </row>
    <row r="159" customFormat="false" ht="199.5" hidden="false" customHeight="true" outlineLevel="0" collapsed="false">
      <c r="A159" s="28" t="s">
        <v>6221</v>
      </c>
      <c r="B159" s="28" t="s">
        <v>6196</v>
      </c>
      <c r="C159" s="6" t="s">
        <v>6222</v>
      </c>
      <c r="D159" s="225" t="s">
        <v>6223</v>
      </c>
      <c r="E159" s="28" t="s">
        <v>6199</v>
      </c>
      <c r="F159" s="6" t="s">
        <v>6200</v>
      </c>
      <c r="G159" s="28" t="s">
        <v>6201</v>
      </c>
      <c r="H159" s="6" t="s">
        <v>6224</v>
      </c>
      <c r="I159" s="195" t="s">
        <v>6225</v>
      </c>
      <c r="J159" s="195" t="s">
        <v>635</v>
      </c>
    </row>
    <row r="160" customFormat="false" ht="199.5" hidden="false" customHeight="true" outlineLevel="0" collapsed="false">
      <c r="A160" s="28" t="s">
        <v>6226</v>
      </c>
      <c r="B160" s="28" t="s">
        <v>6196</v>
      </c>
      <c r="C160" s="6" t="s">
        <v>6227</v>
      </c>
      <c r="D160" s="225" t="s">
        <v>6228</v>
      </c>
      <c r="E160" s="28" t="s">
        <v>6199</v>
      </c>
      <c r="F160" s="6" t="s">
        <v>6200</v>
      </c>
      <c r="G160" s="28" t="s">
        <v>6201</v>
      </c>
      <c r="H160" s="6" t="s">
        <v>6229</v>
      </c>
      <c r="I160" s="195" t="s">
        <v>6220</v>
      </c>
      <c r="J160" s="195" t="s">
        <v>635</v>
      </c>
    </row>
    <row r="161" customFormat="false" ht="129.1" hidden="false" customHeight="false" outlineLevel="0" collapsed="false">
      <c r="A161" s="59" t="s">
        <v>5547</v>
      </c>
      <c r="B161" s="59" t="s">
        <v>6230</v>
      </c>
      <c r="C161" s="6" t="s">
        <v>6231</v>
      </c>
      <c r="D161" s="5" t="s">
        <v>6232</v>
      </c>
      <c r="E161" s="59" t="s">
        <v>6199</v>
      </c>
      <c r="F161" s="6" t="s">
        <v>6233</v>
      </c>
      <c r="G161" s="59" t="s">
        <v>6234</v>
      </c>
      <c r="H161" s="6" t="s">
        <v>6235</v>
      </c>
      <c r="I161" s="58" t="s">
        <v>6236</v>
      </c>
      <c r="J161" s="58" t="s">
        <v>635</v>
      </c>
    </row>
    <row r="162" customFormat="false" ht="129.1" hidden="false" customHeight="false" outlineLevel="0" collapsed="false">
      <c r="A162" s="59" t="s">
        <v>5572</v>
      </c>
      <c r="B162" s="59" t="s">
        <v>6230</v>
      </c>
      <c r="C162" s="6" t="s">
        <v>6237</v>
      </c>
      <c r="D162" s="6" t="s">
        <v>6238</v>
      </c>
      <c r="E162" s="59" t="s">
        <v>6199</v>
      </c>
      <c r="F162" s="6" t="s">
        <v>6233</v>
      </c>
      <c r="G162" s="59" t="s">
        <v>6234</v>
      </c>
      <c r="H162" s="6" t="s">
        <v>6239</v>
      </c>
      <c r="I162" s="58" t="s">
        <v>6240</v>
      </c>
      <c r="J162" s="58" t="s">
        <v>635</v>
      </c>
    </row>
    <row r="163" customFormat="false" ht="143.25" hidden="false" customHeight="false" outlineLevel="0" collapsed="false">
      <c r="A163" s="59" t="s">
        <v>6241</v>
      </c>
      <c r="B163" s="59" t="s">
        <v>6230</v>
      </c>
      <c r="C163" s="6" t="s">
        <v>6242</v>
      </c>
      <c r="D163" s="6" t="s">
        <v>6243</v>
      </c>
      <c r="E163" s="59" t="s">
        <v>6199</v>
      </c>
      <c r="F163" s="6" t="s">
        <v>6233</v>
      </c>
      <c r="G163" s="59" t="s">
        <v>6234</v>
      </c>
      <c r="H163" s="6" t="s">
        <v>6244</v>
      </c>
      <c r="I163" s="58" t="s">
        <v>6245</v>
      </c>
      <c r="J163" s="58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6246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H4" s="81" t="s">
        <v>6266</v>
      </c>
    </row>
    <row r="5" customFormat="false" ht="29.25" hidden="false" customHeight="true" outlineLevel="0" collapsed="false">
      <c r="A5" s="28" t="s">
        <v>3907</v>
      </c>
      <c r="B5" s="6" t="s">
        <v>6267</v>
      </c>
      <c r="C5" s="223" t="n">
        <v>10.2</v>
      </c>
      <c r="D5" s="221"/>
      <c r="E5" s="221"/>
      <c r="F5" s="28" t="s">
        <v>6268</v>
      </c>
      <c r="G5" s="221" t="s">
        <v>6269</v>
      </c>
      <c r="H5" s="28" t="s">
        <v>6270</v>
      </c>
      <c r="I5" s="28" t="s">
        <v>6271</v>
      </c>
      <c r="J5" s="6" t="s">
        <v>6272</v>
      </c>
      <c r="K5" s="221" t="n">
        <v>1</v>
      </c>
      <c r="L5" s="221" t="s">
        <v>6273</v>
      </c>
      <c r="M5" s="6" t="s">
        <v>6274</v>
      </c>
      <c r="N5" s="221" t="s">
        <v>6275</v>
      </c>
      <c r="O5" s="28" t="s">
        <v>6276</v>
      </c>
      <c r="P5" s="28" t="s">
        <v>604</v>
      </c>
      <c r="Q5" s="28" t="s">
        <v>6277</v>
      </c>
      <c r="R5" s="28" t="s">
        <v>604</v>
      </c>
      <c r="S5" s="28" t="s">
        <v>5889</v>
      </c>
      <c r="T5" s="28" t="s">
        <v>604</v>
      </c>
      <c r="U5" s="28" t="s">
        <v>5885</v>
      </c>
      <c r="V5" s="6" t="s">
        <v>6278</v>
      </c>
      <c r="W5" s="6" t="s">
        <v>6279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6280</v>
      </c>
      <c r="B6" s="6" t="s">
        <v>6281</v>
      </c>
      <c r="C6" s="223" t="n">
        <v>30000</v>
      </c>
      <c r="D6" s="221"/>
      <c r="E6" s="221"/>
      <c r="F6" s="28" t="s">
        <v>106</v>
      </c>
      <c r="G6" s="221" t="s">
        <v>6282</v>
      </c>
      <c r="H6" s="28" t="s">
        <v>162</v>
      </c>
      <c r="I6" s="28" t="s">
        <v>6283</v>
      </c>
      <c r="J6" s="6" t="s">
        <v>6284</v>
      </c>
      <c r="K6" s="221" t="n">
        <v>3</v>
      </c>
      <c r="L6" s="221" t="s">
        <v>6273</v>
      </c>
      <c r="M6" s="6" t="s">
        <v>6285</v>
      </c>
      <c r="N6" s="221" t="s">
        <v>6286</v>
      </c>
      <c r="O6" s="28" t="s">
        <v>6276</v>
      </c>
      <c r="P6" s="28" t="s">
        <v>604</v>
      </c>
      <c r="Q6" s="28" t="s">
        <v>6287</v>
      </c>
      <c r="R6" s="28" t="s">
        <v>604</v>
      </c>
      <c r="S6" s="28" t="s">
        <v>604</v>
      </c>
      <c r="T6" s="28" t="s">
        <v>604</v>
      </c>
      <c r="U6" s="28" t="s">
        <v>5894</v>
      </c>
      <c r="V6" s="6" t="s">
        <v>604</v>
      </c>
      <c r="W6" s="6" t="s">
        <v>604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3937</v>
      </c>
      <c r="B7" s="6" t="s">
        <v>6288</v>
      </c>
      <c r="C7" s="221"/>
      <c r="D7" s="223" t="n">
        <v>220000</v>
      </c>
      <c r="E7" s="223" t="n">
        <v>320000</v>
      </c>
      <c r="F7" s="28" t="s">
        <v>6289</v>
      </c>
      <c r="G7" s="221" t="s">
        <v>6290</v>
      </c>
      <c r="H7" s="28" t="s">
        <v>162</v>
      </c>
      <c r="I7" s="28" t="s">
        <v>6283</v>
      </c>
      <c r="J7" s="6" t="s">
        <v>6284</v>
      </c>
      <c r="K7" s="221" t="n">
        <v>2</v>
      </c>
      <c r="L7" s="221" t="s">
        <v>6273</v>
      </c>
      <c r="M7" s="6" t="s">
        <v>6285</v>
      </c>
      <c r="N7" s="221" t="s">
        <v>6286</v>
      </c>
      <c r="O7" s="28" t="s">
        <v>6276</v>
      </c>
      <c r="P7" s="28" t="s">
        <v>604</v>
      </c>
      <c r="Q7" s="28" t="s">
        <v>6291</v>
      </c>
      <c r="R7" s="28" t="s">
        <v>604</v>
      </c>
      <c r="S7" s="28" t="s">
        <v>5889</v>
      </c>
      <c r="T7" s="28" t="s">
        <v>604</v>
      </c>
      <c r="U7" s="28" t="s">
        <v>5894</v>
      </c>
      <c r="V7" s="6" t="s">
        <v>6292</v>
      </c>
      <c r="W7" s="6" t="s">
        <v>6293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3895</v>
      </c>
      <c r="B8" s="6" t="s">
        <v>6294</v>
      </c>
      <c r="C8" s="221"/>
      <c r="D8" s="223" t="n">
        <v>120</v>
      </c>
      <c r="E8" s="223" t="n">
        <v>132</v>
      </c>
      <c r="F8" s="28" t="s">
        <v>6295</v>
      </c>
      <c r="G8" s="221" t="s">
        <v>6296</v>
      </c>
      <c r="H8" s="28" t="s">
        <v>163</v>
      </c>
      <c r="I8" s="28" t="s">
        <v>6297</v>
      </c>
      <c r="J8" s="6" t="s">
        <v>6298</v>
      </c>
      <c r="K8" s="221" t="n">
        <v>1</v>
      </c>
      <c r="L8" s="221" t="s">
        <v>6273</v>
      </c>
      <c r="M8" s="6" t="s">
        <v>6299</v>
      </c>
      <c r="N8" s="221" t="s">
        <v>6275</v>
      </c>
      <c r="O8" s="28" t="s">
        <v>6276</v>
      </c>
      <c r="P8" s="28" t="s">
        <v>604</v>
      </c>
      <c r="Q8" s="28" t="s">
        <v>6300</v>
      </c>
      <c r="R8" s="28" t="s">
        <v>604</v>
      </c>
      <c r="S8" s="28" t="s">
        <v>5889</v>
      </c>
      <c r="T8" s="28" t="s">
        <v>604</v>
      </c>
      <c r="U8" s="28" t="s">
        <v>6301</v>
      </c>
      <c r="V8" s="6" t="s">
        <v>6302</v>
      </c>
      <c r="W8" s="19" t="s">
        <v>6303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3897</v>
      </c>
      <c r="B9" s="6" t="s">
        <v>6304</v>
      </c>
      <c r="C9" s="221"/>
      <c r="D9" s="223" t="n">
        <v>132</v>
      </c>
      <c r="E9" s="223" t="n">
        <v>140</v>
      </c>
      <c r="F9" s="28" t="s">
        <v>6295</v>
      </c>
      <c r="G9" s="221" t="s">
        <v>6305</v>
      </c>
      <c r="H9" s="28" t="s">
        <v>164</v>
      </c>
      <c r="I9" s="28" t="s">
        <v>6297</v>
      </c>
      <c r="J9" s="6" t="s">
        <v>6306</v>
      </c>
      <c r="K9" s="221" t="n">
        <v>2</v>
      </c>
      <c r="L9" s="221" t="s">
        <v>6273</v>
      </c>
      <c r="M9" s="6" t="s">
        <v>6299</v>
      </c>
      <c r="N9" s="221" t="s">
        <v>6286</v>
      </c>
      <c r="O9" s="28" t="s">
        <v>6276</v>
      </c>
      <c r="P9" s="28" t="s">
        <v>604</v>
      </c>
      <c r="Q9" s="28" t="s">
        <v>6307</v>
      </c>
      <c r="R9" s="28" t="s">
        <v>604</v>
      </c>
      <c r="S9" s="28" t="s">
        <v>5889</v>
      </c>
      <c r="T9" s="28" t="s">
        <v>604</v>
      </c>
      <c r="U9" s="28" t="s">
        <v>6301</v>
      </c>
      <c r="V9" s="6" t="s">
        <v>6308</v>
      </c>
      <c r="W9" s="19" t="s">
        <v>6309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3941</v>
      </c>
      <c r="B10" s="6" t="s">
        <v>6310</v>
      </c>
      <c r="C10" s="221"/>
      <c r="D10" s="223" t="n">
        <v>2.8</v>
      </c>
      <c r="E10" s="223" t="n">
        <v>3.4</v>
      </c>
      <c r="F10" s="28" t="s">
        <v>6311</v>
      </c>
      <c r="G10" s="221" t="s">
        <v>6312</v>
      </c>
      <c r="H10" s="28" t="s">
        <v>163</v>
      </c>
      <c r="I10" s="28" t="s">
        <v>6313</v>
      </c>
      <c r="J10" s="6" t="s">
        <v>6314</v>
      </c>
      <c r="K10" s="221" t="n">
        <v>2</v>
      </c>
      <c r="L10" s="221" t="s">
        <v>6273</v>
      </c>
      <c r="M10" s="19" t="s">
        <v>6315</v>
      </c>
      <c r="N10" s="221" t="s">
        <v>6286</v>
      </c>
      <c r="O10" s="28" t="s">
        <v>6276</v>
      </c>
      <c r="P10" s="28" t="s">
        <v>604</v>
      </c>
      <c r="Q10" s="28" t="s">
        <v>6316</v>
      </c>
      <c r="R10" s="28" t="s">
        <v>604</v>
      </c>
      <c r="S10" s="28" t="s">
        <v>5889</v>
      </c>
      <c r="T10" s="28" t="s">
        <v>604</v>
      </c>
      <c r="U10" s="28" t="s">
        <v>6317</v>
      </c>
      <c r="V10" s="6" t="s">
        <v>6318</v>
      </c>
      <c r="W10" s="19" t="s">
        <v>6319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6320</v>
      </c>
      <c r="B11" s="6" t="s">
        <v>6321</v>
      </c>
      <c r="C11" s="221"/>
      <c r="D11" s="223" t="n">
        <v>6</v>
      </c>
      <c r="E11" s="223" t="n">
        <v>6.5</v>
      </c>
      <c r="F11" s="28" t="s">
        <v>6311</v>
      </c>
      <c r="G11" s="221" t="s">
        <v>6312</v>
      </c>
      <c r="H11" s="28" t="s">
        <v>164</v>
      </c>
      <c r="I11" s="28" t="s">
        <v>6313</v>
      </c>
      <c r="J11" s="6" t="s">
        <v>6314</v>
      </c>
      <c r="K11" s="221" t="n">
        <v>3</v>
      </c>
      <c r="L11" s="221" t="s">
        <v>6273</v>
      </c>
      <c r="M11" s="19" t="s">
        <v>6315</v>
      </c>
      <c r="N11" s="221" t="s">
        <v>6286</v>
      </c>
      <c r="O11" s="28" t="s">
        <v>6322</v>
      </c>
      <c r="P11" s="28" t="s">
        <v>604</v>
      </c>
      <c r="Q11" s="28" t="s">
        <v>6323</v>
      </c>
      <c r="R11" s="28" t="s">
        <v>604</v>
      </c>
      <c r="S11" s="28" t="s">
        <v>604</v>
      </c>
      <c r="T11" s="28" t="s">
        <v>604</v>
      </c>
      <c r="U11" s="28" t="s">
        <v>6317</v>
      </c>
      <c r="V11" s="225" t="s">
        <v>6324</v>
      </c>
      <c r="W11" s="6" t="s">
        <v>6325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6326</v>
      </c>
      <c r="B12" s="6" t="s">
        <v>6327</v>
      </c>
      <c r="C12" s="221"/>
      <c r="D12" s="223" t="n">
        <v>5</v>
      </c>
      <c r="E12" s="223" t="n">
        <v>7</v>
      </c>
      <c r="F12" s="28" t="s">
        <v>6311</v>
      </c>
      <c r="G12" s="221" t="s">
        <v>6312</v>
      </c>
      <c r="H12" s="28" t="s">
        <v>165</v>
      </c>
      <c r="I12" s="28" t="s">
        <v>6313</v>
      </c>
      <c r="J12" s="6" t="s">
        <v>6314</v>
      </c>
      <c r="K12" s="221" t="n">
        <v>3</v>
      </c>
      <c r="L12" s="221" t="s">
        <v>6273</v>
      </c>
      <c r="M12" s="19" t="s">
        <v>6315</v>
      </c>
      <c r="N12" s="221" t="s">
        <v>6286</v>
      </c>
      <c r="O12" s="28" t="s">
        <v>6322</v>
      </c>
      <c r="P12" s="28" t="s">
        <v>604</v>
      </c>
      <c r="Q12" s="28" t="s">
        <v>6328</v>
      </c>
      <c r="R12" s="28" t="s">
        <v>604</v>
      </c>
      <c r="S12" s="28" t="s">
        <v>604</v>
      </c>
      <c r="T12" s="28" t="s">
        <v>604</v>
      </c>
      <c r="U12" s="28" t="s">
        <v>6317</v>
      </c>
      <c r="V12" s="6" t="s">
        <v>604</v>
      </c>
      <c r="W12" s="19" t="s">
        <v>6329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6330</v>
      </c>
      <c r="B13" s="6" t="s">
        <v>6331</v>
      </c>
      <c r="C13" s="221"/>
      <c r="D13" s="223" t="n">
        <v>132</v>
      </c>
      <c r="E13" s="223" t="n">
        <v>140</v>
      </c>
      <c r="F13" s="28" t="s">
        <v>6295</v>
      </c>
      <c r="G13" s="221" t="s">
        <v>6332</v>
      </c>
      <c r="H13" s="28" t="s">
        <v>164</v>
      </c>
      <c r="I13" s="28" t="s">
        <v>1210</v>
      </c>
      <c r="J13" s="6" t="s">
        <v>6333</v>
      </c>
      <c r="K13" s="221" t="n">
        <v>3</v>
      </c>
      <c r="L13" s="221" t="s">
        <v>6273</v>
      </c>
      <c r="M13" s="6" t="s">
        <v>6334</v>
      </c>
      <c r="N13" s="221" t="s">
        <v>6286</v>
      </c>
      <c r="O13" s="28" t="s">
        <v>6276</v>
      </c>
      <c r="P13" s="28" t="s">
        <v>604</v>
      </c>
      <c r="Q13" s="28" t="s">
        <v>6335</v>
      </c>
      <c r="R13" s="28" t="s">
        <v>604</v>
      </c>
      <c r="S13" s="28" t="s">
        <v>604</v>
      </c>
      <c r="T13" s="28" t="s">
        <v>604</v>
      </c>
      <c r="U13" s="28" t="s">
        <v>6336</v>
      </c>
      <c r="V13" s="6" t="s">
        <v>6337</v>
      </c>
      <c r="W13" s="6" t="s">
        <v>604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3982</v>
      </c>
      <c r="B14" s="6" t="s">
        <v>6338</v>
      </c>
      <c r="C14" s="223" t="n">
        <v>5</v>
      </c>
      <c r="D14" s="221"/>
      <c r="E14" s="221"/>
      <c r="F14" s="28" t="s">
        <v>6311</v>
      </c>
      <c r="G14" s="221" t="s">
        <v>6339</v>
      </c>
      <c r="H14" s="28" t="s">
        <v>164</v>
      </c>
      <c r="I14" s="28" t="s">
        <v>1210</v>
      </c>
      <c r="J14" s="6" t="s">
        <v>6340</v>
      </c>
      <c r="K14" s="221" t="n">
        <v>2</v>
      </c>
      <c r="L14" s="221" t="s">
        <v>6273</v>
      </c>
      <c r="M14" s="19" t="s">
        <v>6341</v>
      </c>
      <c r="N14" s="221" t="s">
        <v>6286</v>
      </c>
      <c r="O14" s="28" t="s">
        <v>6276</v>
      </c>
      <c r="P14" s="28" t="s">
        <v>604</v>
      </c>
      <c r="Q14" s="28" t="s">
        <v>6342</v>
      </c>
      <c r="R14" s="28" t="s">
        <v>604</v>
      </c>
      <c r="S14" s="28" t="s">
        <v>3225</v>
      </c>
      <c r="T14" s="28" t="s">
        <v>604</v>
      </c>
      <c r="U14" s="28" t="s">
        <v>6343</v>
      </c>
      <c r="V14" s="6" t="s">
        <v>6344</v>
      </c>
      <c r="W14" s="6" t="s">
        <v>6345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3900</v>
      </c>
      <c r="B15" s="6" t="s">
        <v>6346</v>
      </c>
      <c r="C15" s="223" t="n">
        <v>188</v>
      </c>
      <c r="D15" s="221"/>
      <c r="E15" s="221"/>
      <c r="F15" s="28" t="s">
        <v>6295</v>
      </c>
      <c r="G15" s="221" t="s">
        <v>6347</v>
      </c>
      <c r="H15" s="28" t="s">
        <v>165</v>
      </c>
      <c r="I15" s="28" t="s">
        <v>6283</v>
      </c>
      <c r="J15" s="6" t="s">
        <v>6348</v>
      </c>
      <c r="K15" s="221" t="n">
        <v>1</v>
      </c>
      <c r="L15" s="221" t="s">
        <v>6273</v>
      </c>
      <c r="M15" s="19" t="s">
        <v>6349</v>
      </c>
      <c r="N15" s="221" t="s">
        <v>6275</v>
      </c>
      <c r="O15" s="28" t="s">
        <v>6276</v>
      </c>
      <c r="P15" s="28" t="s">
        <v>604</v>
      </c>
      <c r="Q15" s="28" t="s">
        <v>6350</v>
      </c>
      <c r="R15" s="28" t="s">
        <v>604</v>
      </c>
      <c r="S15" s="28" t="s">
        <v>5889</v>
      </c>
      <c r="T15" s="28" t="s">
        <v>604</v>
      </c>
      <c r="U15" s="28" t="s">
        <v>6351</v>
      </c>
      <c r="V15" s="6" t="s">
        <v>6352</v>
      </c>
      <c r="W15" s="6" t="s">
        <v>6353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3931</v>
      </c>
      <c r="B16" s="6" t="s">
        <v>6354</v>
      </c>
      <c r="C16" s="223" t="n">
        <v>230</v>
      </c>
      <c r="D16" s="221"/>
      <c r="E16" s="221"/>
      <c r="F16" s="28" t="s">
        <v>6295</v>
      </c>
      <c r="G16" s="221" t="s">
        <v>6355</v>
      </c>
      <c r="H16" s="28" t="s">
        <v>165</v>
      </c>
      <c r="I16" s="28" t="s">
        <v>6283</v>
      </c>
      <c r="J16" s="6" t="s">
        <v>6356</v>
      </c>
      <c r="K16" s="221" t="n">
        <v>3</v>
      </c>
      <c r="L16" s="221" t="s">
        <v>6273</v>
      </c>
      <c r="M16" s="19" t="s">
        <v>6349</v>
      </c>
      <c r="N16" s="221" t="s">
        <v>6286</v>
      </c>
      <c r="O16" s="28" t="s">
        <v>6276</v>
      </c>
      <c r="P16" s="28" t="s">
        <v>604</v>
      </c>
      <c r="Q16" s="28" t="s">
        <v>6357</v>
      </c>
      <c r="R16" s="28" t="s">
        <v>604</v>
      </c>
      <c r="S16" s="28" t="s">
        <v>604</v>
      </c>
      <c r="T16" s="28" t="s">
        <v>604</v>
      </c>
      <c r="U16" s="28" t="s">
        <v>6351</v>
      </c>
      <c r="V16" s="6" t="s">
        <v>6358</v>
      </c>
      <c r="W16" s="6" t="s">
        <v>3721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6359</v>
      </c>
      <c r="B17" s="6" t="s">
        <v>6360</v>
      </c>
      <c r="C17" s="223" t="n">
        <v>600</v>
      </c>
      <c r="D17" s="221"/>
      <c r="E17" s="221"/>
      <c r="F17" s="28" t="s">
        <v>6295</v>
      </c>
      <c r="G17" s="221" t="s">
        <v>6361</v>
      </c>
      <c r="H17" s="28" t="s">
        <v>6362</v>
      </c>
      <c r="I17" s="28" t="s">
        <v>6283</v>
      </c>
      <c r="J17" s="6" t="s">
        <v>6356</v>
      </c>
      <c r="K17" s="221" t="n">
        <v>3</v>
      </c>
      <c r="L17" s="221" t="s">
        <v>6273</v>
      </c>
      <c r="M17" s="19" t="s">
        <v>6349</v>
      </c>
      <c r="N17" s="221" t="s">
        <v>6286</v>
      </c>
      <c r="O17" s="28" t="s">
        <v>6363</v>
      </c>
      <c r="P17" s="28" t="s">
        <v>6364</v>
      </c>
      <c r="Q17" s="28" t="s">
        <v>6357</v>
      </c>
      <c r="R17" s="28" t="s">
        <v>604</v>
      </c>
      <c r="S17" s="28" t="s">
        <v>604</v>
      </c>
      <c r="T17" s="28" t="s">
        <v>604</v>
      </c>
      <c r="U17" s="28" t="s">
        <v>6351</v>
      </c>
      <c r="V17" s="6" t="s">
        <v>6365</v>
      </c>
      <c r="W17" s="19" t="s">
        <v>6366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3918</v>
      </c>
      <c r="B18" s="6" t="s">
        <v>6367</v>
      </c>
      <c r="C18" s="223" t="n">
        <v>227</v>
      </c>
      <c r="D18" s="221"/>
      <c r="E18" s="221"/>
      <c r="F18" s="28" t="s">
        <v>6295</v>
      </c>
      <c r="G18" s="28" t="s">
        <v>6368</v>
      </c>
      <c r="H18" s="28" t="s">
        <v>165</v>
      </c>
      <c r="I18" s="28" t="s">
        <v>1207</v>
      </c>
      <c r="J18" s="6" t="s">
        <v>6369</v>
      </c>
      <c r="K18" s="221" t="n">
        <v>1</v>
      </c>
      <c r="L18" s="221" t="s">
        <v>6273</v>
      </c>
      <c r="M18" s="6" t="s">
        <v>6370</v>
      </c>
      <c r="N18" s="221" t="s">
        <v>6275</v>
      </c>
      <c r="O18" s="28" t="s">
        <v>6276</v>
      </c>
      <c r="P18" s="28" t="s">
        <v>604</v>
      </c>
      <c r="Q18" s="28" t="s">
        <v>6371</v>
      </c>
      <c r="R18" s="28" t="s">
        <v>6372</v>
      </c>
      <c r="S18" s="28" t="s">
        <v>5889</v>
      </c>
      <c r="T18" s="28" t="s">
        <v>604</v>
      </c>
      <c r="U18" s="28" t="s">
        <v>6373</v>
      </c>
      <c r="V18" s="6" t="s">
        <v>6374</v>
      </c>
      <c r="W18" s="6" t="s">
        <v>6375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3948</v>
      </c>
      <c r="B19" s="6" t="s">
        <v>6376</v>
      </c>
      <c r="C19" s="223" t="n">
        <v>7.8</v>
      </c>
      <c r="D19" s="221"/>
      <c r="E19" s="221"/>
      <c r="F19" s="28" t="s">
        <v>6311</v>
      </c>
      <c r="G19" s="221" t="s">
        <v>6377</v>
      </c>
      <c r="H19" s="28" t="s">
        <v>165</v>
      </c>
      <c r="I19" s="28" t="s">
        <v>6378</v>
      </c>
      <c r="J19" s="6" t="s">
        <v>6379</v>
      </c>
      <c r="K19" s="221" t="n">
        <v>2</v>
      </c>
      <c r="L19" s="221" t="s">
        <v>6380</v>
      </c>
      <c r="M19" s="6" t="s">
        <v>6381</v>
      </c>
      <c r="N19" s="221" t="s">
        <v>6286</v>
      </c>
      <c r="O19" s="28" t="s">
        <v>6276</v>
      </c>
      <c r="P19" s="28" t="s">
        <v>604</v>
      </c>
      <c r="Q19" s="28" t="s">
        <v>6382</v>
      </c>
      <c r="R19" s="28" t="s">
        <v>604</v>
      </c>
      <c r="S19" s="28" t="s">
        <v>5889</v>
      </c>
      <c r="T19" s="28" t="s">
        <v>604</v>
      </c>
      <c r="U19" s="28" t="s">
        <v>6383</v>
      </c>
      <c r="V19" s="6" t="s">
        <v>6384</v>
      </c>
      <c r="W19" s="6" t="s">
        <v>6385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6386</v>
      </c>
      <c r="B20" s="6" t="s">
        <v>6387</v>
      </c>
      <c r="C20" s="223" t="n">
        <v>6.7</v>
      </c>
      <c r="D20" s="221"/>
      <c r="E20" s="221"/>
      <c r="F20" s="28" t="s">
        <v>6311</v>
      </c>
      <c r="G20" s="221" t="s">
        <v>6388</v>
      </c>
      <c r="H20" s="28" t="s">
        <v>165</v>
      </c>
      <c r="I20" s="28" t="s">
        <v>6378</v>
      </c>
      <c r="J20" s="6" t="s">
        <v>6379</v>
      </c>
      <c r="K20" s="221" t="n">
        <v>3</v>
      </c>
      <c r="L20" s="221" t="s">
        <v>6380</v>
      </c>
      <c r="M20" s="6" t="s">
        <v>6389</v>
      </c>
      <c r="N20" s="221" t="s">
        <v>6286</v>
      </c>
      <c r="O20" s="28" t="s">
        <v>6322</v>
      </c>
      <c r="P20" s="28" t="s">
        <v>604</v>
      </c>
      <c r="Q20" s="28" t="s">
        <v>6390</v>
      </c>
      <c r="R20" s="28" t="s">
        <v>604</v>
      </c>
      <c r="S20" s="28" t="s">
        <v>604</v>
      </c>
      <c r="T20" s="28" t="s">
        <v>604</v>
      </c>
      <c r="U20" s="28" t="s">
        <v>6383</v>
      </c>
      <c r="V20" s="6" t="s">
        <v>6391</v>
      </c>
      <c r="W20" s="19" t="s">
        <v>6392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3985</v>
      </c>
      <c r="B21" s="6" t="s">
        <v>6393</v>
      </c>
      <c r="C21" s="223" t="n">
        <v>9.09</v>
      </c>
      <c r="D21" s="221"/>
      <c r="E21" s="221"/>
      <c r="F21" s="28" t="s">
        <v>6311</v>
      </c>
      <c r="G21" s="221" t="s">
        <v>6394</v>
      </c>
      <c r="H21" s="28" t="s">
        <v>165</v>
      </c>
      <c r="I21" s="28" t="s">
        <v>6297</v>
      </c>
      <c r="J21" s="6" t="s">
        <v>6395</v>
      </c>
      <c r="K21" s="221" t="n">
        <v>2</v>
      </c>
      <c r="L21" s="221" t="s">
        <v>6380</v>
      </c>
      <c r="M21" s="6" t="s">
        <v>6389</v>
      </c>
      <c r="N21" s="221" t="s">
        <v>6286</v>
      </c>
      <c r="O21" s="28" t="s">
        <v>6322</v>
      </c>
      <c r="P21" s="28" t="s">
        <v>604</v>
      </c>
      <c r="Q21" s="28" t="s">
        <v>6396</v>
      </c>
      <c r="R21" s="28" t="s">
        <v>604</v>
      </c>
      <c r="S21" s="28" t="s">
        <v>3225</v>
      </c>
      <c r="T21" s="28" t="s">
        <v>604</v>
      </c>
      <c r="U21" s="28" t="s">
        <v>6383</v>
      </c>
      <c r="V21" s="6" t="s">
        <v>6397</v>
      </c>
      <c r="W21" s="19" t="s">
        <v>6398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6399</v>
      </c>
      <c r="B22" s="6" t="s">
        <v>6400</v>
      </c>
      <c r="C22" s="223" t="n">
        <v>1</v>
      </c>
      <c r="D22" s="221"/>
      <c r="E22" s="221"/>
      <c r="F22" s="28" t="s">
        <v>6311</v>
      </c>
      <c r="G22" s="221" t="s">
        <v>6361</v>
      </c>
      <c r="H22" s="28" t="s">
        <v>165</v>
      </c>
      <c r="I22" s="28" t="s">
        <v>6283</v>
      </c>
      <c r="J22" s="6" t="s">
        <v>6401</v>
      </c>
      <c r="K22" s="221" t="n">
        <v>3</v>
      </c>
      <c r="L22" s="221" t="s">
        <v>6273</v>
      </c>
      <c r="M22" s="6" t="s">
        <v>6402</v>
      </c>
      <c r="N22" s="221" t="s">
        <v>6286</v>
      </c>
      <c r="O22" s="28" t="s">
        <v>6322</v>
      </c>
      <c r="P22" s="28" t="s">
        <v>604</v>
      </c>
      <c r="Q22" s="28" t="s">
        <v>6403</v>
      </c>
      <c r="R22" s="28" t="s">
        <v>604</v>
      </c>
      <c r="S22" s="28" t="s">
        <v>604</v>
      </c>
      <c r="T22" s="28" t="s">
        <v>604</v>
      </c>
      <c r="U22" s="28" t="s">
        <v>6404</v>
      </c>
      <c r="V22" s="6" t="s">
        <v>604</v>
      </c>
      <c r="W22" s="19" t="s">
        <v>6405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4159</v>
      </c>
      <c r="B23" s="6" t="s">
        <v>6406</v>
      </c>
      <c r="C23" s="223" t="n">
        <v>0.989</v>
      </c>
      <c r="D23" s="221"/>
      <c r="E23" s="221"/>
      <c r="F23" s="28" t="s">
        <v>460</v>
      </c>
      <c r="G23" s="28" t="s">
        <v>6407</v>
      </c>
      <c r="H23" s="28" t="s">
        <v>162</v>
      </c>
      <c r="I23" s="28" t="s">
        <v>6408</v>
      </c>
      <c r="J23" s="19" t="s">
        <v>6409</v>
      </c>
      <c r="K23" s="221" t="n">
        <v>3</v>
      </c>
      <c r="L23" s="221" t="s">
        <v>6273</v>
      </c>
      <c r="M23" s="6" t="s">
        <v>6410</v>
      </c>
      <c r="N23" s="221" t="s">
        <v>6411</v>
      </c>
      <c r="O23" s="28" t="s">
        <v>6276</v>
      </c>
      <c r="P23" s="28" t="s">
        <v>604</v>
      </c>
      <c r="Q23" s="28" t="s">
        <v>6412</v>
      </c>
      <c r="R23" s="28" t="s">
        <v>604</v>
      </c>
      <c r="S23" s="28" t="s">
        <v>604</v>
      </c>
      <c r="T23" s="28" t="s">
        <v>604</v>
      </c>
      <c r="U23" s="28" t="s">
        <v>6413</v>
      </c>
      <c r="V23" s="6" t="s">
        <v>6414</v>
      </c>
      <c r="W23" s="6" t="s">
        <v>6415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4025</v>
      </c>
      <c r="B24" s="6" t="s">
        <v>6416</v>
      </c>
      <c r="C24" s="223" t="n">
        <v>80</v>
      </c>
      <c r="D24" s="221"/>
      <c r="E24" s="221"/>
      <c r="F24" s="28" t="s">
        <v>713</v>
      </c>
      <c r="G24" s="28" t="s">
        <v>604</v>
      </c>
      <c r="H24" s="28" t="s">
        <v>162</v>
      </c>
      <c r="I24" s="28" t="s">
        <v>6408</v>
      </c>
      <c r="J24" s="19" t="s">
        <v>6409</v>
      </c>
      <c r="K24" s="221" t="n">
        <v>3</v>
      </c>
      <c r="L24" s="221" t="s">
        <v>6273</v>
      </c>
      <c r="M24" s="6" t="s">
        <v>6410</v>
      </c>
      <c r="N24" s="221" t="s">
        <v>6411</v>
      </c>
      <c r="O24" s="28" t="s">
        <v>6276</v>
      </c>
      <c r="P24" s="28" t="s">
        <v>604</v>
      </c>
      <c r="Q24" s="28" t="s">
        <v>6412</v>
      </c>
      <c r="R24" s="28" t="s">
        <v>604</v>
      </c>
      <c r="S24" s="28" t="s">
        <v>604</v>
      </c>
      <c r="T24" s="28" t="s">
        <v>604</v>
      </c>
      <c r="U24" s="28" t="s">
        <v>6413</v>
      </c>
      <c r="V24" s="6" t="s">
        <v>6417</v>
      </c>
      <c r="W24" s="6" t="s">
        <v>604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4041</v>
      </c>
      <c r="B25" s="6" t="s">
        <v>6418</v>
      </c>
      <c r="C25" s="223" t="n">
        <v>3.35</v>
      </c>
      <c r="D25" s="221"/>
      <c r="E25" s="221"/>
      <c r="F25" s="28" t="s">
        <v>344</v>
      </c>
      <c r="G25" s="28" t="s">
        <v>604</v>
      </c>
      <c r="H25" s="28" t="s">
        <v>162</v>
      </c>
      <c r="I25" s="28" t="s">
        <v>6408</v>
      </c>
      <c r="J25" s="19" t="s">
        <v>6409</v>
      </c>
      <c r="K25" s="221" t="n">
        <v>3</v>
      </c>
      <c r="L25" s="221" t="s">
        <v>6273</v>
      </c>
      <c r="M25" s="6" t="s">
        <v>6410</v>
      </c>
      <c r="N25" s="221" t="s">
        <v>6411</v>
      </c>
      <c r="O25" s="28" t="s">
        <v>6276</v>
      </c>
      <c r="P25" s="28" t="s">
        <v>604</v>
      </c>
      <c r="Q25" s="28" t="s">
        <v>6412</v>
      </c>
      <c r="R25" s="28" t="s">
        <v>604</v>
      </c>
      <c r="S25" s="28" t="s">
        <v>604</v>
      </c>
      <c r="T25" s="28" t="s">
        <v>604</v>
      </c>
      <c r="U25" s="28" t="s">
        <v>6413</v>
      </c>
      <c r="V25" s="6" t="s">
        <v>6419</v>
      </c>
      <c r="W25" s="6" t="s">
        <v>604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3996</v>
      </c>
      <c r="B26" s="6" t="s">
        <v>6420</v>
      </c>
      <c r="C26" s="223" t="n">
        <v>10</v>
      </c>
      <c r="D26" s="221"/>
      <c r="E26" s="221"/>
      <c r="F26" s="28" t="s">
        <v>460</v>
      </c>
      <c r="G26" s="28" t="s">
        <v>6407</v>
      </c>
      <c r="H26" s="28" t="s">
        <v>163</v>
      </c>
      <c r="I26" s="28" t="s">
        <v>6408</v>
      </c>
      <c r="J26" s="19" t="s">
        <v>6409</v>
      </c>
      <c r="K26" s="221" t="n">
        <v>1</v>
      </c>
      <c r="L26" s="221" t="s">
        <v>6273</v>
      </c>
      <c r="M26" s="6" t="s">
        <v>6410</v>
      </c>
      <c r="N26" s="221" t="s">
        <v>6275</v>
      </c>
      <c r="O26" s="28" t="s">
        <v>6276</v>
      </c>
      <c r="P26" s="28" t="s">
        <v>604</v>
      </c>
      <c r="Q26" s="28" t="s">
        <v>6421</v>
      </c>
      <c r="R26" s="28" t="s">
        <v>604</v>
      </c>
      <c r="S26" s="28" t="s">
        <v>5889</v>
      </c>
      <c r="T26" s="28" t="s">
        <v>604</v>
      </c>
      <c r="U26" s="28" t="s">
        <v>6413</v>
      </c>
      <c r="V26" s="6" t="s">
        <v>6422</v>
      </c>
      <c r="W26" s="19" t="s">
        <v>6423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4044</v>
      </c>
      <c r="B27" s="6" t="s">
        <v>6424</v>
      </c>
      <c r="C27" s="223" t="n">
        <v>8</v>
      </c>
      <c r="D27" s="221"/>
      <c r="E27" s="221"/>
      <c r="F27" s="28" t="s">
        <v>344</v>
      </c>
      <c r="G27" s="28" t="s">
        <v>604</v>
      </c>
      <c r="H27" s="28" t="s">
        <v>163</v>
      </c>
      <c r="I27" s="28" t="s">
        <v>6408</v>
      </c>
      <c r="J27" s="19" t="s">
        <v>6409</v>
      </c>
      <c r="K27" s="221" t="n">
        <v>3</v>
      </c>
      <c r="L27" s="221" t="s">
        <v>6273</v>
      </c>
      <c r="M27" s="6" t="s">
        <v>6410</v>
      </c>
      <c r="N27" s="221" t="s">
        <v>6411</v>
      </c>
      <c r="O27" s="28" t="s">
        <v>6276</v>
      </c>
      <c r="P27" s="28" t="s">
        <v>604</v>
      </c>
      <c r="Q27" s="28" t="s">
        <v>6412</v>
      </c>
      <c r="R27" s="28" t="s">
        <v>604</v>
      </c>
      <c r="S27" s="28" t="s">
        <v>604</v>
      </c>
      <c r="T27" s="28" t="s">
        <v>604</v>
      </c>
      <c r="U27" s="28" t="s">
        <v>6413</v>
      </c>
      <c r="V27" s="6" t="s">
        <v>6425</v>
      </c>
      <c r="W27" s="6" t="s">
        <v>604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6426</v>
      </c>
      <c r="B28" s="6" t="s">
        <v>6427</v>
      </c>
      <c r="C28" s="223" t="n">
        <v>186</v>
      </c>
      <c r="D28" s="221"/>
      <c r="E28" s="221"/>
      <c r="F28" s="28" t="s">
        <v>713</v>
      </c>
      <c r="G28" s="28" t="s">
        <v>604</v>
      </c>
      <c r="H28" s="28" t="s">
        <v>163</v>
      </c>
      <c r="I28" s="28" t="s">
        <v>6408</v>
      </c>
      <c r="J28" s="19" t="s">
        <v>6409</v>
      </c>
      <c r="K28" s="221" t="n">
        <v>3</v>
      </c>
      <c r="L28" s="221" t="s">
        <v>6273</v>
      </c>
      <c r="M28" s="6" t="s">
        <v>6410</v>
      </c>
      <c r="N28" s="221" t="s">
        <v>6411</v>
      </c>
      <c r="O28" s="28" t="s">
        <v>6322</v>
      </c>
      <c r="P28" s="28" t="s">
        <v>604</v>
      </c>
      <c r="Q28" s="28" t="s">
        <v>6412</v>
      </c>
      <c r="R28" s="28" t="s">
        <v>604</v>
      </c>
      <c r="S28" s="28" t="s">
        <v>604</v>
      </c>
      <c r="T28" s="28" t="s">
        <v>604</v>
      </c>
      <c r="U28" s="28" t="s">
        <v>6413</v>
      </c>
      <c r="V28" s="6" t="s">
        <v>604</v>
      </c>
      <c r="W28" s="19" t="s">
        <v>6428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3998</v>
      </c>
      <c r="B29" s="6" t="s">
        <v>6429</v>
      </c>
      <c r="C29" s="223" t="n">
        <v>15</v>
      </c>
      <c r="D29" s="221"/>
      <c r="E29" s="221"/>
      <c r="F29" s="28" t="s">
        <v>460</v>
      </c>
      <c r="G29" s="28" t="s">
        <v>6407</v>
      </c>
      <c r="H29" s="28" t="s">
        <v>164</v>
      </c>
      <c r="I29" s="28" t="s">
        <v>6408</v>
      </c>
      <c r="J29" s="19" t="s">
        <v>6409</v>
      </c>
      <c r="K29" s="221" t="n">
        <v>1</v>
      </c>
      <c r="L29" s="221" t="s">
        <v>6273</v>
      </c>
      <c r="M29" s="6" t="s">
        <v>6410</v>
      </c>
      <c r="N29" s="221" t="s">
        <v>6275</v>
      </c>
      <c r="O29" s="28" t="s">
        <v>6276</v>
      </c>
      <c r="P29" s="28" t="s">
        <v>604</v>
      </c>
      <c r="Q29" s="28" t="s">
        <v>6430</v>
      </c>
      <c r="R29" s="28" t="s">
        <v>604</v>
      </c>
      <c r="S29" s="28" t="s">
        <v>5889</v>
      </c>
      <c r="T29" s="28" t="s">
        <v>604</v>
      </c>
      <c r="U29" s="28" t="s">
        <v>6413</v>
      </c>
      <c r="V29" s="6" t="s">
        <v>6431</v>
      </c>
      <c r="W29" s="6" t="s">
        <v>6432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4032</v>
      </c>
      <c r="B30" s="6" t="s">
        <v>6433</v>
      </c>
      <c r="C30" s="223" t="n">
        <v>288</v>
      </c>
      <c r="D30" s="221"/>
      <c r="E30" s="221"/>
      <c r="F30" s="28" t="s">
        <v>713</v>
      </c>
      <c r="G30" s="28" t="s">
        <v>604</v>
      </c>
      <c r="H30" s="28" t="s">
        <v>164</v>
      </c>
      <c r="I30" s="28" t="s">
        <v>6408</v>
      </c>
      <c r="J30" s="19" t="s">
        <v>6409</v>
      </c>
      <c r="K30" s="221" t="n">
        <v>3</v>
      </c>
      <c r="L30" s="221" t="s">
        <v>6273</v>
      </c>
      <c r="M30" s="6" t="s">
        <v>6410</v>
      </c>
      <c r="N30" s="221" t="s">
        <v>6411</v>
      </c>
      <c r="O30" s="28" t="s">
        <v>6276</v>
      </c>
      <c r="P30" s="28" t="s">
        <v>604</v>
      </c>
      <c r="Q30" s="28" t="s">
        <v>6412</v>
      </c>
      <c r="R30" s="28" t="s">
        <v>604</v>
      </c>
      <c r="S30" s="28" t="s">
        <v>604</v>
      </c>
      <c r="T30" s="28" t="s">
        <v>604</v>
      </c>
      <c r="U30" s="28" t="s">
        <v>6413</v>
      </c>
      <c r="V30" s="6" t="s">
        <v>6434</v>
      </c>
      <c r="W30" s="6" t="s">
        <v>604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4017</v>
      </c>
      <c r="B31" s="6" t="s">
        <v>6435</v>
      </c>
      <c r="C31" s="223" t="n">
        <v>50</v>
      </c>
      <c r="D31" s="221"/>
      <c r="E31" s="221"/>
      <c r="F31" s="28" t="s">
        <v>460</v>
      </c>
      <c r="G31" s="221" t="s">
        <v>6436</v>
      </c>
      <c r="H31" s="28" t="s">
        <v>165</v>
      </c>
      <c r="I31" s="28" t="s">
        <v>6408</v>
      </c>
      <c r="J31" s="19" t="s">
        <v>6409</v>
      </c>
      <c r="K31" s="221" t="n">
        <v>1</v>
      </c>
      <c r="L31" s="221" t="s">
        <v>6273</v>
      </c>
      <c r="M31" s="6" t="s">
        <v>6410</v>
      </c>
      <c r="N31" s="221" t="s">
        <v>6275</v>
      </c>
      <c r="O31" s="28" t="s">
        <v>6276</v>
      </c>
      <c r="P31" s="28" t="s">
        <v>604</v>
      </c>
      <c r="Q31" s="28" t="s">
        <v>6437</v>
      </c>
      <c r="R31" s="28" t="s">
        <v>604</v>
      </c>
      <c r="S31" s="28" t="s">
        <v>5889</v>
      </c>
      <c r="T31" s="28" t="s">
        <v>604</v>
      </c>
      <c r="U31" s="28" t="s">
        <v>6413</v>
      </c>
      <c r="V31" s="6" t="s">
        <v>6438</v>
      </c>
      <c r="W31" s="6" t="s">
        <v>6439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4000</v>
      </c>
      <c r="B32" s="6" t="s">
        <v>6440</v>
      </c>
      <c r="C32" s="223" t="n">
        <v>35</v>
      </c>
      <c r="D32" s="221"/>
      <c r="E32" s="221"/>
      <c r="F32" s="28" t="s">
        <v>460</v>
      </c>
      <c r="G32" s="28" t="s">
        <v>6407</v>
      </c>
      <c r="H32" s="28" t="s">
        <v>165</v>
      </c>
      <c r="I32" s="28" t="s">
        <v>6408</v>
      </c>
      <c r="J32" s="19" t="s">
        <v>6409</v>
      </c>
      <c r="K32" s="221" t="n">
        <v>1</v>
      </c>
      <c r="L32" s="221" t="s">
        <v>6273</v>
      </c>
      <c r="M32" s="6" t="s">
        <v>6410</v>
      </c>
      <c r="N32" s="221" t="s">
        <v>6275</v>
      </c>
      <c r="O32" s="28" t="s">
        <v>6276</v>
      </c>
      <c r="P32" s="28" t="s">
        <v>604</v>
      </c>
      <c r="Q32" s="28" t="s">
        <v>6441</v>
      </c>
      <c r="R32" s="28" t="s">
        <v>604</v>
      </c>
      <c r="S32" s="28" t="s">
        <v>5889</v>
      </c>
      <c r="T32" s="28" t="s">
        <v>604</v>
      </c>
      <c r="U32" s="28" t="s">
        <v>6413</v>
      </c>
      <c r="V32" s="6" t="s">
        <v>6442</v>
      </c>
      <c r="W32" s="19" t="s">
        <v>6443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4035</v>
      </c>
      <c r="B33" s="6" t="s">
        <v>6444</v>
      </c>
      <c r="C33" s="223" t="n">
        <v>288</v>
      </c>
      <c r="D33" s="221"/>
      <c r="E33" s="221"/>
      <c r="F33" s="28" t="s">
        <v>713</v>
      </c>
      <c r="G33" s="28" t="s">
        <v>604</v>
      </c>
      <c r="H33" s="28" t="s">
        <v>165</v>
      </c>
      <c r="I33" s="28" t="s">
        <v>6408</v>
      </c>
      <c r="J33" s="19" t="s">
        <v>6409</v>
      </c>
      <c r="K33" s="221" t="n">
        <v>3</v>
      </c>
      <c r="L33" s="221" t="s">
        <v>6273</v>
      </c>
      <c r="M33" s="6" t="s">
        <v>6410</v>
      </c>
      <c r="N33" s="221" t="s">
        <v>6411</v>
      </c>
      <c r="O33" s="28" t="s">
        <v>6276</v>
      </c>
      <c r="P33" s="28" t="s">
        <v>604</v>
      </c>
      <c r="Q33" s="28" t="s">
        <v>6412</v>
      </c>
      <c r="R33" s="28" t="s">
        <v>604</v>
      </c>
      <c r="S33" s="28" t="s">
        <v>604</v>
      </c>
      <c r="T33" s="28" t="s">
        <v>604</v>
      </c>
      <c r="U33" s="28" t="s">
        <v>6413</v>
      </c>
      <c r="V33" s="6" t="s">
        <v>6445</v>
      </c>
      <c r="W33" s="6" t="s">
        <v>604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4049</v>
      </c>
      <c r="B34" s="6" t="s">
        <v>6446</v>
      </c>
      <c r="C34" s="223" t="n">
        <v>22</v>
      </c>
      <c r="D34" s="221"/>
      <c r="E34" s="221"/>
      <c r="F34" s="28" t="s">
        <v>344</v>
      </c>
      <c r="G34" s="28" t="s">
        <v>6447</v>
      </c>
      <c r="H34" s="28" t="s">
        <v>165</v>
      </c>
      <c r="I34" s="28" t="s">
        <v>6408</v>
      </c>
      <c r="J34" s="19" t="s">
        <v>6409</v>
      </c>
      <c r="K34" s="221" t="n">
        <v>3</v>
      </c>
      <c r="L34" s="221" t="s">
        <v>6273</v>
      </c>
      <c r="M34" s="6" t="s">
        <v>6410</v>
      </c>
      <c r="N34" s="221" t="s">
        <v>6411</v>
      </c>
      <c r="O34" s="28" t="s">
        <v>6276</v>
      </c>
      <c r="P34" s="28" t="s">
        <v>604</v>
      </c>
      <c r="Q34" s="28" t="s">
        <v>6412</v>
      </c>
      <c r="R34" s="28" t="s">
        <v>604</v>
      </c>
      <c r="S34" s="28" t="s">
        <v>604</v>
      </c>
      <c r="T34" s="28" t="s">
        <v>604</v>
      </c>
      <c r="U34" s="28" t="s">
        <v>6413</v>
      </c>
      <c r="V34" s="6" t="s">
        <v>6448</v>
      </c>
      <c r="W34" s="6" t="s">
        <v>604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6449</v>
      </c>
      <c r="B35" s="6" t="s">
        <v>6450</v>
      </c>
      <c r="C35" s="223" t="n">
        <v>15000</v>
      </c>
      <c r="D35" s="221"/>
      <c r="E35" s="221"/>
      <c r="F35" s="28" t="s">
        <v>6451</v>
      </c>
      <c r="G35" s="28" t="s">
        <v>6452</v>
      </c>
      <c r="H35" s="28" t="s">
        <v>6362</v>
      </c>
      <c r="I35" s="28" t="s">
        <v>6408</v>
      </c>
      <c r="J35" s="19" t="s">
        <v>6409</v>
      </c>
      <c r="K35" s="221" t="n">
        <v>3</v>
      </c>
      <c r="L35" s="221" t="s">
        <v>6273</v>
      </c>
      <c r="M35" s="6" t="s">
        <v>6410</v>
      </c>
      <c r="N35" s="221" t="s">
        <v>6411</v>
      </c>
      <c r="O35" s="28" t="s">
        <v>6276</v>
      </c>
      <c r="P35" s="28" t="s">
        <v>604</v>
      </c>
      <c r="Q35" s="28" t="s">
        <v>6412</v>
      </c>
      <c r="R35" s="28" t="s">
        <v>604</v>
      </c>
      <c r="S35" s="28" t="s">
        <v>604</v>
      </c>
      <c r="T35" s="28" t="s">
        <v>604</v>
      </c>
      <c r="U35" s="28" t="s">
        <v>6413</v>
      </c>
      <c r="V35" s="6" t="s">
        <v>6453</v>
      </c>
      <c r="W35" s="6" t="s">
        <v>6454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4147</v>
      </c>
      <c r="B36" s="6" t="s">
        <v>6455</v>
      </c>
      <c r="C36" s="223" t="n">
        <v>3.9</v>
      </c>
      <c r="D36" s="221"/>
      <c r="E36" s="221"/>
      <c r="F36" s="28" t="s">
        <v>6456</v>
      </c>
      <c r="G36" s="221" t="s">
        <v>6457</v>
      </c>
      <c r="H36" s="28" t="s">
        <v>6458</v>
      </c>
      <c r="I36" s="28" t="s">
        <v>604</v>
      </c>
      <c r="J36" s="19" t="s">
        <v>6459</v>
      </c>
      <c r="K36" s="221" t="n">
        <v>3</v>
      </c>
      <c r="L36" s="221" t="s">
        <v>6380</v>
      </c>
      <c r="M36" s="19" t="s">
        <v>6460</v>
      </c>
      <c r="N36" s="28" t="s">
        <v>604</v>
      </c>
      <c r="O36" s="28" t="s">
        <v>6276</v>
      </c>
      <c r="P36" s="28" t="s">
        <v>604</v>
      </c>
      <c r="Q36" s="28" t="s">
        <v>6461</v>
      </c>
      <c r="R36" s="28" t="s">
        <v>604</v>
      </c>
      <c r="S36" s="28" t="s">
        <v>604</v>
      </c>
      <c r="T36" s="28" t="s">
        <v>604</v>
      </c>
      <c r="U36" s="28" t="s">
        <v>6462</v>
      </c>
      <c r="V36" s="6" t="s">
        <v>6463</v>
      </c>
      <c r="W36" s="6" t="s">
        <v>6464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4151</v>
      </c>
      <c r="B37" s="6" t="s">
        <v>6465</v>
      </c>
      <c r="C37" s="223" t="n">
        <v>3</v>
      </c>
      <c r="D37" s="221"/>
      <c r="E37" s="221"/>
      <c r="F37" s="28" t="s">
        <v>6456</v>
      </c>
      <c r="G37" s="221" t="s">
        <v>6457</v>
      </c>
      <c r="H37" s="28" t="s">
        <v>6466</v>
      </c>
      <c r="I37" s="28" t="s">
        <v>604</v>
      </c>
      <c r="J37" s="19" t="s">
        <v>6459</v>
      </c>
      <c r="K37" s="221" t="n">
        <v>3</v>
      </c>
      <c r="L37" s="221" t="s">
        <v>6380</v>
      </c>
      <c r="M37" s="19" t="s">
        <v>6460</v>
      </c>
      <c r="N37" s="28" t="s">
        <v>604</v>
      </c>
      <c r="O37" s="28" t="s">
        <v>6276</v>
      </c>
      <c r="P37" s="28" t="s">
        <v>604</v>
      </c>
      <c r="Q37" s="28" t="s">
        <v>6461</v>
      </c>
      <c r="R37" s="28" t="s">
        <v>604</v>
      </c>
      <c r="S37" s="28" t="s">
        <v>604</v>
      </c>
      <c r="T37" s="28" t="s">
        <v>604</v>
      </c>
      <c r="U37" s="28" t="s">
        <v>6462</v>
      </c>
      <c r="V37" s="6" t="s">
        <v>6467</v>
      </c>
      <c r="W37" s="6" t="s">
        <v>6468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4154</v>
      </c>
      <c r="B38" s="6" t="s">
        <v>6469</v>
      </c>
      <c r="C38" s="223" t="n">
        <v>2.5</v>
      </c>
      <c r="D38" s="221"/>
      <c r="E38" s="221"/>
      <c r="F38" s="28" t="s">
        <v>6456</v>
      </c>
      <c r="G38" s="221" t="s">
        <v>6457</v>
      </c>
      <c r="H38" s="28" t="s">
        <v>6470</v>
      </c>
      <c r="I38" s="28" t="s">
        <v>604</v>
      </c>
      <c r="J38" s="19" t="s">
        <v>6459</v>
      </c>
      <c r="K38" s="221" t="n">
        <v>3</v>
      </c>
      <c r="L38" s="221" t="s">
        <v>6380</v>
      </c>
      <c r="M38" s="19" t="s">
        <v>6460</v>
      </c>
      <c r="N38" s="28" t="s">
        <v>604</v>
      </c>
      <c r="O38" s="28" t="s">
        <v>6276</v>
      </c>
      <c r="P38" s="28" t="s">
        <v>604</v>
      </c>
      <c r="Q38" s="28" t="s">
        <v>6461</v>
      </c>
      <c r="R38" s="28" t="s">
        <v>604</v>
      </c>
      <c r="S38" s="28" t="s">
        <v>604</v>
      </c>
      <c r="T38" s="28" t="s">
        <v>604</v>
      </c>
      <c r="U38" s="28" t="s">
        <v>6462</v>
      </c>
      <c r="V38" s="6" t="s">
        <v>6471</v>
      </c>
      <c r="W38" s="6" t="s">
        <v>6472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4664</v>
      </c>
      <c r="B39" s="6" t="s">
        <v>6473</v>
      </c>
      <c r="C39" s="221"/>
      <c r="D39" s="223" t="n">
        <v>1</v>
      </c>
      <c r="E39" s="223" t="n">
        <v>2</v>
      </c>
      <c r="F39" s="28" t="s">
        <v>6456</v>
      </c>
      <c r="G39" s="221" t="s">
        <v>6457</v>
      </c>
      <c r="H39" s="28" t="s">
        <v>604</v>
      </c>
      <c r="I39" s="28" t="s">
        <v>604</v>
      </c>
      <c r="J39" s="19" t="s">
        <v>6459</v>
      </c>
      <c r="K39" s="221" t="n">
        <v>3</v>
      </c>
      <c r="L39" s="221" t="s">
        <v>6380</v>
      </c>
      <c r="M39" s="19" t="s">
        <v>6460</v>
      </c>
      <c r="N39" s="28" t="s">
        <v>604</v>
      </c>
      <c r="O39" s="28" t="s">
        <v>6276</v>
      </c>
      <c r="P39" s="28" t="s">
        <v>604</v>
      </c>
      <c r="Q39" s="28" t="s">
        <v>6461</v>
      </c>
      <c r="R39" s="28" t="s">
        <v>604</v>
      </c>
      <c r="S39" s="28" t="s">
        <v>604</v>
      </c>
      <c r="T39" s="28" t="s">
        <v>604</v>
      </c>
      <c r="U39" s="28" t="s">
        <v>6462</v>
      </c>
      <c r="V39" s="6" t="s">
        <v>604</v>
      </c>
      <c r="W39" s="6" t="s">
        <v>604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6474</v>
      </c>
      <c r="B40" s="6" t="s">
        <v>6475</v>
      </c>
      <c r="C40" s="223" t="n">
        <v>3600</v>
      </c>
      <c r="D40" s="221"/>
      <c r="E40" s="221"/>
      <c r="F40" s="28" t="s">
        <v>6451</v>
      </c>
      <c r="G40" s="28" t="s">
        <v>6476</v>
      </c>
      <c r="H40" s="28" t="s">
        <v>165</v>
      </c>
      <c r="I40" s="28" t="s">
        <v>6283</v>
      </c>
      <c r="J40" s="6" t="s">
        <v>6477</v>
      </c>
      <c r="K40" s="221" t="n">
        <v>2</v>
      </c>
      <c r="L40" s="221" t="s">
        <v>6273</v>
      </c>
      <c r="M40" s="6" t="s">
        <v>6478</v>
      </c>
      <c r="N40" s="221" t="s">
        <v>6479</v>
      </c>
      <c r="O40" s="28" t="s">
        <v>6276</v>
      </c>
      <c r="P40" s="28" t="s">
        <v>604</v>
      </c>
      <c r="Q40" s="28" t="s">
        <v>6480</v>
      </c>
      <c r="R40" s="28" t="s">
        <v>604</v>
      </c>
      <c r="S40" s="28" t="s">
        <v>604</v>
      </c>
      <c r="T40" s="28" t="s">
        <v>604</v>
      </c>
      <c r="U40" s="28" t="s">
        <v>6481</v>
      </c>
      <c r="V40" s="6" t="s">
        <v>6482</v>
      </c>
      <c r="W40" s="6" t="s">
        <v>6483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4189</v>
      </c>
      <c r="B41" s="6" t="s">
        <v>6484</v>
      </c>
      <c r="C41" s="223" t="n">
        <v>2520</v>
      </c>
      <c r="D41" s="221"/>
      <c r="E41" s="221"/>
      <c r="F41" s="28" t="s">
        <v>6451</v>
      </c>
      <c r="G41" s="28" t="s">
        <v>6476</v>
      </c>
      <c r="H41" s="28" t="s">
        <v>165</v>
      </c>
      <c r="I41" s="28" t="s">
        <v>6283</v>
      </c>
      <c r="J41" s="6" t="s">
        <v>6477</v>
      </c>
      <c r="K41" s="221" t="n">
        <v>2</v>
      </c>
      <c r="L41" s="221" t="s">
        <v>6273</v>
      </c>
      <c r="M41" s="6" t="s">
        <v>6478</v>
      </c>
      <c r="N41" s="221" t="s">
        <v>6479</v>
      </c>
      <c r="O41" s="28" t="s">
        <v>6276</v>
      </c>
      <c r="P41" s="28" t="s">
        <v>604</v>
      </c>
      <c r="Q41" s="28" t="s">
        <v>6480</v>
      </c>
      <c r="R41" s="28" t="s">
        <v>604</v>
      </c>
      <c r="S41" s="28" t="s">
        <v>604</v>
      </c>
      <c r="T41" s="28" t="s">
        <v>604</v>
      </c>
      <c r="U41" s="28" t="s">
        <v>6481</v>
      </c>
      <c r="V41" s="6" t="s">
        <v>6485</v>
      </c>
      <c r="W41" s="6" t="s">
        <v>6486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4179</v>
      </c>
      <c r="B42" s="6" t="s">
        <v>6487</v>
      </c>
      <c r="C42" s="223" t="n">
        <v>1260</v>
      </c>
      <c r="D42" s="221"/>
      <c r="E42" s="221"/>
      <c r="F42" s="28" t="s">
        <v>6451</v>
      </c>
      <c r="G42" s="28" t="s">
        <v>6476</v>
      </c>
      <c r="H42" s="28" t="s">
        <v>165</v>
      </c>
      <c r="I42" s="28" t="s">
        <v>6283</v>
      </c>
      <c r="J42" s="6" t="s">
        <v>6477</v>
      </c>
      <c r="K42" s="221" t="n">
        <v>2</v>
      </c>
      <c r="L42" s="221" t="s">
        <v>6273</v>
      </c>
      <c r="M42" s="6" t="s">
        <v>6478</v>
      </c>
      <c r="N42" s="221" t="s">
        <v>6479</v>
      </c>
      <c r="O42" s="28" t="s">
        <v>6276</v>
      </c>
      <c r="P42" s="28" t="s">
        <v>604</v>
      </c>
      <c r="Q42" s="28" t="s">
        <v>6480</v>
      </c>
      <c r="R42" s="28" t="s">
        <v>604</v>
      </c>
      <c r="S42" s="28" t="s">
        <v>604</v>
      </c>
      <c r="T42" s="28" t="s">
        <v>604</v>
      </c>
      <c r="U42" s="28" t="s">
        <v>6481</v>
      </c>
      <c r="V42" s="6" t="s">
        <v>6488</v>
      </c>
      <c r="W42" s="6" t="s">
        <v>6489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4167</v>
      </c>
      <c r="B43" s="6" t="s">
        <v>6490</v>
      </c>
      <c r="C43" s="223" t="n">
        <v>288</v>
      </c>
      <c r="D43" s="221"/>
      <c r="E43" s="221"/>
      <c r="F43" s="28" t="s">
        <v>6451</v>
      </c>
      <c r="G43" s="28" t="s">
        <v>6476</v>
      </c>
      <c r="H43" s="28" t="s">
        <v>165</v>
      </c>
      <c r="I43" s="28" t="s">
        <v>6283</v>
      </c>
      <c r="J43" s="6" t="s">
        <v>6477</v>
      </c>
      <c r="K43" s="221" t="n">
        <v>2</v>
      </c>
      <c r="L43" s="221" t="s">
        <v>6273</v>
      </c>
      <c r="M43" s="6" t="s">
        <v>6478</v>
      </c>
      <c r="N43" s="221" t="s">
        <v>6479</v>
      </c>
      <c r="O43" s="28" t="s">
        <v>6276</v>
      </c>
      <c r="P43" s="28" t="s">
        <v>604</v>
      </c>
      <c r="Q43" s="28" t="s">
        <v>6480</v>
      </c>
      <c r="R43" s="28" t="s">
        <v>604</v>
      </c>
      <c r="S43" s="28" t="s">
        <v>604</v>
      </c>
      <c r="T43" s="28" t="s">
        <v>604</v>
      </c>
      <c r="U43" s="28" t="s">
        <v>6481</v>
      </c>
      <c r="V43" s="6" t="s">
        <v>6491</v>
      </c>
      <c r="W43" s="6" t="s">
        <v>6492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3994</v>
      </c>
      <c r="B44" s="6" t="s">
        <v>6493</v>
      </c>
      <c r="C44" s="223" t="n">
        <v>1.979</v>
      </c>
      <c r="D44" s="221"/>
      <c r="E44" s="221"/>
      <c r="F44" s="28" t="s">
        <v>460</v>
      </c>
      <c r="G44" s="28" t="s">
        <v>6407</v>
      </c>
      <c r="H44" s="28" t="s">
        <v>162</v>
      </c>
      <c r="I44" s="28" t="s">
        <v>5649</v>
      </c>
      <c r="J44" s="6" t="s">
        <v>6494</v>
      </c>
      <c r="K44" s="221" t="n">
        <v>1</v>
      </c>
      <c r="L44" s="221" t="s">
        <v>6273</v>
      </c>
      <c r="M44" s="6" t="s">
        <v>6495</v>
      </c>
      <c r="N44" s="221" t="s">
        <v>6275</v>
      </c>
      <c r="O44" s="28" t="s">
        <v>6276</v>
      </c>
      <c r="P44" s="28" t="s">
        <v>604</v>
      </c>
      <c r="Q44" s="28" t="s">
        <v>6496</v>
      </c>
      <c r="R44" s="28" t="s">
        <v>604</v>
      </c>
      <c r="S44" s="28" t="s">
        <v>5889</v>
      </c>
      <c r="T44" s="28" t="s">
        <v>604</v>
      </c>
      <c r="U44" s="28" t="s">
        <v>6497</v>
      </c>
      <c r="V44" s="6" t="s">
        <v>6498</v>
      </c>
      <c r="W44" s="19" t="s">
        <v>6499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4028</v>
      </c>
      <c r="B45" s="6" t="s">
        <v>6500</v>
      </c>
      <c r="C45" s="223" t="n">
        <v>13.4</v>
      </c>
      <c r="D45" s="221"/>
      <c r="E45" s="221"/>
      <c r="F45" s="28" t="s">
        <v>6501</v>
      </c>
      <c r="G45" s="28" t="s">
        <v>6476</v>
      </c>
      <c r="H45" s="28" t="s">
        <v>163</v>
      </c>
      <c r="I45" s="28" t="s">
        <v>604</v>
      </c>
      <c r="J45" s="6" t="s">
        <v>6502</v>
      </c>
      <c r="K45" s="221" t="n">
        <v>3</v>
      </c>
      <c r="L45" s="221" t="s">
        <v>6273</v>
      </c>
      <c r="M45" s="6" t="s">
        <v>6503</v>
      </c>
      <c r="N45" s="221" t="s">
        <v>6411</v>
      </c>
      <c r="O45" s="28" t="s">
        <v>6276</v>
      </c>
      <c r="P45" s="28" t="s">
        <v>604</v>
      </c>
      <c r="Q45" s="28" t="s">
        <v>6504</v>
      </c>
      <c r="R45" s="28" t="s">
        <v>604</v>
      </c>
      <c r="S45" s="28" t="s">
        <v>604</v>
      </c>
      <c r="T45" s="28" t="s">
        <v>604</v>
      </c>
      <c r="U45" s="28" t="s">
        <v>6505</v>
      </c>
      <c r="V45" s="6" t="s">
        <v>6506</v>
      </c>
      <c r="W45" s="6" t="s">
        <v>6507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4162</v>
      </c>
      <c r="B46" s="6" t="s">
        <v>6508</v>
      </c>
      <c r="C46" s="223" t="n">
        <v>2.5</v>
      </c>
      <c r="D46" s="221"/>
      <c r="E46" s="221"/>
      <c r="F46" s="28" t="s">
        <v>460</v>
      </c>
      <c r="G46" s="28" t="s">
        <v>6407</v>
      </c>
      <c r="H46" s="28" t="s">
        <v>6509</v>
      </c>
      <c r="I46" s="28" t="s">
        <v>604</v>
      </c>
      <c r="J46" s="6" t="s">
        <v>6502</v>
      </c>
      <c r="K46" s="221" t="n">
        <v>3</v>
      </c>
      <c r="L46" s="221" t="s">
        <v>6273</v>
      </c>
      <c r="M46" s="6" t="s">
        <v>6503</v>
      </c>
      <c r="N46" s="221" t="s">
        <v>6411</v>
      </c>
      <c r="O46" s="28" t="s">
        <v>6276</v>
      </c>
      <c r="P46" s="28" t="s">
        <v>604</v>
      </c>
      <c r="Q46" s="28" t="s">
        <v>6504</v>
      </c>
      <c r="R46" s="28" t="s">
        <v>604</v>
      </c>
      <c r="S46" s="28" t="s">
        <v>604</v>
      </c>
      <c r="T46" s="28" t="s">
        <v>604</v>
      </c>
      <c r="U46" s="28" t="s">
        <v>6505</v>
      </c>
      <c r="V46" s="6" t="s">
        <v>6510</v>
      </c>
      <c r="W46" s="6" t="s">
        <v>604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4174</v>
      </c>
      <c r="B47" s="6" t="s">
        <v>6511</v>
      </c>
      <c r="C47" s="223" t="n">
        <v>5</v>
      </c>
      <c r="D47" s="221"/>
      <c r="E47" s="221"/>
      <c r="F47" s="28" t="s">
        <v>460</v>
      </c>
      <c r="G47" s="28" t="s">
        <v>6512</v>
      </c>
      <c r="H47" s="28" t="s">
        <v>6509</v>
      </c>
      <c r="I47" s="28" t="s">
        <v>604</v>
      </c>
      <c r="J47" s="6" t="s">
        <v>6502</v>
      </c>
      <c r="K47" s="221" t="n">
        <v>1</v>
      </c>
      <c r="L47" s="221" t="s">
        <v>6273</v>
      </c>
      <c r="M47" s="6" t="s">
        <v>6503</v>
      </c>
      <c r="N47" s="221" t="s">
        <v>6275</v>
      </c>
      <c r="O47" s="28" t="s">
        <v>6276</v>
      </c>
      <c r="P47" s="28" t="s">
        <v>604</v>
      </c>
      <c r="Q47" s="28" t="s">
        <v>6513</v>
      </c>
      <c r="R47" s="28" t="s">
        <v>604</v>
      </c>
      <c r="S47" s="28" t="s">
        <v>5889</v>
      </c>
      <c r="T47" s="28" t="s">
        <v>604</v>
      </c>
      <c r="U47" s="28" t="s">
        <v>6505</v>
      </c>
      <c r="V47" s="6" t="s">
        <v>6514</v>
      </c>
      <c r="W47" s="6" t="s">
        <v>6515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4052</v>
      </c>
      <c r="B48" s="6" t="s">
        <v>6516</v>
      </c>
      <c r="C48" s="223" t="n">
        <v>4600</v>
      </c>
      <c r="D48" s="221"/>
      <c r="E48" s="221"/>
      <c r="F48" s="28" t="s">
        <v>6517</v>
      </c>
      <c r="G48" s="28" t="s">
        <v>6452</v>
      </c>
      <c r="H48" s="28" t="s">
        <v>6362</v>
      </c>
      <c r="I48" s="28" t="s">
        <v>604</v>
      </c>
      <c r="J48" s="6" t="s">
        <v>6502</v>
      </c>
      <c r="K48" s="221" t="n">
        <v>3</v>
      </c>
      <c r="L48" s="221" t="s">
        <v>6273</v>
      </c>
      <c r="M48" s="6" t="s">
        <v>6503</v>
      </c>
      <c r="N48" s="221" t="s">
        <v>6411</v>
      </c>
      <c r="O48" s="28" t="s">
        <v>6276</v>
      </c>
      <c r="P48" s="28" t="s">
        <v>604</v>
      </c>
      <c r="Q48" s="28" t="s">
        <v>6504</v>
      </c>
      <c r="R48" s="28" t="s">
        <v>604</v>
      </c>
      <c r="S48" s="28" t="s">
        <v>604</v>
      </c>
      <c r="T48" s="28" t="s">
        <v>604</v>
      </c>
      <c r="U48" s="28" t="s">
        <v>6505</v>
      </c>
      <c r="V48" s="6" t="s">
        <v>6518</v>
      </c>
      <c r="W48" s="6" t="s">
        <v>6519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6520</v>
      </c>
      <c r="B49" s="6" t="s">
        <v>6521</v>
      </c>
      <c r="C49" s="223" t="n">
        <v>5000</v>
      </c>
      <c r="D49" s="221"/>
      <c r="E49" s="221"/>
      <c r="F49" s="28" t="s">
        <v>6451</v>
      </c>
      <c r="G49" s="28" t="s">
        <v>6452</v>
      </c>
      <c r="H49" s="28" t="s">
        <v>6362</v>
      </c>
      <c r="I49" s="28" t="s">
        <v>604</v>
      </c>
      <c r="J49" s="6" t="s">
        <v>6502</v>
      </c>
      <c r="K49" s="221" t="n">
        <v>3</v>
      </c>
      <c r="L49" s="221" t="s">
        <v>6273</v>
      </c>
      <c r="M49" s="6" t="s">
        <v>6503</v>
      </c>
      <c r="N49" s="221" t="s">
        <v>6411</v>
      </c>
      <c r="O49" s="28" t="s">
        <v>6363</v>
      </c>
      <c r="P49" s="28" t="s">
        <v>6364</v>
      </c>
      <c r="Q49" s="28" t="s">
        <v>6504</v>
      </c>
      <c r="R49" s="28" t="s">
        <v>604</v>
      </c>
      <c r="S49" s="28" t="s">
        <v>604</v>
      </c>
      <c r="T49" s="28" t="s">
        <v>604</v>
      </c>
      <c r="U49" s="28" t="s">
        <v>6505</v>
      </c>
      <c r="V49" s="6" t="s">
        <v>6522</v>
      </c>
      <c r="W49" s="6" t="s">
        <v>6523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4142</v>
      </c>
      <c r="B50" s="6" t="s">
        <v>6524</v>
      </c>
      <c r="C50" s="223" t="n">
        <v>1.8</v>
      </c>
      <c r="D50" s="221"/>
      <c r="E50" s="221"/>
      <c r="F50" s="28" t="s">
        <v>6525</v>
      </c>
      <c r="G50" s="221" t="s">
        <v>6361</v>
      </c>
      <c r="H50" s="28" t="s">
        <v>2198</v>
      </c>
      <c r="I50" s="28" t="s">
        <v>604</v>
      </c>
      <c r="J50" s="6" t="s">
        <v>6502</v>
      </c>
      <c r="K50" s="221" t="n">
        <v>3</v>
      </c>
      <c r="L50" s="221" t="s">
        <v>6273</v>
      </c>
      <c r="M50" s="6" t="s">
        <v>6503</v>
      </c>
      <c r="N50" s="221" t="s">
        <v>6411</v>
      </c>
      <c r="O50" s="28" t="s">
        <v>6276</v>
      </c>
      <c r="P50" s="28" t="s">
        <v>604</v>
      </c>
      <c r="Q50" s="28" t="s">
        <v>6504</v>
      </c>
      <c r="R50" s="28" t="s">
        <v>604</v>
      </c>
      <c r="S50" s="28" t="s">
        <v>604</v>
      </c>
      <c r="T50" s="28" t="s">
        <v>604</v>
      </c>
      <c r="U50" s="28" t="s">
        <v>6505</v>
      </c>
      <c r="V50" s="6" t="s">
        <v>6526</v>
      </c>
      <c r="W50" s="19" t="s">
        <v>6527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3883</v>
      </c>
      <c r="B51" s="6" t="s">
        <v>6528</v>
      </c>
      <c r="C51" s="223" t="n">
        <v>72</v>
      </c>
      <c r="D51" s="221"/>
      <c r="E51" s="221"/>
      <c r="F51" s="28" t="s">
        <v>715</v>
      </c>
      <c r="G51" s="28" t="s">
        <v>6529</v>
      </c>
      <c r="H51" s="28" t="s">
        <v>6530</v>
      </c>
      <c r="I51" s="28" t="s">
        <v>604</v>
      </c>
      <c r="J51" s="6" t="s">
        <v>6502</v>
      </c>
      <c r="K51" s="221" t="n">
        <v>1</v>
      </c>
      <c r="L51" s="221" t="s">
        <v>6273</v>
      </c>
      <c r="M51" s="6" t="s">
        <v>6531</v>
      </c>
      <c r="N51" s="221" t="s">
        <v>6275</v>
      </c>
      <c r="O51" s="28" t="s">
        <v>6276</v>
      </c>
      <c r="P51" s="28" t="s">
        <v>604</v>
      </c>
      <c r="Q51" s="28" t="s">
        <v>6532</v>
      </c>
      <c r="R51" s="28" t="s">
        <v>604</v>
      </c>
      <c r="S51" s="28" t="s">
        <v>5889</v>
      </c>
      <c r="T51" s="28" t="s">
        <v>604</v>
      </c>
      <c r="U51" s="28" t="s">
        <v>6505</v>
      </c>
      <c r="V51" s="6" t="s">
        <v>6533</v>
      </c>
      <c r="W51" s="19" t="s">
        <v>6534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4061</v>
      </c>
      <c r="B52" s="6" t="s">
        <v>6535</v>
      </c>
      <c r="C52" s="223" t="n">
        <v>0.9</v>
      </c>
      <c r="D52" s="221"/>
      <c r="E52" s="221"/>
      <c r="F52" s="28" t="s">
        <v>344</v>
      </c>
      <c r="G52" s="221" t="s">
        <v>6536</v>
      </c>
      <c r="H52" s="28" t="s">
        <v>6509</v>
      </c>
      <c r="I52" s="28" t="s">
        <v>604</v>
      </c>
      <c r="J52" s="6" t="s">
        <v>6502</v>
      </c>
      <c r="K52" s="221" t="n">
        <v>3</v>
      </c>
      <c r="L52" s="221" t="s">
        <v>6273</v>
      </c>
      <c r="M52" s="6" t="s">
        <v>6503</v>
      </c>
      <c r="N52" s="221" t="s">
        <v>6411</v>
      </c>
      <c r="O52" s="28" t="s">
        <v>6276</v>
      </c>
      <c r="P52" s="28" t="s">
        <v>604</v>
      </c>
      <c r="Q52" s="28" t="s">
        <v>6504</v>
      </c>
      <c r="R52" s="28" t="s">
        <v>604</v>
      </c>
      <c r="S52" s="28" t="s">
        <v>604</v>
      </c>
      <c r="T52" s="28" t="s">
        <v>604</v>
      </c>
      <c r="U52" s="28" t="s">
        <v>6505</v>
      </c>
      <c r="V52" s="6" t="s">
        <v>6537</v>
      </c>
      <c r="W52" s="19" t="s">
        <v>6538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4065</v>
      </c>
      <c r="B53" s="6" t="s">
        <v>6539</v>
      </c>
      <c r="C53" s="223" t="n">
        <v>1.8</v>
      </c>
      <c r="D53" s="221"/>
      <c r="E53" s="221"/>
      <c r="F53" s="28" t="s">
        <v>344</v>
      </c>
      <c r="G53" s="221" t="s">
        <v>6536</v>
      </c>
      <c r="H53" s="28" t="s">
        <v>2198</v>
      </c>
      <c r="I53" s="28" t="s">
        <v>604</v>
      </c>
      <c r="J53" s="6" t="s">
        <v>6502</v>
      </c>
      <c r="K53" s="221" t="n">
        <v>3</v>
      </c>
      <c r="L53" s="221" t="s">
        <v>6273</v>
      </c>
      <c r="M53" s="6" t="s">
        <v>6503</v>
      </c>
      <c r="N53" s="221" t="s">
        <v>6411</v>
      </c>
      <c r="O53" s="28" t="s">
        <v>6276</v>
      </c>
      <c r="P53" s="28" t="s">
        <v>604</v>
      </c>
      <c r="Q53" s="28" t="s">
        <v>6504</v>
      </c>
      <c r="R53" s="28" t="s">
        <v>604</v>
      </c>
      <c r="S53" s="28" t="s">
        <v>604</v>
      </c>
      <c r="T53" s="28" t="s">
        <v>604</v>
      </c>
      <c r="U53" s="28" t="s">
        <v>6505</v>
      </c>
      <c r="V53" s="6" t="s">
        <v>6540</v>
      </c>
      <c r="W53" s="6" t="s">
        <v>604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4103</v>
      </c>
      <c r="B54" s="6" t="s">
        <v>6541</v>
      </c>
      <c r="C54" s="223" t="n">
        <v>0.5625</v>
      </c>
      <c r="D54" s="221"/>
      <c r="E54" s="221"/>
      <c r="F54" s="28" t="s">
        <v>6542</v>
      </c>
      <c r="G54" s="221" t="s">
        <v>6543</v>
      </c>
      <c r="H54" s="28" t="s">
        <v>209</v>
      </c>
      <c r="I54" s="28" t="s">
        <v>604</v>
      </c>
      <c r="J54" s="6" t="s">
        <v>6502</v>
      </c>
      <c r="K54" s="221" t="n">
        <v>3</v>
      </c>
      <c r="L54" s="221" t="s">
        <v>6273</v>
      </c>
      <c r="M54" s="6" t="s">
        <v>6503</v>
      </c>
      <c r="N54" s="221" t="s">
        <v>6411</v>
      </c>
      <c r="O54" s="28" t="s">
        <v>6276</v>
      </c>
      <c r="P54" s="28" t="s">
        <v>604</v>
      </c>
      <c r="Q54" s="28" t="s">
        <v>6504</v>
      </c>
      <c r="R54" s="28" t="s">
        <v>604</v>
      </c>
      <c r="S54" s="28" t="s">
        <v>604</v>
      </c>
      <c r="T54" s="28" t="s">
        <v>604</v>
      </c>
      <c r="U54" s="28" t="s">
        <v>6505</v>
      </c>
      <c r="V54" s="6" t="s">
        <v>6544</v>
      </c>
      <c r="W54" s="6" t="s">
        <v>604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6545</v>
      </c>
      <c r="B55" s="6" t="s">
        <v>6546</v>
      </c>
      <c r="C55" s="223" t="n">
        <v>3</v>
      </c>
      <c r="D55" s="221"/>
      <c r="E55" s="221"/>
      <c r="F55" s="28" t="s">
        <v>6311</v>
      </c>
      <c r="G55" s="221" t="s">
        <v>6361</v>
      </c>
      <c r="H55" s="28" t="s">
        <v>163</v>
      </c>
      <c r="I55" s="28" t="s">
        <v>604</v>
      </c>
      <c r="J55" s="19" t="s">
        <v>6547</v>
      </c>
      <c r="K55" s="221" t="n">
        <v>3</v>
      </c>
      <c r="L55" s="221" t="s">
        <v>6380</v>
      </c>
      <c r="M55" s="6" t="s">
        <v>6548</v>
      </c>
      <c r="N55" s="221" t="s">
        <v>6286</v>
      </c>
      <c r="O55" s="28" t="s">
        <v>6276</v>
      </c>
      <c r="P55" s="28" t="s">
        <v>604</v>
      </c>
      <c r="Q55" s="28" t="s">
        <v>6549</v>
      </c>
      <c r="R55" s="28" t="s">
        <v>604</v>
      </c>
      <c r="S55" s="28" t="s">
        <v>604</v>
      </c>
      <c r="T55" s="28" t="s">
        <v>604</v>
      </c>
      <c r="U55" s="28" t="s">
        <v>6550</v>
      </c>
      <c r="V55" s="6" t="s">
        <v>604</v>
      </c>
      <c r="W55" s="19" t="s">
        <v>6551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3944</v>
      </c>
      <c r="B56" s="6" t="s">
        <v>6552</v>
      </c>
      <c r="C56" s="223" t="n">
        <v>4</v>
      </c>
      <c r="D56" s="221"/>
      <c r="E56" s="221"/>
      <c r="F56" s="28" t="s">
        <v>6311</v>
      </c>
      <c r="G56" s="221" t="s">
        <v>6553</v>
      </c>
      <c r="H56" s="28" t="s">
        <v>164</v>
      </c>
      <c r="I56" s="28" t="s">
        <v>6554</v>
      </c>
      <c r="J56" s="19" t="s">
        <v>6555</v>
      </c>
      <c r="K56" s="221" t="n">
        <v>2</v>
      </c>
      <c r="L56" s="221" t="s">
        <v>6380</v>
      </c>
      <c r="M56" s="6" t="s">
        <v>6548</v>
      </c>
      <c r="N56" s="221" t="s">
        <v>6286</v>
      </c>
      <c r="O56" s="28" t="s">
        <v>6276</v>
      </c>
      <c r="P56" s="28" t="s">
        <v>604</v>
      </c>
      <c r="Q56" s="28" t="s">
        <v>6556</v>
      </c>
      <c r="R56" s="28" t="s">
        <v>604</v>
      </c>
      <c r="S56" s="28" t="s">
        <v>3225</v>
      </c>
      <c r="T56" s="28" t="s">
        <v>604</v>
      </c>
      <c r="U56" s="28" t="s">
        <v>6550</v>
      </c>
      <c r="V56" s="6" t="s">
        <v>6557</v>
      </c>
      <c r="W56" s="19" t="s">
        <v>6558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4072</v>
      </c>
      <c r="B57" s="6" t="s">
        <v>6559</v>
      </c>
      <c r="C57" s="223" t="n">
        <v>8</v>
      </c>
      <c r="D57" s="221"/>
      <c r="E57" s="221"/>
      <c r="F57" s="28" t="s">
        <v>715</v>
      </c>
      <c r="G57" s="28" t="s">
        <v>6560</v>
      </c>
      <c r="H57" s="28" t="s">
        <v>6561</v>
      </c>
      <c r="I57" s="28" t="s">
        <v>604</v>
      </c>
      <c r="J57" s="6" t="s">
        <v>6562</v>
      </c>
      <c r="K57" s="221" t="n">
        <v>1</v>
      </c>
      <c r="L57" s="221" t="s">
        <v>6273</v>
      </c>
      <c r="M57" s="6" t="s">
        <v>6274</v>
      </c>
      <c r="N57" s="221" t="s">
        <v>6275</v>
      </c>
      <c r="O57" s="28" t="s">
        <v>6276</v>
      </c>
      <c r="P57" s="28" t="s">
        <v>604</v>
      </c>
      <c r="Q57" s="28" t="s">
        <v>6563</v>
      </c>
      <c r="R57" s="28" t="s">
        <v>604</v>
      </c>
      <c r="S57" s="28" t="s">
        <v>5889</v>
      </c>
      <c r="T57" s="28" t="s">
        <v>604</v>
      </c>
      <c r="U57" s="28" t="s">
        <v>6564</v>
      </c>
      <c r="V57" s="6" t="s">
        <v>604</v>
      </c>
      <c r="W57" s="6" t="s">
        <v>6565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6566</v>
      </c>
      <c r="B58" s="6" t="s">
        <v>6567</v>
      </c>
      <c r="C58" s="223" t="n">
        <v>144</v>
      </c>
      <c r="D58" s="221"/>
      <c r="E58" s="221"/>
      <c r="F58" s="221" t="s">
        <v>6568</v>
      </c>
      <c r="G58" s="28" t="s">
        <v>6569</v>
      </c>
      <c r="H58" s="28" t="s">
        <v>6362</v>
      </c>
      <c r="I58" s="28" t="s">
        <v>604</v>
      </c>
      <c r="J58" s="6" t="s">
        <v>6562</v>
      </c>
      <c r="K58" s="221" t="n">
        <v>3</v>
      </c>
      <c r="L58" s="221" t="s">
        <v>6273</v>
      </c>
      <c r="M58" s="6" t="s">
        <v>6570</v>
      </c>
      <c r="N58" s="221" t="s">
        <v>6411</v>
      </c>
      <c r="O58" s="28" t="s">
        <v>6363</v>
      </c>
      <c r="P58" s="28" t="s">
        <v>6364</v>
      </c>
      <c r="Q58" s="28" t="s">
        <v>6571</v>
      </c>
      <c r="R58" s="28" t="s">
        <v>604</v>
      </c>
      <c r="S58" s="28" t="s">
        <v>604</v>
      </c>
      <c r="T58" s="28" t="s">
        <v>604</v>
      </c>
      <c r="U58" s="28" t="s">
        <v>6564</v>
      </c>
      <c r="V58" s="6" t="s">
        <v>604</v>
      </c>
      <c r="W58" s="6" t="s">
        <v>6572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4101</v>
      </c>
      <c r="B59" s="6" t="s">
        <v>6573</v>
      </c>
      <c r="C59" s="223" t="n">
        <v>1</v>
      </c>
      <c r="D59" s="221"/>
      <c r="E59" s="221"/>
      <c r="F59" s="28" t="s">
        <v>6542</v>
      </c>
      <c r="G59" s="221" t="s">
        <v>6543</v>
      </c>
      <c r="H59" s="28" t="s">
        <v>208</v>
      </c>
      <c r="I59" s="28" t="s">
        <v>604</v>
      </c>
      <c r="J59" s="6" t="s">
        <v>6562</v>
      </c>
      <c r="K59" s="221" t="n">
        <v>3</v>
      </c>
      <c r="L59" s="221" t="s">
        <v>6380</v>
      </c>
      <c r="M59" s="19" t="s">
        <v>6574</v>
      </c>
      <c r="N59" s="221" t="s">
        <v>6411</v>
      </c>
      <c r="O59" s="28" t="s">
        <v>6276</v>
      </c>
      <c r="P59" s="28" t="s">
        <v>604</v>
      </c>
      <c r="Q59" s="28" t="s">
        <v>6571</v>
      </c>
      <c r="R59" s="28" t="s">
        <v>604</v>
      </c>
      <c r="S59" s="28" t="s">
        <v>604</v>
      </c>
      <c r="T59" s="28" t="s">
        <v>604</v>
      </c>
      <c r="U59" s="28" t="s">
        <v>6564</v>
      </c>
      <c r="V59" s="6" t="s">
        <v>604</v>
      </c>
      <c r="W59" s="6" t="s">
        <v>6575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4136</v>
      </c>
      <c r="B60" s="6" t="s">
        <v>6576</v>
      </c>
      <c r="C60" s="223" t="n">
        <v>700</v>
      </c>
      <c r="D60" s="221"/>
      <c r="E60" s="221"/>
      <c r="F60" s="28" t="s">
        <v>6577</v>
      </c>
      <c r="G60" s="28" t="s">
        <v>6578</v>
      </c>
      <c r="H60" s="28" t="s">
        <v>162</v>
      </c>
      <c r="I60" s="28" t="s">
        <v>604</v>
      </c>
      <c r="J60" s="6" t="s">
        <v>6562</v>
      </c>
      <c r="K60" s="221" t="n">
        <v>3</v>
      </c>
      <c r="L60" s="221" t="s">
        <v>6273</v>
      </c>
      <c r="M60" s="6" t="s">
        <v>6274</v>
      </c>
      <c r="N60" s="221" t="s">
        <v>6411</v>
      </c>
      <c r="O60" s="28" t="s">
        <v>6276</v>
      </c>
      <c r="P60" s="28" t="s">
        <v>604</v>
      </c>
      <c r="Q60" s="28" t="s">
        <v>6571</v>
      </c>
      <c r="R60" s="28" t="s">
        <v>604</v>
      </c>
      <c r="S60" s="28" t="s">
        <v>604</v>
      </c>
      <c r="T60" s="28" t="s">
        <v>604</v>
      </c>
      <c r="U60" s="28" t="s">
        <v>6564</v>
      </c>
      <c r="V60" s="6" t="s">
        <v>604</v>
      </c>
      <c r="W60" s="6" t="s">
        <v>6575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4138</v>
      </c>
      <c r="B61" s="6" t="s">
        <v>6579</v>
      </c>
      <c r="C61" s="223" t="n">
        <v>1200</v>
      </c>
      <c r="D61" s="221"/>
      <c r="E61" s="221"/>
      <c r="F61" s="28" t="s">
        <v>6577</v>
      </c>
      <c r="G61" s="221" t="s">
        <v>6580</v>
      </c>
      <c r="H61" s="28" t="s">
        <v>163</v>
      </c>
      <c r="I61" s="28" t="s">
        <v>604</v>
      </c>
      <c r="J61" s="6" t="s">
        <v>6562</v>
      </c>
      <c r="K61" s="221" t="n">
        <v>3</v>
      </c>
      <c r="L61" s="221" t="s">
        <v>6273</v>
      </c>
      <c r="M61" s="6" t="s">
        <v>6274</v>
      </c>
      <c r="N61" s="221" t="s">
        <v>6411</v>
      </c>
      <c r="O61" s="28" t="s">
        <v>6276</v>
      </c>
      <c r="P61" s="28" t="s">
        <v>604</v>
      </c>
      <c r="Q61" s="28" t="s">
        <v>6571</v>
      </c>
      <c r="R61" s="28" t="s">
        <v>604</v>
      </c>
      <c r="S61" s="28" t="s">
        <v>604</v>
      </c>
      <c r="T61" s="28" t="s">
        <v>604</v>
      </c>
      <c r="U61" s="28" t="s">
        <v>6564</v>
      </c>
      <c r="V61" s="6" t="s">
        <v>604</v>
      </c>
      <c r="W61" s="6" t="s">
        <v>6575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4140</v>
      </c>
      <c r="B62" s="6" t="s">
        <v>6581</v>
      </c>
      <c r="C62" s="223" t="n">
        <v>1400</v>
      </c>
      <c r="D62" s="221"/>
      <c r="E62" s="221"/>
      <c r="F62" s="28" t="s">
        <v>6577</v>
      </c>
      <c r="G62" s="221" t="s">
        <v>6580</v>
      </c>
      <c r="H62" s="28" t="s">
        <v>164</v>
      </c>
      <c r="I62" s="28" t="s">
        <v>604</v>
      </c>
      <c r="J62" s="6" t="s">
        <v>6562</v>
      </c>
      <c r="K62" s="221" t="n">
        <v>3</v>
      </c>
      <c r="L62" s="221" t="s">
        <v>6273</v>
      </c>
      <c r="M62" s="6" t="s">
        <v>6274</v>
      </c>
      <c r="N62" s="221" t="s">
        <v>6411</v>
      </c>
      <c r="O62" s="28" t="s">
        <v>6276</v>
      </c>
      <c r="P62" s="28" t="s">
        <v>604</v>
      </c>
      <c r="Q62" s="28" t="s">
        <v>6571</v>
      </c>
      <c r="R62" s="28" t="s">
        <v>604</v>
      </c>
      <c r="S62" s="28" t="s">
        <v>604</v>
      </c>
      <c r="T62" s="28" t="s">
        <v>604</v>
      </c>
      <c r="U62" s="28" t="s">
        <v>6564</v>
      </c>
      <c r="V62" s="6" t="s">
        <v>604</v>
      </c>
      <c r="W62" s="6" t="s">
        <v>6575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4046</v>
      </c>
      <c r="B63" s="6" t="s">
        <v>6582</v>
      </c>
      <c r="C63" s="223" t="n">
        <v>8</v>
      </c>
      <c r="D63" s="221"/>
      <c r="E63" s="221"/>
      <c r="F63" s="28" t="s">
        <v>344</v>
      </c>
      <c r="G63" s="28" t="s">
        <v>6466</v>
      </c>
      <c r="H63" s="28" t="s">
        <v>164</v>
      </c>
      <c r="I63" s="28" t="s">
        <v>604</v>
      </c>
      <c r="J63" s="6" t="s">
        <v>6562</v>
      </c>
      <c r="K63" s="221" t="n">
        <v>3</v>
      </c>
      <c r="L63" s="221" t="s">
        <v>6273</v>
      </c>
      <c r="M63" s="6" t="s">
        <v>6274</v>
      </c>
      <c r="N63" s="221" t="s">
        <v>6411</v>
      </c>
      <c r="O63" s="28" t="s">
        <v>6276</v>
      </c>
      <c r="P63" s="28" t="s">
        <v>604</v>
      </c>
      <c r="Q63" s="28" t="s">
        <v>6571</v>
      </c>
      <c r="R63" s="28" t="s">
        <v>604</v>
      </c>
      <c r="S63" s="28" t="s">
        <v>604</v>
      </c>
      <c r="T63" s="28" t="s">
        <v>604</v>
      </c>
      <c r="U63" s="28" t="s">
        <v>6564</v>
      </c>
      <c r="V63" s="6" t="s">
        <v>604</v>
      </c>
      <c r="W63" s="6" t="s">
        <v>6575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4057</v>
      </c>
      <c r="B64" s="6" t="s">
        <v>6583</v>
      </c>
      <c r="C64" s="223" t="n">
        <v>400</v>
      </c>
      <c r="D64" s="221"/>
      <c r="E64" s="221"/>
      <c r="F64" s="28" t="s">
        <v>6584</v>
      </c>
      <c r="G64" s="221" t="s">
        <v>6585</v>
      </c>
      <c r="H64" s="28" t="s">
        <v>162</v>
      </c>
      <c r="I64" s="28" t="s">
        <v>604</v>
      </c>
      <c r="J64" s="6" t="s">
        <v>6562</v>
      </c>
      <c r="K64" s="221" t="n">
        <v>3</v>
      </c>
      <c r="L64" s="221" t="s">
        <v>6273</v>
      </c>
      <c r="M64" s="6" t="s">
        <v>6274</v>
      </c>
      <c r="N64" s="221" t="s">
        <v>6411</v>
      </c>
      <c r="O64" s="28" t="s">
        <v>6276</v>
      </c>
      <c r="P64" s="28" t="s">
        <v>604</v>
      </c>
      <c r="Q64" s="28" t="s">
        <v>6571</v>
      </c>
      <c r="R64" s="28" t="s">
        <v>604</v>
      </c>
      <c r="S64" s="28" t="s">
        <v>604</v>
      </c>
      <c r="T64" s="28" t="s">
        <v>604</v>
      </c>
      <c r="U64" s="28" t="s">
        <v>6564</v>
      </c>
      <c r="V64" s="6" t="s">
        <v>604</v>
      </c>
      <c r="W64" s="6" t="s">
        <v>6575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3889</v>
      </c>
      <c r="B65" s="6" t="s">
        <v>6586</v>
      </c>
      <c r="C65" s="223" t="n">
        <v>72</v>
      </c>
      <c r="D65" s="221"/>
      <c r="E65" s="221"/>
      <c r="F65" s="221" t="s">
        <v>6568</v>
      </c>
      <c r="G65" s="221" t="s">
        <v>6587</v>
      </c>
      <c r="H65" s="28" t="s">
        <v>6588</v>
      </c>
      <c r="I65" s="28" t="s">
        <v>1207</v>
      </c>
      <c r="J65" s="6" t="s">
        <v>6589</v>
      </c>
      <c r="K65" s="221" t="n">
        <v>1</v>
      </c>
      <c r="L65" s="221" t="s">
        <v>6273</v>
      </c>
      <c r="M65" s="6" t="s">
        <v>6590</v>
      </c>
      <c r="N65" s="221" t="s">
        <v>6275</v>
      </c>
      <c r="O65" s="28" t="s">
        <v>6276</v>
      </c>
      <c r="P65" s="28" t="s">
        <v>604</v>
      </c>
      <c r="Q65" s="28" t="s">
        <v>6591</v>
      </c>
      <c r="R65" s="28" t="s">
        <v>604</v>
      </c>
      <c r="S65" s="28" t="s">
        <v>604</v>
      </c>
      <c r="T65" s="28" t="s">
        <v>604</v>
      </c>
      <c r="U65" s="28" t="s">
        <v>6592</v>
      </c>
      <c r="V65" s="6" t="s">
        <v>6593</v>
      </c>
      <c r="W65" s="6" t="s">
        <v>6594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4078</v>
      </c>
      <c r="B66" s="6" t="s">
        <v>6595</v>
      </c>
      <c r="C66" s="223" t="n">
        <v>576</v>
      </c>
      <c r="D66" s="221"/>
      <c r="E66" s="221"/>
      <c r="F66" s="28" t="s">
        <v>715</v>
      </c>
      <c r="G66" s="28" t="s">
        <v>6596</v>
      </c>
      <c r="H66" s="28" t="s">
        <v>6362</v>
      </c>
      <c r="I66" s="28" t="s">
        <v>1207</v>
      </c>
      <c r="J66" s="6" t="s">
        <v>6589</v>
      </c>
      <c r="K66" s="221" t="n">
        <v>1</v>
      </c>
      <c r="L66" s="221" t="s">
        <v>6273</v>
      </c>
      <c r="M66" s="6" t="s">
        <v>6597</v>
      </c>
      <c r="N66" s="221" t="s">
        <v>6275</v>
      </c>
      <c r="O66" s="28" t="s">
        <v>6276</v>
      </c>
      <c r="P66" s="28" t="s">
        <v>604</v>
      </c>
      <c r="Q66" s="28" t="s">
        <v>6591</v>
      </c>
      <c r="R66" s="28" t="s">
        <v>604</v>
      </c>
      <c r="S66" s="28" t="s">
        <v>604</v>
      </c>
      <c r="T66" s="28" t="s">
        <v>604</v>
      </c>
      <c r="U66" s="28" t="s">
        <v>6592</v>
      </c>
      <c r="V66" s="6" t="s">
        <v>6598</v>
      </c>
      <c r="W66" s="6" t="s">
        <v>6599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4003</v>
      </c>
      <c r="B67" s="6" t="s">
        <v>6600</v>
      </c>
      <c r="C67" s="223" t="n">
        <v>2520</v>
      </c>
      <c r="D67" s="221"/>
      <c r="E67" s="221"/>
      <c r="F67" s="28" t="s">
        <v>6601</v>
      </c>
      <c r="G67" s="28" t="s">
        <v>6602</v>
      </c>
      <c r="H67" s="28" t="s">
        <v>165</v>
      </c>
      <c r="I67" s="28" t="s">
        <v>6283</v>
      </c>
      <c r="J67" s="6" t="s">
        <v>6603</v>
      </c>
      <c r="K67" s="221" t="n">
        <v>1</v>
      </c>
      <c r="L67" s="221" t="s">
        <v>6273</v>
      </c>
      <c r="M67" s="6" t="s">
        <v>6604</v>
      </c>
      <c r="N67" s="221" t="s">
        <v>6275</v>
      </c>
      <c r="O67" s="28" t="s">
        <v>6276</v>
      </c>
      <c r="P67" s="28" t="s">
        <v>604</v>
      </c>
      <c r="Q67" s="28" t="s">
        <v>6605</v>
      </c>
      <c r="R67" s="28" t="s">
        <v>604</v>
      </c>
      <c r="S67" s="28" t="s">
        <v>604</v>
      </c>
      <c r="T67" s="28" t="s">
        <v>604</v>
      </c>
      <c r="U67" s="28" t="s">
        <v>6592</v>
      </c>
      <c r="V67" s="19" t="s">
        <v>6606</v>
      </c>
      <c r="W67" s="6" t="s">
        <v>6607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6608</v>
      </c>
      <c r="B68" s="6" t="s">
        <v>6609</v>
      </c>
      <c r="C68" s="223" t="n">
        <v>227</v>
      </c>
      <c r="D68" s="221"/>
      <c r="E68" s="221"/>
      <c r="F68" s="28" t="s">
        <v>6295</v>
      </c>
      <c r="G68" s="221" t="s">
        <v>6610</v>
      </c>
      <c r="H68" s="28" t="s">
        <v>165</v>
      </c>
      <c r="I68" s="28" t="s">
        <v>1207</v>
      </c>
      <c r="J68" s="6" t="s">
        <v>6611</v>
      </c>
      <c r="K68" s="221" t="n">
        <v>1</v>
      </c>
      <c r="L68" s="221" t="s">
        <v>6273</v>
      </c>
      <c r="M68" s="6" t="s">
        <v>6612</v>
      </c>
      <c r="N68" s="221" t="s">
        <v>6275</v>
      </c>
      <c r="O68" s="28" t="s">
        <v>6276</v>
      </c>
      <c r="P68" s="28" t="s">
        <v>604</v>
      </c>
      <c r="Q68" s="28" t="s">
        <v>6613</v>
      </c>
      <c r="R68" s="28" t="s">
        <v>604</v>
      </c>
      <c r="S68" s="28" t="s">
        <v>604</v>
      </c>
      <c r="T68" s="28" t="s">
        <v>604</v>
      </c>
      <c r="U68" s="28" t="s">
        <v>6592</v>
      </c>
      <c r="V68" s="19" t="s">
        <v>6614</v>
      </c>
      <c r="W68" s="6" t="s">
        <v>6615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6616</v>
      </c>
      <c r="B69" s="6" t="s">
        <v>6617</v>
      </c>
      <c r="C69" s="223" t="n">
        <v>4.3</v>
      </c>
      <c r="D69" s="195"/>
      <c r="E69" s="195"/>
      <c r="F69" s="28" t="s">
        <v>6311</v>
      </c>
      <c r="G69" s="195" t="s">
        <v>6618</v>
      </c>
      <c r="H69" s="28" t="s">
        <v>164</v>
      </c>
      <c r="I69" s="28" t="s">
        <v>6619</v>
      </c>
      <c r="J69" s="6" t="s">
        <v>6620</v>
      </c>
      <c r="K69" s="195" t="n">
        <v>2</v>
      </c>
      <c r="L69" s="195" t="s">
        <v>6273</v>
      </c>
      <c r="M69" s="225" t="s">
        <v>6621</v>
      </c>
      <c r="N69" s="195" t="s">
        <v>6286</v>
      </c>
      <c r="O69" s="28" t="s">
        <v>6322</v>
      </c>
      <c r="P69" s="28" t="s">
        <v>604</v>
      </c>
      <c r="Q69" s="28" t="s">
        <v>6622</v>
      </c>
      <c r="R69" s="28" t="s">
        <v>604</v>
      </c>
      <c r="S69" s="28" t="s">
        <v>604</v>
      </c>
      <c r="T69" s="28" t="s">
        <v>604</v>
      </c>
      <c r="U69" s="28" t="s">
        <v>6623</v>
      </c>
      <c r="V69" s="6" t="s">
        <v>6624</v>
      </c>
      <c r="W69" s="6" t="s">
        <v>6625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6626</v>
      </c>
      <c r="B70" s="6" t="s">
        <v>6627</v>
      </c>
      <c r="C70" s="223" t="n">
        <v>2</v>
      </c>
      <c r="D70" s="195"/>
      <c r="E70" s="195"/>
      <c r="F70" s="28" t="s">
        <v>93</v>
      </c>
      <c r="G70" s="195" t="s">
        <v>6628</v>
      </c>
      <c r="H70" s="28" t="s">
        <v>6629</v>
      </c>
      <c r="I70" s="28" t="s">
        <v>6630</v>
      </c>
      <c r="J70" s="6" t="s">
        <v>6631</v>
      </c>
      <c r="K70" s="195" t="n">
        <v>1</v>
      </c>
      <c r="L70" s="195" t="s">
        <v>6380</v>
      </c>
      <c r="M70" s="225" t="s">
        <v>6632</v>
      </c>
      <c r="N70" s="195" t="s">
        <v>6275</v>
      </c>
      <c r="O70" s="28" t="s">
        <v>6276</v>
      </c>
      <c r="P70" s="28" t="s">
        <v>604</v>
      </c>
      <c r="Q70" s="28" t="s">
        <v>6633</v>
      </c>
      <c r="R70" s="28" t="s">
        <v>604</v>
      </c>
      <c r="S70" s="28" t="s">
        <v>604</v>
      </c>
      <c r="T70" s="28" t="s">
        <v>604</v>
      </c>
      <c r="U70" s="28" t="s">
        <v>6623</v>
      </c>
      <c r="V70" s="225" t="s">
        <v>6634</v>
      </c>
      <c r="W70" s="6" t="s">
        <v>6635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6636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H4" s="81" t="s">
        <v>6266</v>
      </c>
    </row>
    <row r="5" customFormat="false" ht="29.25" hidden="false" customHeight="true" outlineLevel="0" collapsed="false">
      <c r="A5" s="28" t="s">
        <v>3744</v>
      </c>
      <c r="B5" s="6" t="s">
        <v>6637</v>
      </c>
      <c r="C5" s="221"/>
      <c r="D5" s="223" t="n">
        <v>0.04</v>
      </c>
      <c r="E5" s="223" t="n">
        <v>0.08</v>
      </c>
      <c r="F5" s="28" t="s">
        <v>89</v>
      </c>
      <c r="G5" s="221" t="s">
        <v>6638</v>
      </c>
      <c r="H5" s="28" t="s">
        <v>604</v>
      </c>
      <c r="I5" s="28" t="s">
        <v>6283</v>
      </c>
      <c r="J5" s="6" t="s">
        <v>6639</v>
      </c>
      <c r="K5" s="221" t="n">
        <v>3</v>
      </c>
      <c r="L5" s="221" t="s">
        <v>6273</v>
      </c>
      <c r="M5" s="6" t="s">
        <v>6640</v>
      </c>
      <c r="N5" s="221" t="s">
        <v>6286</v>
      </c>
      <c r="O5" s="28" t="s">
        <v>6276</v>
      </c>
      <c r="P5" s="28" t="s">
        <v>604</v>
      </c>
      <c r="Q5" s="28" t="s">
        <v>6641</v>
      </c>
      <c r="R5" s="28" t="s">
        <v>604</v>
      </c>
      <c r="S5" s="28" t="s">
        <v>604</v>
      </c>
      <c r="T5" s="28" t="s">
        <v>604</v>
      </c>
      <c r="U5" s="28" t="s">
        <v>6642</v>
      </c>
      <c r="V5" s="6" t="s">
        <v>6643</v>
      </c>
      <c r="W5" s="19" t="s">
        <v>6644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3749</v>
      </c>
      <c r="B6" s="19" t="s">
        <v>6645</v>
      </c>
      <c r="C6" s="223" t="n">
        <v>0.15</v>
      </c>
      <c r="D6" s="221"/>
      <c r="E6" s="221"/>
      <c r="F6" s="28" t="s">
        <v>89</v>
      </c>
      <c r="G6" s="221" t="s">
        <v>6646</v>
      </c>
      <c r="H6" s="28" t="s">
        <v>604</v>
      </c>
      <c r="I6" s="28" t="s">
        <v>6283</v>
      </c>
      <c r="J6" s="6" t="s">
        <v>6639</v>
      </c>
      <c r="K6" s="221" t="n">
        <v>3</v>
      </c>
      <c r="L6" s="221" t="s">
        <v>6273</v>
      </c>
      <c r="M6" s="6" t="s">
        <v>6640</v>
      </c>
      <c r="N6" s="221" t="s">
        <v>6286</v>
      </c>
      <c r="O6" s="28" t="s">
        <v>6276</v>
      </c>
      <c r="P6" s="28" t="s">
        <v>604</v>
      </c>
      <c r="Q6" s="28" t="s">
        <v>6641</v>
      </c>
      <c r="R6" s="28" t="s">
        <v>604</v>
      </c>
      <c r="S6" s="28" t="s">
        <v>604</v>
      </c>
      <c r="T6" s="28" t="s">
        <v>604</v>
      </c>
      <c r="U6" s="28" t="s">
        <v>6642</v>
      </c>
      <c r="V6" s="6" t="s">
        <v>6647</v>
      </c>
      <c r="W6" s="6" t="s">
        <v>6648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2697</v>
      </c>
      <c r="B7" s="19" t="s">
        <v>6649</v>
      </c>
      <c r="C7" s="223" t="n">
        <v>11.3</v>
      </c>
      <c r="D7" s="221"/>
      <c r="E7" s="221"/>
      <c r="F7" s="28" t="s">
        <v>110</v>
      </c>
      <c r="G7" s="221" t="s">
        <v>6650</v>
      </c>
      <c r="H7" s="221" t="s">
        <v>6651</v>
      </c>
      <c r="I7" s="28" t="s">
        <v>6283</v>
      </c>
      <c r="J7" s="6" t="s">
        <v>6652</v>
      </c>
      <c r="K7" s="221" t="n">
        <v>3</v>
      </c>
      <c r="L7" s="221" t="s">
        <v>6380</v>
      </c>
      <c r="M7" s="6" t="s">
        <v>6653</v>
      </c>
      <c r="N7" s="221" t="s">
        <v>6286</v>
      </c>
      <c r="O7" s="28" t="s">
        <v>6276</v>
      </c>
      <c r="P7" s="28" t="s">
        <v>604</v>
      </c>
      <c r="Q7" s="28" t="s">
        <v>4631</v>
      </c>
      <c r="R7" s="28" t="s">
        <v>604</v>
      </c>
      <c r="S7" s="28" t="s">
        <v>604</v>
      </c>
      <c r="T7" s="28" t="s">
        <v>604</v>
      </c>
      <c r="U7" s="28" t="s">
        <v>6654</v>
      </c>
      <c r="V7" s="6" t="s">
        <v>6655</v>
      </c>
      <c r="W7" s="6" t="s">
        <v>6656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6657</v>
      </c>
      <c r="B8" s="19" t="s">
        <v>6658</v>
      </c>
      <c r="C8" s="221"/>
      <c r="D8" s="223" t="n">
        <v>0.07</v>
      </c>
      <c r="E8" s="223" t="n">
        <v>0.1</v>
      </c>
      <c r="F8" s="28" t="s">
        <v>89</v>
      </c>
      <c r="G8" s="221" t="s">
        <v>6659</v>
      </c>
      <c r="H8" s="221" t="s">
        <v>6660</v>
      </c>
      <c r="I8" s="28" t="s">
        <v>6283</v>
      </c>
      <c r="J8" s="6" t="s">
        <v>6652</v>
      </c>
      <c r="K8" s="221" t="n">
        <v>3</v>
      </c>
      <c r="L8" s="221" t="s">
        <v>6380</v>
      </c>
      <c r="M8" s="6" t="s">
        <v>6653</v>
      </c>
      <c r="N8" s="221" t="s">
        <v>6286</v>
      </c>
      <c r="O8" s="28" t="s">
        <v>6276</v>
      </c>
      <c r="P8" s="28" t="s">
        <v>604</v>
      </c>
      <c r="Q8" s="28" t="s">
        <v>4631</v>
      </c>
      <c r="R8" s="28" t="s">
        <v>604</v>
      </c>
      <c r="S8" s="28" t="s">
        <v>604</v>
      </c>
      <c r="T8" s="28" t="s">
        <v>604</v>
      </c>
      <c r="U8" s="28" t="s">
        <v>6654</v>
      </c>
      <c r="V8" s="6" t="s">
        <v>6655</v>
      </c>
      <c r="W8" s="6" t="s">
        <v>604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6661</v>
      </c>
      <c r="B9" s="19" t="s">
        <v>6662</v>
      </c>
      <c r="C9" s="223" t="n">
        <v>0.0858</v>
      </c>
      <c r="D9" s="221"/>
      <c r="E9" s="221"/>
      <c r="F9" s="28" t="s">
        <v>99</v>
      </c>
      <c r="G9" s="221" t="s">
        <v>6663</v>
      </c>
      <c r="H9" s="221" t="s">
        <v>1196</v>
      </c>
      <c r="I9" s="28" t="s">
        <v>6313</v>
      </c>
      <c r="J9" s="6" t="s">
        <v>6664</v>
      </c>
      <c r="K9" s="221" t="n">
        <v>2</v>
      </c>
      <c r="L9" s="221" t="s">
        <v>6380</v>
      </c>
      <c r="M9" s="6" t="s">
        <v>6665</v>
      </c>
      <c r="N9" s="221" t="s">
        <v>6666</v>
      </c>
      <c r="O9" s="28" t="s">
        <v>6276</v>
      </c>
      <c r="P9" s="28" t="s">
        <v>604</v>
      </c>
      <c r="Q9" s="28" t="s">
        <v>4643</v>
      </c>
      <c r="R9" s="28" t="s">
        <v>604</v>
      </c>
      <c r="S9" s="28" t="s">
        <v>604</v>
      </c>
      <c r="T9" s="28" t="s">
        <v>604</v>
      </c>
      <c r="U9" s="28" t="s">
        <v>6667</v>
      </c>
      <c r="V9" s="6" t="s">
        <v>604</v>
      </c>
      <c r="W9" s="6" t="s">
        <v>604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3737</v>
      </c>
      <c r="B10" s="19" t="s">
        <v>6668</v>
      </c>
      <c r="C10" s="223" t="n">
        <v>0.0871</v>
      </c>
      <c r="D10" s="221"/>
      <c r="E10" s="221"/>
      <c r="F10" s="28" t="s">
        <v>99</v>
      </c>
      <c r="G10" s="221" t="s">
        <v>6663</v>
      </c>
      <c r="H10" s="221" t="s">
        <v>1196</v>
      </c>
      <c r="I10" s="28" t="s">
        <v>6378</v>
      </c>
      <c r="J10" s="6" t="s">
        <v>6664</v>
      </c>
      <c r="K10" s="221" t="n">
        <v>2</v>
      </c>
      <c r="L10" s="221" t="s">
        <v>6380</v>
      </c>
      <c r="M10" s="6" t="s">
        <v>6665</v>
      </c>
      <c r="N10" s="221" t="s">
        <v>6666</v>
      </c>
      <c r="O10" s="28" t="s">
        <v>6276</v>
      </c>
      <c r="P10" s="28" t="s">
        <v>604</v>
      </c>
      <c r="Q10" s="28" t="s">
        <v>4643</v>
      </c>
      <c r="R10" s="28" t="s">
        <v>604</v>
      </c>
      <c r="S10" s="28" t="s">
        <v>604</v>
      </c>
      <c r="T10" s="28" t="s">
        <v>604</v>
      </c>
      <c r="U10" s="28" t="s">
        <v>6667</v>
      </c>
      <c r="V10" s="6" t="s">
        <v>6669</v>
      </c>
      <c r="W10" s="19" t="s">
        <v>6670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3851</v>
      </c>
      <c r="B11" s="6" t="s">
        <v>6671</v>
      </c>
      <c r="C11" s="223" t="n">
        <v>6</v>
      </c>
      <c r="D11" s="221"/>
      <c r="E11" s="221"/>
      <c r="F11" s="221" t="s">
        <v>124</v>
      </c>
      <c r="G11" s="221" t="s">
        <v>6672</v>
      </c>
      <c r="H11" s="28" t="s">
        <v>6673</v>
      </c>
      <c r="I11" s="28" t="s">
        <v>6408</v>
      </c>
      <c r="J11" s="6" t="s">
        <v>6674</v>
      </c>
      <c r="K11" s="221" t="n">
        <v>2</v>
      </c>
      <c r="L11" s="221" t="s">
        <v>6273</v>
      </c>
      <c r="M11" s="19" t="s">
        <v>6675</v>
      </c>
      <c r="N11" s="221" t="s">
        <v>6286</v>
      </c>
      <c r="O11" s="28" t="s">
        <v>6276</v>
      </c>
      <c r="P11" s="28" t="s">
        <v>604</v>
      </c>
      <c r="Q11" s="28" t="s">
        <v>4655</v>
      </c>
      <c r="R11" s="28" t="s">
        <v>604</v>
      </c>
      <c r="S11" s="28" t="s">
        <v>604</v>
      </c>
      <c r="T11" s="28" t="s">
        <v>604</v>
      </c>
      <c r="U11" s="28" t="s">
        <v>6676</v>
      </c>
      <c r="V11" s="6" t="s">
        <v>6677</v>
      </c>
      <c r="W11" s="6" t="s">
        <v>6678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3858</v>
      </c>
      <c r="B12" s="6" t="s">
        <v>6679</v>
      </c>
      <c r="C12" s="223" t="n">
        <v>4</v>
      </c>
      <c r="D12" s="221"/>
      <c r="E12" s="221"/>
      <c r="F12" s="221" t="s">
        <v>124</v>
      </c>
      <c r="G12" s="221" t="s">
        <v>6672</v>
      </c>
      <c r="H12" s="28" t="s">
        <v>6680</v>
      </c>
      <c r="I12" s="28" t="s">
        <v>6408</v>
      </c>
      <c r="J12" s="6" t="s">
        <v>6674</v>
      </c>
      <c r="K12" s="221" t="n">
        <v>2</v>
      </c>
      <c r="L12" s="221" t="s">
        <v>6273</v>
      </c>
      <c r="M12" s="19" t="s">
        <v>6675</v>
      </c>
      <c r="N12" s="221" t="s">
        <v>6286</v>
      </c>
      <c r="O12" s="28" t="s">
        <v>6276</v>
      </c>
      <c r="P12" s="28" t="s">
        <v>604</v>
      </c>
      <c r="Q12" s="28" t="s">
        <v>4655</v>
      </c>
      <c r="R12" s="28" t="s">
        <v>604</v>
      </c>
      <c r="S12" s="28" t="s">
        <v>604</v>
      </c>
      <c r="T12" s="28" t="s">
        <v>604</v>
      </c>
      <c r="U12" s="28" t="s">
        <v>6676</v>
      </c>
      <c r="V12" s="6" t="s">
        <v>6681</v>
      </c>
      <c r="W12" s="6" t="s">
        <v>604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6682</v>
      </c>
      <c r="B13" s="6" t="s">
        <v>6683</v>
      </c>
      <c r="C13" s="223" t="n">
        <v>5</v>
      </c>
      <c r="D13" s="221"/>
      <c r="E13" s="221"/>
      <c r="F13" s="221" t="s">
        <v>124</v>
      </c>
      <c r="G13" s="221" t="s">
        <v>6672</v>
      </c>
      <c r="H13" s="28" t="s">
        <v>6684</v>
      </c>
      <c r="I13" s="28" t="s">
        <v>6408</v>
      </c>
      <c r="J13" s="6" t="s">
        <v>6674</v>
      </c>
      <c r="K13" s="221" t="n">
        <v>2</v>
      </c>
      <c r="L13" s="221" t="s">
        <v>6273</v>
      </c>
      <c r="M13" s="19" t="s">
        <v>6675</v>
      </c>
      <c r="N13" s="221" t="s">
        <v>6286</v>
      </c>
      <c r="O13" s="28" t="s">
        <v>6276</v>
      </c>
      <c r="P13" s="28" t="s">
        <v>604</v>
      </c>
      <c r="Q13" s="28" t="s">
        <v>4655</v>
      </c>
      <c r="R13" s="28" t="s">
        <v>604</v>
      </c>
      <c r="S13" s="28" t="s">
        <v>604</v>
      </c>
      <c r="T13" s="28" t="s">
        <v>604</v>
      </c>
      <c r="U13" s="28" t="s">
        <v>6676</v>
      </c>
      <c r="V13" s="6" t="s">
        <v>604</v>
      </c>
      <c r="W13" s="6" t="s">
        <v>604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2681</v>
      </c>
      <c r="B14" s="19" t="s">
        <v>6685</v>
      </c>
      <c r="C14" s="221"/>
      <c r="D14" s="223" t="n">
        <v>50</v>
      </c>
      <c r="E14" s="223" t="n">
        <v>60</v>
      </c>
      <c r="F14" s="28" t="s">
        <v>2669</v>
      </c>
      <c r="G14" s="28" t="s">
        <v>6686</v>
      </c>
      <c r="H14" s="28" t="s">
        <v>604</v>
      </c>
      <c r="I14" s="28" t="s">
        <v>6687</v>
      </c>
      <c r="J14" s="6" t="s">
        <v>6688</v>
      </c>
      <c r="K14" s="221" t="n">
        <v>3</v>
      </c>
      <c r="L14" s="221" t="s">
        <v>6273</v>
      </c>
      <c r="M14" s="6" t="s">
        <v>6689</v>
      </c>
      <c r="N14" s="221" t="s">
        <v>6286</v>
      </c>
      <c r="O14" s="28" t="s">
        <v>6276</v>
      </c>
      <c r="P14" s="28" t="s">
        <v>604</v>
      </c>
      <c r="Q14" s="28" t="s">
        <v>6690</v>
      </c>
      <c r="R14" s="28" t="s">
        <v>604</v>
      </c>
      <c r="S14" s="28" t="s">
        <v>604</v>
      </c>
      <c r="T14" s="28" t="s">
        <v>604</v>
      </c>
      <c r="U14" s="28" t="s">
        <v>6691</v>
      </c>
      <c r="V14" s="6" t="s">
        <v>6692</v>
      </c>
      <c r="W14" s="6" t="s">
        <v>604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2688</v>
      </c>
      <c r="B15" s="19" t="s">
        <v>6693</v>
      </c>
      <c r="C15" s="223" t="n">
        <v>35</v>
      </c>
      <c r="D15" s="221"/>
      <c r="E15" s="221"/>
      <c r="F15" s="28" t="s">
        <v>2669</v>
      </c>
      <c r="G15" s="28" t="s">
        <v>6686</v>
      </c>
      <c r="H15" s="28" t="s">
        <v>604</v>
      </c>
      <c r="I15" s="28" t="s">
        <v>6687</v>
      </c>
      <c r="J15" s="6" t="s">
        <v>6688</v>
      </c>
      <c r="K15" s="221" t="n">
        <v>3</v>
      </c>
      <c r="L15" s="221" t="s">
        <v>6273</v>
      </c>
      <c r="M15" s="6" t="s">
        <v>6689</v>
      </c>
      <c r="N15" s="221" t="s">
        <v>6286</v>
      </c>
      <c r="O15" s="28" t="s">
        <v>6276</v>
      </c>
      <c r="P15" s="28" t="s">
        <v>604</v>
      </c>
      <c r="Q15" s="28" t="s">
        <v>6690</v>
      </c>
      <c r="R15" s="28" t="s">
        <v>604</v>
      </c>
      <c r="S15" s="28" t="s">
        <v>604</v>
      </c>
      <c r="T15" s="28" t="s">
        <v>604</v>
      </c>
      <c r="U15" s="28" t="s">
        <v>6691</v>
      </c>
      <c r="V15" s="6" t="s">
        <v>6694</v>
      </c>
      <c r="W15" s="6" t="s">
        <v>604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2721</v>
      </c>
      <c r="B16" s="6" t="s">
        <v>6695</v>
      </c>
      <c r="C16" s="223" t="n">
        <v>2.21</v>
      </c>
      <c r="D16" s="221"/>
      <c r="E16" s="221"/>
      <c r="F16" s="28" t="s">
        <v>836</v>
      </c>
      <c r="G16" s="221" t="s">
        <v>6696</v>
      </c>
      <c r="H16" s="28" t="s">
        <v>163</v>
      </c>
      <c r="I16" s="28" t="s">
        <v>6378</v>
      </c>
      <c r="J16" s="6" t="s">
        <v>6697</v>
      </c>
      <c r="K16" s="221" t="n">
        <v>2</v>
      </c>
      <c r="L16" s="221" t="s">
        <v>6273</v>
      </c>
      <c r="M16" s="6" t="s">
        <v>6698</v>
      </c>
      <c r="N16" s="221" t="s">
        <v>6699</v>
      </c>
      <c r="O16" s="28" t="s">
        <v>6276</v>
      </c>
      <c r="P16" s="28" t="s">
        <v>604</v>
      </c>
      <c r="Q16" s="28" t="s">
        <v>6700</v>
      </c>
      <c r="R16" s="28" t="s">
        <v>604</v>
      </c>
      <c r="S16" s="28" t="s">
        <v>604</v>
      </c>
      <c r="T16" s="28" t="s">
        <v>604</v>
      </c>
      <c r="U16" s="28" t="s">
        <v>6701</v>
      </c>
      <c r="V16" s="6" t="s">
        <v>6702</v>
      </c>
      <c r="W16" s="19" t="s">
        <v>6703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2725</v>
      </c>
      <c r="B17" s="6" t="s">
        <v>6704</v>
      </c>
      <c r="C17" s="223" t="n">
        <v>2.65</v>
      </c>
      <c r="D17" s="221"/>
      <c r="E17" s="221"/>
      <c r="F17" s="28" t="s">
        <v>836</v>
      </c>
      <c r="G17" s="221" t="s">
        <v>6696</v>
      </c>
      <c r="H17" s="28" t="s">
        <v>164</v>
      </c>
      <c r="I17" s="28" t="s">
        <v>6378</v>
      </c>
      <c r="J17" s="6" t="s">
        <v>6697</v>
      </c>
      <c r="K17" s="221" t="n">
        <v>2</v>
      </c>
      <c r="L17" s="221" t="s">
        <v>6273</v>
      </c>
      <c r="M17" s="6" t="s">
        <v>6698</v>
      </c>
      <c r="N17" s="221" t="s">
        <v>6699</v>
      </c>
      <c r="O17" s="28" t="s">
        <v>6276</v>
      </c>
      <c r="P17" s="28" t="s">
        <v>604</v>
      </c>
      <c r="Q17" s="28" t="s">
        <v>6700</v>
      </c>
      <c r="R17" s="28" t="s">
        <v>604</v>
      </c>
      <c r="S17" s="28" t="s">
        <v>604</v>
      </c>
      <c r="T17" s="28" t="s">
        <v>604</v>
      </c>
      <c r="U17" s="28" t="s">
        <v>6701</v>
      </c>
      <c r="V17" s="6" t="s">
        <v>6705</v>
      </c>
      <c r="W17" s="19" t="s">
        <v>6703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3089</v>
      </c>
      <c r="B18" s="225" t="s">
        <v>6706</v>
      </c>
      <c r="C18" s="223" t="n">
        <v>29</v>
      </c>
      <c r="D18" s="195"/>
      <c r="E18" s="195"/>
      <c r="F18" s="28" t="s">
        <v>3085</v>
      </c>
      <c r="G18" s="195" t="s">
        <v>6707</v>
      </c>
      <c r="H18" s="28" t="s">
        <v>6708</v>
      </c>
      <c r="I18" s="28" t="s">
        <v>6709</v>
      </c>
      <c r="J18" s="6" t="s">
        <v>6710</v>
      </c>
      <c r="K18" s="195" t="n">
        <v>1</v>
      </c>
      <c r="L18" s="195" t="s">
        <v>6273</v>
      </c>
      <c r="M18" s="225" t="s">
        <v>6711</v>
      </c>
      <c r="N18" s="195" t="s">
        <v>6275</v>
      </c>
      <c r="O18" s="28" t="s">
        <v>6276</v>
      </c>
      <c r="P18" s="28" t="s">
        <v>604</v>
      </c>
      <c r="Q18" s="28" t="s">
        <v>6712</v>
      </c>
      <c r="R18" s="28" t="s">
        <v>604</v>
      </c>
      <c r="S18" s="28" t="s">
        <v>604</v>
      </c>
      <c r="T18" s="28" t="s">
        <v>604</v>
      </c>
      <c r="U18" s="28" t="s">
        <v>6623</v>
      </c>
      <c r="V18" s="6" t="s">
        <v>6713</v>
      </c>
      <c r="W18" s="6" t="s">
        <v>6714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5394</v>
      </c>
      <c r="B19" s="6" t="s">
        <v>6715</v>
      </c>
      <c r="C19" s="223" t="n">
        <v>3</v>
      </c>
      <c r="D19" s="195"/>
      <c r="E19" s="195"/>
      <c r="F19" s="195" t="s">
        <v>124</v>
      </c>
      <c r="G19" s="195" t="s">
        <v>6716</v>
      </c>
      <c r="H19" s="28" t="s">
        <v>6717</v>
      </c>
      <c r="I19" s="28" t="s">
        <v>6718</v>
      </c>
      <c r="J19" s="6" t="s">
        <v>6719</v>
      </c>
      <c r="K19" s="195" t="n">
        <v>1</v>
      </c>
      <c r="L19" s="195" t="s">
        <v>6273</v>
      </c>
      <c r="M19" s="225" t="s">
        <v>6720</v>
      </c>
      <c r="N19" s="195" t="s">
        <v>6275</v>
      </c>
      <c r="O19" s="28" t="s">
        <v>6276</v>
      </c>
      <c r="P19" s="28" t="s">
        <v>604</v>
      </c>
      <c r="Q19" s="28" t="s">
        <v>6721</v>
      </c>
      <c r="R19" s="28" t="s">
        <v>6722</v>
      </c>
      <c r="S19" s="28" t="s">
        <v>604</v>
      </c>
      <c r="T19" s="28" t="s">
        <v>604</v>
      </c>
      <c r="U19" s="28" t="s">
        <v>6623</v>
      </c>
      <c r="V19" s="6" t="s">
        <v>6723</v>
      </c>
      <c r="W19" s="6" t="s">
        <v>6724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6722</v>
      </c>
      <c r="B20" s="6" t="s">
        <v>6725</v>
      </c>
      <c r="C20" s="223" t="n">
        <v>3</v>
      </c>
      <c r="D20" s="195"/>
      <c r="E20" s="195"/>
      <c r="F20" s="195" t="s">
        <v>124</v>
      </c>
      <c r="G20" s="195" t="s">
        <v>6726</v>
      </c>
      <c r="H20" s="28" t="s">
        <v>6727</v>
      </c>
      <c r="I20" s="28" t="s">
        <v>3225</v>
      </c>
      <c r="J20" s="6" t="s">
        <v>6728</v>
      </c>
      <c r="K20" s="195" t="n">
        <v>1</v>
      </c>
      <c r="L20" s="195" t="s">
        <v>6273</v>
      </c>
      <c r="M20" s="225" t="s">
        <v>6720</v>
      </c>
      <c r="N20" s="195" t="s">
        <v>6275</v>
      </c>
      <c r="O20" s="28" t="s">
        <v>6276</v>
      </c>
      <c r="P20" s="28" t="s">
        <v>604</v>
      </c>
      <c r="Q20" s="28" t="s">
        <v>6729</v>
      </c>
      <c r="R20" s="28" t="s">
        <v>5394</v>
      </c>
      <c r="S20" s="28" t="s">
        <v>604</v>
      </c>
      <c r="T20" s="28" t="s">
        <v>604</v>
      </c>
      <c r="U20" s="28" t="s">
        <v>6623</v>
      </c>
      <c r="V20" s="225" t="s">
        <v>6730</v>
      </c>
      <c r="W20" s="6" t="s">
        <v>6731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5409</v>
      </c>
      <c r="B21" s="6" t="s">
        <v>6732</v>
      </c>
      <c r="C21" s="223" t="n">
        <v>0.038</v>
      </c>
      <c r="D21" s="195"/>
      <c r="E21" s="195"/>
      <c r="F21" s="28" t="s">
        <v>6733</v>
      </c>
      <c r="G21" s="195" t="s">
        <v>6734</v>
      </c>
      <c r="H21" s="28" t="s">
        <v>6735</v>
      </c>
      <c r="I21" s="28" t="s">
        <v>3225</v>
      </c>
      <c r="J21" s="6" t="s">
        <v>6736</v>
      </c>
      <c r="K21" s="195" t="n">
        <v>2</v>
      </c>
      <c r="L21" s="195" t="s">
        <v>6273</v>
      </c>
      <c r="M21" s="225" t="s">
        <v>6737</v>
      </c>
      <c r="N21" s="195" t="s">
        <v>6738</v>
      </c>
      <c r="O21" s="28" t="s">
        <v>6276</v>
      </c>
      <c r="P21" s="28" t="s">
        <v>604</v>
      </c>
      <c r="Q21" s="28" t="s">
        <v>6739</v>
      </c>
      <c r="R21" s="28" t="s">
        <v>604</v>
      </c>
      <c r="S21" s="28" t="s">
        <v>604</v>
      </c>
      <c r="T21" s="28" t="s">
        <v>604</v>
      </c>
      <c r="U21" s="28" t="s">
        <v>6623</v>
      </c>
      <c r="V21" s="225" t="s">
        <v>6740</v>
      </c>
      <c r="W21" s="6" t="s">
        <v>6741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6742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H4" s="81" t="s">
        <v>6266</v>
      </c>
    </row>
    <row r="5" customFormat="false" ht="29.25" hidden="false" customHeight="true" outlineLevel="0" collapsed="false">
      <c r="A5" s="28" t="s">
        <v>4203</v>
      </c>
      <c r="B5" s="6" t="s">
        <v>6743</v>
      </c>
      <c r="C5" s="223" t="n">
        <v>1600</v>
      </c>
      <c r="D5" s="221"/>
      <c r="E5" s="221"/>
      <c r="F5" s="28" t="s">
        <v>254</v>
      </c>
      <c r="G5" s="28" t="s">
        <v>604</v>
      </c>
      <c r="H5" s="28" t="s">
        <v>6744</v>
      </c>
      <c r="I5" s="28" t="s">
        <v>6283</v>
      </c>
      <c r="J5" s="6" t="s">
        <v>6745</v>
      </c>
      <c r="K5" s="221" t="n">
        <v>3</v>
      </c>
      <c r="L5" s="221" t="s">
        <v>6273</v>
      </c>
      <c r="M5" s="6" t="s">
        <v>6746</v>
      </c>
      <c r="N5" s="221" t="s">
        <v>6286</v>
      </c>
      <c r="O5" s="28" t="s">
        <v>6276</v>
      </c>
      <c r="P5" s="28" t="s">
        <v>604</v>
      </c>
      <c r="Q5" s="28" t="s">
        <v>6747</v>
      </c>
      <c r="R5" s="28" t="s">
        <v>604</v>
      </c>
      <c r="S5" s="28" t="s">
        <v>604</v>
      </c>
      <c r="T5" s="28" t="s">
        <v>604</v>
      </c>
      <c r="U5" s="28" t="s">
        <v>3448</v>
      </c>
      <c r="V5" s="6" t="s">
        <v>6748</v>
      </c>
      <c r="W5" s="19" t="s">
        <v>6749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4209</v>
      </c>
      <c r="B6" s="6" t="s">
        <v>6750</v>
      </c>
      <c r="C6" s="223" t="n">
        <v>49</v>
      </c>
      <c r="D6" s="221"/>
      <c r="E6" s="221"/>
      <c r="F6" s="28" t="s">
        <v>254</v>
      </c>
      <c r="G6" s="28" t="s">
        <v>604</v>
      </c>
      <c r="H6" s="28" t="s">
        <v>6744</v>
      </c>
      <c r="I6" s="28" t="s">
        <v>6283</v>
      </c>
      <c r="J6" s="6" t="s">
        <v>6745</v>
      </c>
      <c r="K6" s="221" t="n">
        <v>1</v>
      </c>
      <c r="L6" s="221" t="s">
        <v>6273</v>
      </c>
      <c r="M6" s="6" t="s">
        <v>6746</v>
      </c>
      <c r="N6" s="221" t="s">
        <v>6275</v>
      </c>
      <c r="O6" s="28" t="s">
        <v>6276</v>
      </c>
      <c r="P6" s="28" t="s">
        <v>604</v>
      </c>
      <c r="Q6" s="28" t="s">
        <v>6751</v>
      </c>
      <c r="R6" s="28" t="s">
        <v>604</v>
      </c>
      <c r="S6" s="28" t="s">
        <v>5889</v>
      </c>
      <c r="T6" s="28" t="s">
        <v>604</v>
      </c>
      <c r="U6" s="28" t="s">
        <v>3448</v>
      </c>
      <c r="V6" s="6" t="s">
        <v>6752</v>
      </c>
      <c r="W6" s="6" t="s">
        <v>6753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4213</v>
      </c>
      <c r="B7" s="6" t="s">
        <v>6754</v>
      </c>
      <c r="C7" s="223" t="n">
        <v>61</v>
      </c>
      <c r="D7" s="221"/>
      <c r="E7" s="221"/>
      <c r="F7" s="221" t="s">
        <v>260</v>
      </c>
      <c r="G7" s="28" t="s">
        <v>604</v>
      </c>
      <c r="H7" s="28" t="s">
        <v>6744</v>
      </c>
      <c r="I7" s="28" t="s">
        <v>6283</v>
      </c>
      <c r="J7" s="6" t="s">
        <v>6745</v>
      </c>
      <c r="K7" s="221" t="n">
        <v>3</v>
      </c>
      <c r="L7" s="221" t="s">
        <v>6273</v>
      </c>
      <c r="M7" s="6" t="s">
        <v>6746</v>
      </c>
      <c r="N7" s="221" t="s">
        <v>6286</v>
      </c>
      <c r="O7" s="28" t="s">
        <v>6276</v>
      </c>
      <c r="P7" s="28" t="s">
        <v>604</v>
      </c>
      <c r="Q7" s="28" t="s">
        <v>6747</v>
      </c>
      <c r="R7" s="28" t="s">
        <v>604</v>
      </c>
      <c r="S7" s="28" t="s">
        <v>604</v>
      </c>
      <c r="T7" s="28" t="s">
        <v>604</v>
      </c>
      <c r="U7" s="28" t="s">
        <v>3448</v>
      </c>
      <c r="V7" s="6" t="s">
        <v>6755</v>
      </c>
      <c r="W7" s="6" t="s">
        <v>604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4247</v>
      </c>
      <c r="B8" s="6" t="s">
        <v>6756</v>
      </c>
      <c r="C8" s="223" t="n">
        <v>7168</v>
      </c>
      <c r="D8" s="221"/>
      <c r="E8" s="221"/>
      <c r="F8" s="221" t="s">
        <v>6757</v>
      </c>
      <c r="G8" s="28" t="s">
        <v>604</v>
      </c>
      <c r="H8" s="28" t="s">
        <v>6744</v>
      </c>
      <c r="I8" s="28" t="s">
        <v>6283</v>
      </c>
      <c r="J8" s="6" t="s">
        <v>6745</v>
      </c>
      <c r="K8" s="221" t="n">
        <v>3</v>
      </c>
      <c r="L8" s="221" t="s">
        <v>6273</v>
      </c>
      <c r="M8" s="6" t="s">
        <v>6746</v>
      </c>
      <c r="N8" s="221" t="s">
        <v>6286</v>
      </c>
      <c r="O8" s="28" t="s">
        <v>6276</v>
      </c>
      <c r="P8" s="28" t="s">
        <v>604</v>
      </c>
      <c r="Q8" s="28" t="s">
        <v>6747</v>
      </c>
      <c r="R8" s="28" t="s">
        <v>604</v>
      </c>
      <c r="S8" s="28" t="s">
        <v>604</v>
      </c>
      <c r="T8" s="28" t="s">
        <v>604</v>
      </c>
      <c r="U8" s="28" t="s">
        <v>3448</v>
      </c>
      <c r="V8" s="6" t="s">
        <v>6758</v>
      </c>
      <c r="W8" s="6" t="s">
        <v>604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4201</v>
      </c>
      <c r="B9" s="6" t="s">
        <v>6759</v>
      </c>
      <c r="C9" s="223" t="n">
        <v>284</v>
      </c>
      <c r="D9" s="221"/>
      <c r="E9" s="221"/>
      <c r="F9" s="28" t="s">
        <v>254</v>
      </c>
      <c r="G9" s="28" t="s">
        <v>604</v>
      </c>
      <c r="H9" s="28" t="s">
        <v>6760</v>
      </c>
      <c r="I9" s="28" t="s">
        <v>6283</v>
      </c>
      <c r="J9" s="6" t="s">
        <v>6745</v>
      </c>
      <c r="K9" s="221" t="n">
        <v>3</v>
      </c>
      <c r="L9" s="221" t="s">
        <v>6273</v>
      </c>
      <c r="M9" s="6" t="s">
        <v>6746</v>
      </c>
      <c r="N9" s="221" t="s">
        <v>6286</v>
      </c>
      <c r="O9" s="28" t="s">
        <v>6276</v>
      </c>
      <c r="P9" s="28" t="s">
        <v>604</v>
      </c>
      <c r="Q9" s="28" t="s">
        <v>6747</v>
      </c>
      <c r="R9" s="28" t="s">
        <v>604</v>
      </c>
      <c r="S9" s="28" t="s">
        <v>604</v>
      </c>
      <c r="T9" s="28" t="s">
        <v>604</v>
      </c>
      <c r="U9" s="28" t="s">
        <v>3448</v>
      </c>
      <c r="V9" s="6" t="s">
        <v>6761</v>
      </c>
      <c r="W9" s="6" t="s">
        <v>604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4206</v>
      </c>
      <c r="B10" s="6" t="s">
        <v>6762</v>
      </c>
      <c r="C10" s="223" t="n">
        <v>13</v>
      </c>
      <c r="D10" s="221"/>
      <c r="E10" s="221"/>
      <c r="F10" s="28" t="s">
        <v>254</v>
      </c>
      <c r="G10" s="28" t="s">
        <v>604</v>
      </c>
      <c r="H10" s="28" t="s">
        <v>6760</v>
      </c>
      <c r="I10" s="28" t="s">
        <v>6283</v>
      </c>
      <c r="J10" s="6" t="s">
        <v>6745</v>
      </c>
      <c r="K10" s="221" t="n">
        <v>1</v>
      </c>
      <c r="L10" s="221" t="s">
        <v>6273</v>
      </c>
      <c r="M10" s="6" t="s">
        <v>6746</v>
      </c>
      <c r="N10" s="221" t="s">
        <v>6275</v>
      </c>
      <c r="O10" s="28" t="s">
        <v>6276</v>
      </c>
      <c r="P10" s="28" t="s">
        <v>604</v>
      </c>
      <c r="Q10" s="28" t="s">
        <v>6763</v>
      </c>
      <c r="R10" s="28" t="s">
        <v>604</v>
      </c>
      <c r="S10" s="28" t="s">
        <v>5889</v>
      </c>
      <c r="T10" s="28" t="s">
        <v>604</v>
      </c>
      <c r="U10" s="28" t="s">
        <v>3448</v>
      </c>
      <c r="V10" s="6" t="s">
        <v>6764</v>
      </c>
      <c r="W10" s="6" t="s">
        <v>6765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4211</v>
      </c>
      <c r="B11" s="6" t="s">
        <v>6766</v>
      </c>
      <c r="C11" s="223" t="n">
        <v>43</v>
      </c>
      <c r="D11" s="221"/>
      <c r="E11" s="221"/>
      <c r="F11" s="221" t="s">
        <v>260</v>
      </c>
      <c r="G11" s="221" t="s">
        <v>6286</v>
      </c>
      <c r="H11" s="28" t="s">
        <v>6767</v>
      </c>
      <c r="I11" s="28" t="s">
        <v>604</v>
      </c>
      <c r="J11" s="6" t="s">
        <v>6768</v>
      </c>
      <c r="K11" s="221" t="n">
        <v>1</v>
      </c>
      <c r="L11" s="221" t="s">
        <v>6273</v>
      </c>
      <c r="M11" s="6" t="s">
        <v>6769</v>
      </c>
      <c r="N11" s="221" t="s">
        <v>6275</v>
      </c>
      <c r="O11" s="28" t="s">
        <v>6276</v>
      </c>
      <c r="P11" s="28" t="s">
        <v>604</v>
      </c>
      <c r="Q11" s="28" t="s">
        <v>6770</v>
      </c>
      <c r="R11" s="28" t="s">
        <v>604</v>
      </c>
      <c r="S11" s="28" t="s">
        <v>5889</v>
      </c>
      <c r="T11" s="28" t="s">
        <v>604</v>
      </c>
      <c r="U11" s="28" t="s">
        <v>6771</v>
      </c>
      <c r="V11" s="6" t="s">
        <v>6772</v>
      </c>
      <c r="W11" s="6" t="s">
        <v>6773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4249</v>
      </c>
      <c r="B12" s="6" t="s">
        <v>6774</v>
      </c>
      <c r="C12" s="223" t="n">
        <v>128</v>
      </c>
      <c r="D12" s="221"/>
      <c r="E12" s="221"/>
      <c r="F12" s="221" t="s">
        <v>312</v>
      </c>
      <c r="G12" s="28" t="s">
        <v>604</v>
      </c>
      <c r="H12" s="28" t="s">
        <v>6775</v>
      </c>
      <c r="I12" s="28" t="s">
        <v>604</v>
      </c>
      <c r="J12" s="6" t="s">
        <v>6768</v>
      </c>
      <c r="K12" s="221" t="n">
        <v>3</v>
      </c>
      <c r="L12" s="221" t="s">
        <v>6273</v>
      </c>
      <c r="M12" s="6" t="s">
        <v>6769</v>
      </c>
      <c r="N12" s="221" t="s">
        <v>6411</v>
      </c>
      <c r="O12" s="28" t="s">
        <v>6276</v>
      </c>
      <c r="P12" s="28" t="s">
        <v>604</v>
      </c>
      <c r="Q12" s="28" t="s">
        <v>6776</v>
      </c>
      <c r="R12" s="28" t="s">
        <v>604</v>
      </c>
      <c r="S12" s="28" t="s">
        <v>604</v>
      </c>
      <c r="T12" s="28" t="s">
        <v>604</v>
      </c>
      <c r="U12" s="28" t="s">
        <v>6771</v>
      </c>
      <c r="V12" s="6" t="s">
        <v>6777</v>
      </c>
      <c r="W12" s="6" t="s">
        <v>6778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4215</v>
      </c>
      <c r="B13" s="6" t="s">
        <v>6779</v>
      </c>
      <c r="C13" s="223" t="n">
        <v>512</v>
      </c>
      <c r="D13" s="221"/>
      <c r="E13" s="221"/>
      <c r="F13" s="221" t="s">
        <v>6757</v>
      </c>
      <c r="G13" s="221" t="s">
        <v>6780</v>
      </c>
      <c r="H13" s="28" t="s">
        <v>6781</v>
      </c>
      <c r="I13" s="28" t="s">
        <v>604</v>
      </c>
      <c r="J13" s="6" t="s">
        <v>6768</v>
      </c>
      <c r="K13" s="221" t="n">
        <v>1</v>
      </c>
      <c r="L13" s="221" t="s">
        <v>6273</v>
      </c>
      <c r="M13" s="6" t="s">
        <v>6769</v>
      </c>
      <c r="N13" s="221" t="s">
        <v>6275</v>
      </c>
      <c r="O13" s="28" t="s">
        <v>6276</v>
      </c>
      <c r="P13" s="28" t="s">
        <v>604</v>
      </c>
      <c r="Q13" s="28" t="s">
        <v>6782</v>
      </c>
      <c r="R13" s="28" t="s">
        <v>604</v>
      </c>
      <c r="S13" s="28" t="s">
        <v>5889</v>
      </c>
      <c r="T13" s="28" t="s">
        <v>604</v>
      </c>
      <c r="U13" s="28" t="s">
        <v>6771</v>
      </c>
      <c r="V13" s="6" t="s">
        <v>6783</v>
      </c>
      <c r="W13" s="6" t="s">
        <v>6784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4218</v>
      </c>
      <c r="B14" s="6" t="s">
        <v>6785</v>
      </c>
      <c r="C14" s="223" t="n">
        <v>256</v>
      </c>
      <c r="D14" s="221"/>
      <c r="E14" s="221"/>
      <c r="F14" s="221" t="s">
        <v>312</v>
      </c>
      <c r="G14" s="28" t="s">
        <v>604</v>
      </c>
      <c r="H14" s="28" t="s">
        <v>6767</v>
      </c>
      <c r="I14" s="28" t="s">
        <v>604</v>
      </c>
      <c r="J14" s="6" t="s">
        <v>6768</v>
      </c>
      <c r="K14" s="221" t="n">
        <v>1</v>
      </c>
      <c r="L14" s="221" t="s">
        <v>6273</v>
      </c>
      <c r="M14" s="6" t="s">
        <v>6769</v>
      </c>
      <c r="N14" s="221" t="s">
        <v>6275</v>
      </c>
      <c r="O14" s="28" t="s">
        <v>6276</v>
      </c>
      <c r="P14" s="28" t="s">
        <v>604</v>
      </c>
      <c r="Q14" s="28" t="s">
        <v>6786</v>
      </c>
      <c r="R14" s="28" t="s">
        <v>604</v>
      </c>
      <c r="S14" s="28" t="s">
        <v>5889</v>
      </c>
      <c r="T14" s="28" t="s">
        <v>604</v>
      </c>
      <c r="U14" s="28" t="s">
        <v>6771</v>
      </c>
      <c r="V14" s="6" t="s">
        <v>6787</v>
      </c>
      <c r="W14" s="6" t="s">
        <v>6788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4220</v>
      </c>
      <c r="B15" s="6" t="s">
        <v>6789</v>
      </c>
      <c r="C15" s="223" t="n">
        <v>384</v>
      </c>
      <c r="D15" s="221"/>
      <c r="E15" s="221"/>
      <c r="F15" s="221" t="s">
        <v>312</v>
      </c>
      <c r="G15" s="28" t="s">
        <v>604</v>
      </c>
      <c r="H15" s="28" t="s">
        <v>6775</v>
      </c>
      <c r="I15" s="28" t="s">
        <v>604</v>
      </c>
      <c r="J15" s="6" t="s">
        <v>6768</v>
      </c>
      <c r="K15" s="221" t="n">
        <v>1</v>
      </c>
      <c r="L15" s="221" t="s">
        <v>6273</v>
      </c>
      <c r="M15" s="6" t="s">
        <v>6769</v>
      </c>
      <c r="N15" s="221" t="s">
        <v>6275</v>
      </c>
      <c r="O15" s="28" t="s">
        <v>6276</v>
      </c>
      <c r="P15" s="28" t="s">
        <v>604</v>
      </c>
      <c r="Q15" s="28" t="s">
        <v>6790</v>
      </c>
      <c r="R15" s="28" t="s">
        <v>604</v>
      </c>
      <c r="S15" s="28" t="s">
        <v>5889</v>
      </c>
      <c r="T15" s="28" t="s">
        <v>604</v>
      </c>
      <c r="U15" s="28" t="s">
        <v>6771</v>
      </c>
      <c r="V15" s="6" t="s">
        <v>6791</v>
      </c>
      <c r="W15" s="6" t="s">
        <v>6792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4223</v>
      </c>
      <c r="B16" s="6" t="s">
        <v>6793</v>
      </c>
      <c r="C16" s="223" t="n">
        <v>6</v>
      </c>
      <c r="D16" s="221"/>
      <c r="E16" s="221"/>
      <c r="F16" s="221" t="s">
        <v>312</v>
      </c>
      <c r="G16" s="28" t="s">
        <v>604</v>
      </c>
      <c r="H16" s="28" t="s">
        <v>6781</v>
      </c>
      <c r="I16" s="28" t="s">
        <v>604</v>
      </c>
      <c r="J16" s="6" t="s">
        <v>6768</v>
      </c>
      <c r="K16" s="221" t="n">
        <v>1</v>
      </c>
      <c r="L16" s="221" t="s">
        <v>6273</v>
      </c>
      <c r="M16" s="6" t="s">
        <v>6769</v>
      </c>
      <c r="N16" s="221" t="s">
        <v>6275</v>
      </c>
      <c r="O16" s="28" t="s">
        <v>6276</v>
      </c>
      <c r="P16" s="28" t="s">
        <v>604</v>
      </c>
      <c r="Q16" s="28" t="s">
        <v>6794</v>
      </c>
      <c r="R16" s="28" t="s">
        <v>604</v>
      </c>
      <c r="S16" s="28" t="s">
        <v>5889</v>
      </c>
      <c r="T16" s="28" t="s">
        <v>604</v>
      </c>
      <c r="U16" s="28" t="s">
        <v>6771</v>
      </c>
      <c r="V16" s="6" t="s">
        <v>6795</v>
      </c>
      <c r="W16" s="6" t="s">
        <v>6796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4227</v>
      </c>
      <c r="B17" s="6" t="s">
        <v>6797</v>
      </c>
      <c r="C17" s="223" t="n">
        <v>1</v>
      </c>
      <c r="D17" s="221"/>
      <c r="E17" s="221"/>
      <c r="F17" s="221" t="s">
        <v>312</v>
      </c>
      <c r="G17" s="28" t="s">
        <v>604</v>
      </c>
      <c r="H17" s="28" t="s">
        <v>6781</v>
      </c>
      <c r="I17" s="28" t="s">
        <v>604</v>
      </c>
      <c r="J17" s="6" t="s">
        <v>6768</v>
      </c>
      <c r="K17" s="221" t="n">
        <v>1</v>
      </c>
      <c r="L17" s="221" t="s">
        <v>6273</v>
      </c>
      <c r="M17" s="6" t="s">
        <v>6769</v>
      </c>
      <c r="N17" s="221" t="s">
        <v>6275</v>
      </c>
      <c r="O17" s="28" t="s">
        <v>6276</v>
      </c>
      <c r="P17" s="28" t="s">
        <v>604</v>
      </c>
      <c r="Q17" s="28" t="s">
        <v>6798</v>
      </c>
      <c r="R17" s="28" t="s">
        <v>604</v>
      </c>
      <c r="S17" s="28" t="s">
        <v>5889</v>
      </c>
      <c r="T17" s="28" t="s">
        <v>604</v>
      </c>
      <c r="U17" s="28" t="s">
        <v>6771</v>
      </c>
      <c r="V17" s="6" t="s">
        <v>6799</v>
      </c>
      <c r="W17" s="6" t="s">
        <v>6800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4231</v>
      </c>
      <c r="B18" s="6" t="s">
        <v>6801</v>
      </c>
      <c r="C18" s="223" t="n">
        <v>129280</v>
      </c>
      <c r="D18" s="221"/>
      <c r="E18" s="221"/>
      <c r="F18" s="28" t="s">
        <v>6802</v>
      </c>
      <c r="G18" s="28" t="s">
        <v>604</v>
      </c>
      <c r="H18" s="28" t="s">
        <v>6781</v>
      </c>
      <c r="I18" s="28" t="s">
        <v>604</v>
      </c>
      <c r="J18" s="6" t="s">
        <v>6768</v>
      </c>
      <c r="K18" s="221" t="n">
        <v>1</v>
      </c>
      <c r="L18" s="221" t="s">
        <v>6273</v>
      </c>
      <c r="M18" s="6" t="s">
        <v>6769</v>
      </c>
      <c r="N18" s="221" t="s">
        <v>6275</v>
      </c>
      <c r="O18" s="28" t="s">
        <v>6276</v>
      </c>
      <c r="P18" s="28" t="s">
        <v>604</v>
      </c>
      <c r="Q18" s="28" t="s">
        <v>6803</v>
      </c>
      <c r="R18" s="28" t="s">
        <v>604</v>
      </c>
      <c r="S18" s="28" t="s">
        <v>5889</v>
      </c>
      <c r="T18" s="28" t="s">
        <v>604</v>
      </c>
      <c r="U18" s="28" t="s">
        <v>6771</v>
      </c>
      <c r="V18" s="6" t="s">
        <v>6804</v>
      </c>
      <c r="W18" s="6" t="s">
        <v>6805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4236</v>
      </c>
      <c r="B19" s="6" t="s">
        <v>6806</v>
      </c>
      <c r="C19" s="223" t="n">
        <v>0.512</v>
      </c>
      <c r="D19" s="221"/>
      <c r="E19" s="221"/>
      <c r="F19" s="28" t="s">
        <v>89</v>
      </c>
      <c r="G19" s="221" t="s">
        <v>6807</v>
      </c>
      <c r="H19" s="28" t="s">
        <v>6767</v>
      </c>
      <c r="I19" s="28" t="s">
        <v>604</v>
      </c>
      <c r="J19" s="6" t="s">
        <v>6768</v>
      </c>
      <c r="K19" s="221" t="n">
        <v>1</v>
      </c>
      <c r="L19" s="221" t="s">
        <v>6273</v>
      </c>
      <c r="M19" s="6" t="s">
        <v>6769</v>
      </c>
      <c r="N19" s="221" t="s">
        <v>6275</v>
      </c>
      <c r="O19" s="28" t="s">
        <v>6276</v>
      </c>
      <c r="P19" s="28" t="s">
        <v>604</v>
      </c>
      <c r="Q19" s="28" t="s">
        <v>6808</v>
      </c>
      <c r="R19" s="28" t="s">
        <v>604</v>
      </c>
      <c r="S19" s="28" t="s">
        <v>5889</v>
      </c>
      <c r="T19" s="28" t="s">
        <v>604</v>
      </c>
      <c r="U19" s="28" t="s">
        <v>6771</v>
      </c>
      <c r="V19" s="6" t="s">
        <v>6809</v>
      </c>
      <c r="W19" s="6" t="s">
        <v>6810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4240</v>
      </c>
      <c r="B20" s="6" t="s">
        <v>6811</v>
      </c>
      <c r="C20" s="223" t="n">
        <v>128</v>
      </c>
      <c r="D20" s="221"/>
      <c r="E20" s="221"/>
      <c r="F20" s="28" t="s">
        <v>93</v>
      </c>
      <c r="G20" s="28" t="s">
        <v>604</v>
      </c>
      <c r="H20" s="28" t="s">
        <v>6781</v>
      </c>
      <c r="I20" s="28" t="s">
        <v>604</v>
      </c>
      <c r="J20" s="6" t="s">
        <v>6768</v>
      </c>
      <c r="K20" s="221" t="n">
        <v>1</v>
      </c>
      <c r="L20" s="221" t="s">
        <v>6273</v>
      </c>
      <c r="M20" s="6" t="s">
        <v>6769</v>
      </c>
      <c r="N20" s="221" t="s">
        <v>6275</v>
      </c>
      <c r="O20" s="28" t="s">
        <v>6276</v>
      </c>
      <c r="P20" s="28" t="s">
        <v>604</v>
      </c>
      <c r="Q20" s="28" t="s">
        <v>6812</v>
      </c>
      <c r="R20" s="28" t="s">
        <v>604</v>
      </c>
      <c r="S20" s="28" t="s">
        <v>5889</v>
      </c>
      <c r="T20" s="28" t="s">
        <v>604</v>
      </c>
      <c r="U20" s="28" t="s">
        <v>6771</v>
      </c>
      <c r="V20" s="6" t="s">
        <v>6813</v>
      </c>
      <c r="W20" s="6" t="s">
        <v>6814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4244</v>
      </c>
      <c r="B21" s="6" t="s">
        <v>6815</v>
      </c>
      <c r="C21" s="223" t="n">
        <v>128</v>
      </c>
      <c r="D21" s="221"/>
      <c r="E21" s="221"/>
      <c r="F21" s="28" t="s">
        <v>275</v>
      </c>
      <c r="G21" s="28" t="s">
        <v>604</v>
      </c>
      <c r="H21" s="28" t="s">
        <v>6781</v>
      </c>
      <c r="I21" s="28" t="s">
        <v>604</v>
      </c>
      <c r="J21" s="6" t="s">
        <v>6768</v>
      </c>
      <c r="K21" s="221" t="n">
        <v>1</v>
      </c>
      <c r="L21" s="221" t="s">
        <v>6273</v>
      </c>
      <c r="M21" s="6" t="s">
        <v>6769</v>
      </c>
      <c r="N21" s="221" t="s">
        <v>6275</v>
      </c>
      <c r="O21" s="28" t="s">
        <v>6276</v>
      </c>
      <c r="P21" s="28" t="s">
        <v>604</v>
      </c>
      <c r="Q21" s="28" t="s">
        <v>6816</v>
      </c>
      <c r="R21" s="28" t="s">
        <v>604</v>
      </c>
      <c r="S21" s="28" t="s">
        <v>5889</v>
      </c>
      <c r="T21" s="28" t="s">
        <v>604</v>
      </c>
      <c r="U21" s="28" t="s">
        <v>6771</v>
      </c>
      <c r="V21" s="6" t="s">
        <v>6817</v>
      </c>
      <c r="W21" s="6" t="s">
        <v>6818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4259</v>
      </c>
      <c r="B22" s="6" t="s">
        <v>6819</v>
      </c>
      <c r="C22" s="223" t="n">
        <v>1024</v>
      </c>
      <c r="D22" s="221"/>
      <c r="E22" s="221"/>
      <c r="F22" s="221" t="s">
        <v>6820</v>
      </c>
      <c r="G22" s="28" t="s">
        <v>604</v>
      </c>
      <c r="H22" s="28" t="s">
        <v>6781</v>
      </c>
      <c r="I22" s="28" t="s">
        <v>604</v>
      </c>
      <c r="J22" s="6" t="s">
        <v>6768</v>
      </c>
      <c r="K22" s="221" t="n">
        <v>3</v>
      </c>
      <c r="L22" s="221" t="s">
        <v>6273</v>
      </c>
      <c r="M22" s="6" t="s">
        <v>6769</v>
      </c>
      <c r="N22" s="221" t="s">
        <v>6411</v>
      </c>
      <c r="O22" s="28" t="s">
        <v>6276</v>
      </c>
      <c r="P22" s="28" t="s">
        <v>604</v>
      </c>
      <c r="Q22" s="28" t="s">
        <v>6776</v>
      </c>
      <c r="R22" s="28" t="s">
        <v>604</v>
      </c>
      <c r="S22" s="28" t="s">
        <v>604</v>
      </c>
      <c r="T22" s="28" t="s">
        <v>604</v>
      </c>
      <c r="U22" s="28" t="s">
        <v>6771</v>
      </c>
      <c r="V22" s="6" t="s">
        <v>6821</v>
      </c>
      <c r="W22" s="6" t="s">
        <v>6822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6823</v>
      </c>
      <c r="B23" s="6" t="s">
        <v>6824</v>
      </c>
      <c r="C23" s="223" t="n">
        <v>4</v>
      </c>
      <c r="D23" s="221"/>
      <c r="E23" s="221"/>
      <c r="F23" s="28" t="s">
        <v>6825</v>
      </c>
      <c r="G23" s="28" t="s">
        <v>604</v>
      </c>
      <c r="H23" s="28" t="s">
        <v>6781</v>
      </c>
      <c r="I23" s="28" t="s">
        <v>604</v>
      </c>
      <c r="J23" s="6" t="s">
        <v>6768</v>
      </c>
      <c r="K23" s="221" t="n">
        <v>3</v>
      </c>
      <c r="L23" s="221" t="s">
        <v>6273</v>
      </c>
      <c r="M23" s="6" t="s">
        <v>6769</v>
      </c>
      <c r="N23" s="221" t="s">
        <v>6411</v>
      </c>
      <c r="O23" s="28" t="s">
        <v>6276</v>
      </c>
      <c r="P23" s="28" t="s">
        <v>604</v>
      </c>
      <c r="Q23" s="28" t="s">
        <v>6776</v>
      </c>
      <c r="R23" s="28" t="s">
        <v>604</v>
      </c>
      <c r="S23" s="28" t="s">
        <v>604</v>
      </c>
      <c r="T23" s="28" t="s">
        <v>604</v>
      </c>
      <c r="U23" s="28" t="s">
        <v>6771</v>
      </c>
      <c r="V23" s="6" t="s">
        <v>6821</v>
      </c>
      <c r="W23" s="6" t="s">
        <v>604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4583</v>
      </c>
      <c r="B24" s="6" t="s">
        <v>6826</v>
      </c>
      <c r="C24" s="223" t="n">
        <v>671</v>
      </c>
      <c r="D24" s="221"/>
      <c r="E24" s="221"/>
      <c r="F24" s="28" t="s">
        <v>254</v>
      </c>
      <c r="G24" s="28" t="s">
        <v>604</v>
      </c>
      <c r="H24" s="28" t="s">
        <v>6827</v>
      </c>
      <c r="I24" s="28" t="s">
        <v>604</v>
      </c>
      <c r="J24" s="6" t="s">
        <v>6768</v>
      </c>
      <c r="K24" s="221" t="n">
        <v>3</v>
      </c>
      <c r="L24" s="221" t="s">
        <v>6273</v>
      </c>
      <c r="M24" s="6" t="s">
        <v>6769</v>
      </c>
      <c r="N24" s="221" t="s">
        <v>6411</v>
      </c>
      <c r="O24" s="28" t="s">
        <v>6276</v>
      </c>
      <c r="P24" s="28" t="s">
        <v>604</v>
      </c>
      <c r="Q24" s="28" t="s">
        <v>6776</v>
      </c>
      <c r="R24" s="28" t="s">
        <v>604</v>
      </c>
      <c r="S24" s="28" t="s">
        <v>604</v>
      </c>
      <c r="T24" s="28" t="s">
        <v>604</v>
      </c>
      <c r="U24" s="28" t="s">
        <v>6771</v>
      </c>
      <c r="V24" s="6" t="s">
        <v>6828</v>
      </c>
      <c r="W24" s="6" t="s">
        <v>604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4586</v>
      </c>
      <c r="B25" s="6" t="s">
        <v>6829</v>
      </c>
      <c r="C25" s="223" t="n">
        <v>37</v>
      </c>
      <c r="D25" s="221"/>
      <c r="E25" s="221"/>
      <c r="F25" s="28" t="s">
        <v>254</v>
      </c>
      <c r="G25" s="28" t="s">
        <v>604</v>
      </c>
      <c r="H25" s="28" t="s">
        <v>6827</v>
      </c>
      <c r="I25" s="28" t="s">
        <v>604</v>
      </c>
      <c r="J25" s="6" t="s">
        <v>6768</v>
      </c>
      <c r="K25" s="221" t="n">
        <v>3</v>
      </c>
      <c r="L25" s="221" t="s">
        <v>6273</v>
      </c>
      <c r="M25" s="6" t="s">
        <v>6769</v>
      </c>
      <c r="N25" s="221" t="s">
        <v>6411</v>
      </c>
      <c r="O25" s="28" t="s">
        <v>6276</v>
      </c>
      <c r="P25" s="28" t="s">
        <v>604</v>
      </c>
      <c r="Q25" s="28" t="s">
        <v>6776</v>
      </c>
      <c r="R25" s="28" t="s">
        <v>604</v>
      </c>
      <c r="S25" s="28" t="s">
        <v>604</v>
      </c>
      <c r="T25" s="28" t="s">
        <v>604</v>
      </c>
      <c r="U25" s="28" t="s">
        <v>6771</v>
      </c>
      <c r="V25" s="6" t="s">
        <v>6830</v>
      </c>
      <c r="W25" s="6" t="s">
        <v>604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4589</v>
      </c>
      <c r="B26" s="6" t="s">
        <v>6831</v>
      </c>
      <c r="C26" s="223" t="n">
        <v>61</v>
      </c>
      <c r="D26" s="221"/>
      <c r="E26" s="221"/>
      <c r="F26" s="221" t="s">
        <v>260</v>
      </c>
      <c r="G26" s="28" t="s">
        <v>604</v>
      </c>
      <c r="H26" s="28" t="s">
        <v>6827</v>
      </c>
      <c r="I26" s="28" t="s">
        <v>604</v>
      </c>
      <c r="J26" s="6" t="s">
        <v>6768</v>
      </c>
      <c r="K26" s="221" t="n">
        <v>3</v>
      </c>
      <c r="L26" s="221" t="s">
        <v>6273</v>
      </c>
      <c r="M26" s="6" t="s">
        <v>6769</v>
      </c>
      <c r="N26" s="221" t="s">
        <v>6411</v>
      </c>
      <c r="O26" s="28" t="s">
        <v>6276</v>
      </c>
      <c r="P26" s="28" t="s">
        <v>604</v>
      </c>
      <c r="Q26" s="28" t="s">
        <v>6776</v>
      </c>
      <c r="R26" s="28" t="s">
        <v>604</v>
      </c>
      <c r="S26" s="28" t="s">
        <v>604</v>
      </c>
      <c r="T26" s="28" t="s">
        <v>604</v>
      </c>
      <c r="U26" s="28" t="s">
        <v>6771</v>
      </c>
      <c r="V26" s="6" t="s">
        <v>6832</v>
      </c>
      <c r="W26" s="6" t="s">
        <v>604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4592</v>
      </c>
      <c r="B27" s="6" t="s">
        <v>6833</v>
      </c>
      <c r="C27" s="223" t="n">
        <v>7168</v>
      </c>
      <c r="D27" s="221"/>
      <c r="E27" s="221"/>
      <c r="F27" s="221" t="s">
        <v>6757</v>
      </c>
      <c r="G27" s="28" t="s">
        <v>604</v>
      </c>
      <c r="H27" s="28" t="s">
        <v>6827</v>
      </c>
      <c r="I27" s="28" t="s">
        <v>604</v>
      </c>
      <c r="J27" s="6" t="s">
        <v>6768</v>
      </c>
      <c r="K27" s="221" t="n">
        <v>3</v>
      </c>
      <c r="L27" s="221" t="s">
        <v>6273</v>
      </c>
      <c r="M27" s="6" t="s">
        <v>6769</v>
      </c>
      <c r="N27" s="221" t="s">
        <v>6411</v>
      </c>
      <c r="O27" s="28" t="s">
        <v>6276</v>
      </c>
      <c r="P27" s="28" t="s">
        <v>604</v>
      </c>
      <c r="Q27" s="28" t="s">
        <v>6776</v>
      </c>
      <c r="R27" s="28" t="s">
        <v>604</v>
      </c>
      <c r="S27" s="28" t="s">
        <v>604</v>
      </c>
      <c r="T27" s="28" t="s">
        <v>604</v>
      </c>
      <c r="U27" s="28" t="s">
        <v>6771</v>
      </c>
      <c r="V27" s="6" t="s">
        <v>6834</v>
      </c>
      <c r="W27" s="6" t="s">
        <v>604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4595</v>
      </c>
      <c r="B28" s="6" t="s">
        <v>6835</v>
      </c>
      <c r="C28" s="223" t="n">
        <v>256</v>
      </c>
      <c r="D28" s="221"/>
      <c r="E28" s="221"/>
      <c r="F28" s="221" t="s">
        <v>312</v>
      </c>
      <c r="G28" s="28" t="s">
        <v>604</v>
      </c>
      <c r="H28" s="28" t="s">
        <v>6827</v>
      </c>
      <c r="I28" s="28" t="s">
        <v>604</v>
      </c>
      <c r="J28" s="6" t="s">
        <v>6768</v>
      </c>
      <c r="K28" s="221" t="n">
        <v>3</v>
      </c>
      <c r="L28" s="221" t="s">
        <v>6273</v>
      </c>
      <c r="M28" s="6" t="s">
        <v>6769</v>
      </c>
      <c r="N28" s="221" t="s">
        <v>6411</v>
      </c>
      <c r="O28" s="28" t="s">
        <v>6276</v>
      </c>
      <c r="P28" s="28" t="s">
        <v>604</v>
      </c>
      <c r="Q28" s="28" t="s">
        <v>6776</v>
      </c>
      <c r="R28" s="28" t="s">
        <v>604</v>
      </c>
      <c r="S28" s="28" t="s">
        <v>604</v>
      </c>
      <c r="T28" s="28" t="s">
        <v>604</v>
      </c>
      <c r="U28" s="28" t="s">
        <v>6771</v>
      </c>
      <c r="V28" s="6" t="s">
        <v>6836</v>
      </c>
      <c r="W28" s="6" t="s">
        <v>604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4599</v>
      </c>
      <c r="B29" s="6" t="s">
        <v>6837</v>
      </c>
      <c r="C29" s="223" t="n">
        <v>8</v>
      </c>
      <c r="D29" s="221"/>
      <c r="E29" s="221"/>
      <c r="F29" s="221" t="s">
        <v>312</v>
      </c>
      <c r="G29" s="28" t="s">
        <v>604</v>
      </c>
      <c r="H29" s="28" t="s">
        <v>6827</v>
      </c>
      <c r="I29" s="28" t="s">
        <v>604</v>
      </c>
      <c r="J29" s="6" t="s">
        <v>6768</v>
      </c>
      <c r="K29" s="221" t="n">
        <v>3</v>
      </c>
      <c r="L29" s="221" t="s">
        <v>6273</v>
      </c>
      <c r="M29" s="6" t="s">
        <v>6769</v>
      </c>
      <c r="N29" s="221" t="s">
        <v>6411</v>
      </c>
      <c r="O29" s="28" t="s">
        <v>6276</v>
      </c>
      <c r="P29" s="28" t="s">
        <v>604</v>
      </c>
      <c r="Q29" s="28" t="s">
        <v>6776</v>
      </c>
      <c r="R29" s="28" t="s">
        <v>604</v>
      </c>
      <c r="S29" s="28" t="s">
        <v>604</v>
      </c>
      <c r="T29" s="28" t="s">
        <v>604</v>
      </c>
      <c r="U29" s="28" t="s">
        <v>6771</v>
      </c>
      <c r="V29" s="6" t="s">
        <v>6838</v>
      </c>
      <c r="W29" s="6" t="s">
        <v>604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4602</v>
      </c>
      <c r="B30" s="6" t="s">
        <v>6839</v>
      </c>
      <c r="C30" s="223" t="n">
        <v>1</v>
      </c>
      <c r="D30" s="221"/>
      <c r="E30" s="221"/>
      <c r="F30" s="221" t="s">
        <v>312</v>
      </c>
      <c r="G30" s="28" t="s">
        <v>604</v>
      </c>
      <c r="H30" s="28" t="s">
        <v>6827</v>
      </c>
      <c r="I30" s="28" t="s">
        <v>604</v>
      </c>
      <c r="J30" s="6" t="s">
        <v>6768</v>
      </c>
      <c r="K30" s="221" t="n">
        <v>3</v>
      </c>
      <c r="L30" s="221" t="s">
        <v>6273</v>
      </c>
      <c r="M30" s="6" t="s">
        <v>6769</v>
      </c>
      <c r="N30" s="221" t="s">
        <v>6411</v>
      </c>
      <c r="O30" s="28" t="s">
        <v>6276</v>
      </c>
      <c r="P30" s="28" t="s">
        <v>604</v>
      </c>
      <c r="Q30" s="28" t="s">
        <v>6776</v>
      </c>
      <c r="R30" s="28" t="s">
        <v>604</v>
      </c>
      <c r="S30" s="28" t="s">
        <v>604</v>
      </c>
      <c r="T30" s="28" t="s">
        <v>604</v>
      </c>
      <c r="U30" s="28" t="s">
        <v>6771</v>
      </c>
      <c r="V30" s="6" t="s">
        <v>6840</v>
      </c>
      <c r="W30" s="6" t="s">
        <v>604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4605</v>
      </c>
      <c r="B31" s="6" t="s">
        <v>6841</v>
      </c>
      <c r="C31" s="223" t="n">
        <v>129280</v>
      </c>
      <c r="D31" s="221"/>
      <c r="E31" s="221"/>
      <c r="F31" s="28" t="s">
        <v>6802</v>
      </c>
      <c r="G31" s="28" t="s">
        <v>604</v>
      </c>
      <c r="H31" s="28" t="s">
        <v>6827</v>
      </c>
      <c r="I31" s="28" t="s">
        <v>604</v>
      </c>
      <c r="J31" s="6" t="s">
        <v>6768</v>
      </c>
      <c r="K31" s="221" t="n">
        <v>3</v>
      </c>
      <c r="L31" s="221" t="s">
        <v>6273</v>
      </c>
      <c r="M31" s="6" t="s">
        <v>6769</v>
      </c>
      <c r="N31" s="221" t="s">
        <v>6411</v>
      </c>
      <c r="O31" s="28" t="s">
        <v>6276</v>
      </c>
      <c r="P31" s="28" t="s">
        <v>604</v>
      </c>
      <c r="Q31" s="28" t="s">
        <v>6776</v>
      </c>
      <c r="R31" s="28" t="s">
        <v>604</v>
      </c>
      <c r="S31" s="28" t="s">
        <v>604</v>
      </c>
      <c r="T31" s="28" t="s">
        <v>604</v>
      </c>
      <c r="U31" s="28" t="s">
        <v>6771</v>
      </c>
      <c r="V31" s="6" t="s">
        <v>6842</v>
      </c>
      <c r="W31" s="6" t="s">
        <v>604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4608</v>
      </c>
      <c r="B32" s="6" t="s">
        <v>6843</v>
      </c>
      <c r="C32" s="223" t="n">
        <v>576</v>
      </c>
      <c r="D32" s="221"/>
      <c r="E32" s="221"/>
      <c r="F32" s="221" t="s">
        <v>6757</v>
      </c>
      <c r="G32" s="28" t="s">
        <v>6844</v>
      </c>
      <c r="H32" s="28" t="s">
        <v>6827</v>
      </c>
      <c r="I32" s="28" t="s">
        <v>604</v>
      </c>
      <c r="J32" s="6" t="s">
        <v>6768</v>
      </c>
      <c r="K32" s="221" t="n">
        <v>3</v>
      </c>
      <c r="L32" s="221" t="s">
        <v>6273</v>
      </c>
      <c r="M32" s="6" t="s">
        <v>6769</v>
      </c>
      <c r="N32" s="221" t="s">
        <v>6411</v>
      </c>
      <c r="O32" s="28" t="s">
        <v>6276</v>
      </c>
      <c r="P32" s="28" t="s">
        <v>604</v>
      </c>
      <c r="Q32" s="28" t="s">
        <v>6776</v>
      </c>
      <c r="R32" s="28" t="s">
        <v>604</v>
      </c>
      <c r="S32" s="28" t="s">
        <v>604</v>
      </c>
      <c r="T32" s="28" t="s">
        <v>604</v>
      </c>
      <c r="U32" s="28" t="s">
        <v>6771</v>
      </c>
      <c r="V32" s="6" t="s">
        <v>6845</v>
      </c>
      <c r="W32" s="6" t="s">
        <v>6846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4738</v>
      </c>
      <c r="B33" s="6" t="s">
        <v>6847</v>
      </c>
      <c r="C33" s="223" t="n">
        <v>32</v>
      </c>
      <c r="D33" s="221"/>
      <c r="E33" s="221"/>
      <c r="F33" s="28" t="s">
        <v>938</v>
      </c>
      <c r="G33" s="28" t="s">
        <v>604</v>
      </c>
      <c r="H33" s="28" t="s">
        <v>6760</v>
      </c>
      <c r="I33" s="28" t="s">
        <v>6297</v>
      </c>
      <c r="J33" s="6" t="s">
        <v>6848</v>
      </c>
      <c r="K33" s="221" t="n">
        <v>1</v>
      </c>
      <c r="L33" s="221" t="s">
        <v>6273</v>
      </c>
      <c r="M33" s="6" t="s">
        <v>6849</v>
      </c>
      <c r="N33" s="221" t="s">
        <v>6850</v>
      </c>
      <c r="O33" s="28" t="s">
        <v>6276</v>
      </c>
      <c r="P33" s="28" t="s">
        <v>604</v>
      </c>
      <c r="Q33" s="28" t="s">
        <v>6851</v>
      </c>
      <c r="R33" s="28" t="s">
        <v>604</v>
      </c>
      <c r="S33" s="28" t="s">
        <v>604</v>
      </c>
      <c r="T33" s="28" t="s">
        <v>604</v>
      </c>
      <c r="U33" s="28" t="s">
        <v>6852</v>
      </c>
      <c r="V33" s="6" t="s">
        <v>6853</v>
      </c>
      <c r="W33" s="6" t="s">
        <v>604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4740</v>
      </c>
      <c r="B34" s="6" t="s">
        <v>6854</v>
      </c>
      <c r="C34" s="223" t="n">
        <v>33</v>
      </c>
      <c r="D34" s="221"/>
      <c r="E34" s="221"/>
      <c r="F34" s="28" t="s">
        <v>938</v>
      </c>
      <c r="G34" s="28" t="s">
        <v>604</v>
      </c>
      <c r="H34" s="28" t="s">
        <v>6744</v>
      </c>
      <c r="I34" s="28" t="s">
        <v>6297</v>
      </c>
      <c r="J34" s="6" t="s">
        <v>6848</v>
      </c>
      <c r="K34" s="221" t="n">
        <v>1</v>
      </c>
      <c r="L34" s="221" t="s">
        <v>6273</v>
      </c>
      <c r="M34" s="6" t="s">
        <v>6849</v>
      </c>
      <c r="N34" s="221" t="s">
        <v>6850</v>
      </c>
      <c r="O34" s="28" t="s">
        <v>6276</v>
      </c>
      <c r="P34" s="28" t="s">
        <v>604</v>
      </c>
      <c r="Q34" s="28" t="s">
        <v>6851</v>
      </c>
      <c r="R34" s="28" t="s">
        <v>604</v>
      </c>
      <c r="S34" s="28" t="s">
        <v>604</v>
      </c>
      <c r="T34" s="28" t="s">
        <v>604</v>
      </c>
      <c r="U34" s="28" t="s">
        <v>6852</v>
      </c>
      <c r="V34" s="6" t="s">
        <v>6855</v>
      </c>
      <c r="W34" s="6" t="s">
        <v>604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4743</v>
      </c>
      <c r="B35" s="6" t="s">
        <v>6856</v>
      </c>
      <c r="C35" s="223" t="n">
        <v>4096</v>
      </c>
      <c r="D35" s="221"/>
      <c r="E35" s="221"/>
      <c r="F35" s="28" t="s">
        <v>275</v>
      </c>
      <c r="G35" s="28" t="s">
        <v>6857</v>
      </c>
      <c r="H35" s="28" t="s">
        <v>6781</v>
      </c>
      <c r="I35" s="28" t="s">
        <v>6297</v>
      </c>
      <c r="J35" s="6" t="s">
        <v>6848</v>
      </c>
      <c r="K35" s="221" t="n">
        <v>1</v>
      </c>
      <c r="L35" s="221" t="s">
        <v>6273</v>
      </c>
      <c r="M35" s="6" t="s">
        <v>6849</v>
      </c>
      <c r="N35" s="221" t="s">
        <v>6850</v>
      </c>
      <c r="O35" s="28" t="s">
        <v>6276</v>
      </c>
      <c r="P35" s="28" t="s">
        <v>604</v>
      </c>
      <c r="Q35" s="28" t="s">
        <v>6851</v>
      </c>
      <c r="R35" s="28" t="s">
        <v>604</v>
      </c>
      <c r="S35" s="28" t="s">
        <v>604</v>
      </c>
      <c r="T35" s="28" t="s">
        <v>604</v>
      </c>
      <c r="U35" s="28" t="s">
        <v>6852</v>
      </c>
      <c r="V35" s="6" t="s">
        <v>6858</v>
      </c>
      <c r="W35" s="6" t="s">
        <v>604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6859</v>
      </c>
      <c r="B36" s="6" t="s">
        <v>6860</v>
      </c>
      <c r="C36" s="223" t="n">
        <v>16384</v>
      </c>
      <c r="D36" s="221"/>
      <c r="E36" s="221"/>
      <c r="F36" s="28" t="s">
        <v>275</v>
      </c>
      <c r="G36" s="221" t="s">
        <v>6861</v>
      </c>
      <c r="H36" s="28" t="s">
        <v>6781</v>
      </c>
      <c r="I36" s="28" t="s">
        <v>6297</v>
      </c>
      <c r="J36" s="6" t="s">
        <v>6848</v>
      </c>
      <c r="K36" s="221" t="n">
        <v>1</v>
      </c>
      <c r="L36" s="221" t="s">
        <v>6273</v>
      </c>
      <c r="M36" s="6" t="s">
        <v>6849</v>
      </c>
      <c r="N36" s="221" t="s">
        <v>6850</v>
      </c>
      <c r="O36" s="28" t="s">
        <v>6276</v>
      </c>
      <c r="P36" s="28" t="s">
        <v>604</v>
      </c>
      <c r="Q36" s="28" t="s">
        <v>6851</v>
      </c>
      <c r="R36" s="28" t="s">
        <v>604</v>
      </c>
      <c r="S36" s="28" t="s">
        <v>604</v>
      </c>
      <c r="T36" s="28" t="s">
        <v>604</v>
      </c>
      <c r="U36" s="28" t="s">
        <v>6852</v>
      </c>
      <c r="V36" s="6" t="s">
        <v>604</v>
      </c>
      <c r="W36" s="6" t="s">
        <v>604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5193</v>
      </c>
      <c r="B37" s="6" t="s">
        <v>6862</v>
      </c>
      <c r="C37" s="223" t="n">
        <v>4.6E+026</v>
      </c>
      <c r="D37" s="221"/>
      <c r="E37" s="221"/>
      <c r="F37" s="28" t="s">
        <v>297</v>
      </c>
      <c r="G37" s="221" t="s">
        <v>6863</v>
      </c>
      <c r="H37" s="28" t="s">
        <v>6864</v>
      </c>
      <c r="I37" s="28" t="s">
        <v>6865</v>
      </c>
      <c r="J37" s="6" t="s">
        <v>6866</v>
      </c>
      <c r="K37" s="221" t="n">
        <v>1</v>
      </c>
      <c r="L37" s="221" t="s">
        <v>6380</v>
      </c>
      <c r="M37" s="6" t="s">
        <v>6867</v>
      </c>
      <c r="N37" s="221" t="s">
        <v>6868</v>
      </c>
      <c r="O37" s="28" t="s">
        <v>6276</v>
      </c>
      <c r="P37" s="28" t="s">
        <v>604</v>
      </c>
      <c r="Q37" s="28" t="s">
        <v>6869</v>
      </c>
      <c r="R37" s="28" t="s">
        <v>604</v>
      </c>
      <c r="S37" s="28" t="s">
        <v>604</v>
      </c>
      <c r="T37" s="28" t="s">
        <v>604</v>
      </c>
      <c r="U37" s="28" t="s">
        <v>6870</v>
      </c>
      <c r="V37" s="6" t="s">
        <v>6871</v>
      </c>
      <c r="W37" s="19" t="s">
        <v>6872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2792</v>
      </c>
      <c r="B38" s="6" t="s">
        <v>6873</v>
      </c>
      <c r="C38" s="223" t="n">
        <v>0.147</v>
      </c>
      <c r="D38" s="221"/>
      <c r="E38" s="221"/>
      <c r="F38" s="28" t="s">
        <v>6874</v>
      </c>
      <c r="G38" s="28" t="s">
        <v>6875</v>
      </c>
      <c r="H38" s="28" t="s">
        <v>6876</v>
      </c>
      <c r="I38" s="28" t="s">
        <v>6877</v>
      </c>
      <c r="J38" s="6" t="s">
        <v>6878</v>
      </c>
      <c r="K38" s="221" t="n">
        <v>2</v>
      </c>
      <c r="L38" s="221" t="s">
        <v>6273</v>
      </c>
      <c r="M38" s="6" t="s">
        <v>6879</v>
      </c>
      <c r="N38" s="221" t="s">
        <v>6286</v>
      </c>
      <c r="O38" s="28" t="s">
        <v>6276</v>
      </c>
      <c r="P38" s="28" t="s">
        <v>604</v>
      </c>
      <c r="Q38" s="28" t="s">
        <v>6880</v>
      </c>
      <c r="R38" s="28" t="s">
        <v>604</v>
      </c>
      <c r="S38" s="28" t="s">
        <v>604</v>
      </c>
      <c r="T38" s="28" t="s">
        <v>604</v>
      </c>
      <c r="U38" s="28" t="s">
        <v>6881</v>
      </c>
      <c r="V38" s="6" t="s">
        <v>6882</v>
      </c>
      <c r="W38" s="6" t="s">
        <v>6883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6884</v>
      </c>
      <c r="B39" s="6" t="s">
        <v>6885</v>
      </c>
      <c r="C39" s="223" t="n">
        <v>0.14</v>
      </c>
      <c r="D39" s="221"/>
      <c r="E39" s="221"/>
      <c r="F39" s="28" t="s">
        <v>6886</v>
      </c>
      <c r="G39" s="221" t="s">
        <v>6887</v>
      </c>
      <c r="H39" s="28" t="s">
        <v>6888</v>
      </c>
      <c r="I39" s="28" t="s">
        <v>6889</v>
      </c>
      <c r="J39" s="6" t="s">
        <v>6890</v>
      </c>
      <c r="K39" s="221" t="n">
        <v>2</v>
      </c>
      <c r="L39" s="221" t="s">
        <v>6273</v>
      </c>
      <c r="M39" s="6" t="s">
        <v>6891</v>
      </c>
      <c r="N39" s="221" t="s">
        <v>6286</v>
      </c>
      <c r="O39" s="28" t="s">
        <v>6276</v>
      </c>
      <c r="P39" s="28" t="s">
        <v>604</v>
      </c>
      <c r="Q39" s="28" t="s">
        <v>6892</v>
      </c>
      <c r="R39" s="28" t="s">
        <v>604</v>
      </c>
      <c r="S39" s="28" t="s">
        <v>604</v>
      </c>
      <c r="T39" s="28" t="s">
        <v>604</v>
      </c>
      <c r="U39" s="28" t="s">
        <v>6893</v>
      </c>
      <c r="V39" s="6" t="s">
        <v>604</v>
      </c>
      <c r="W39" s="6" t="s">
        <v>604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2798</v>
      </c>
      <c r="B40" s="6" t="s">
        <v>6894</v>
      </c>
      <c r="C40" s="223" t="n">
        <v>1</v>
      </c>
      <c r="D40" s="221"/>
      <c r="E40" s="221"/>
      <c r="F40" s="28" t="s">
        <v>93</v>
      </c>
      <c r="G40" s="221" t="s">
        <v>6895</v>
      </c>
      <c r="H40" s="28" t="s">
        <v>6896</v>
      </c>
      <c r="I40" s="28" t="s">
        <v>6897</v>
      </c>
      <c r="J40" s="6" t="s">
        <v>6898</v>
      </c>
      <c r="K40" s="221" t="n">
        <v>1</v>
      </c>
      <c r="L40" s="221" t="s">
        <v>6273</v>
      </c>
      <c r="M40" s="6" t="s">
        <v>6899</v>
      </c>
      <c r="N40" s="221" t="s">
        <v>6850</v>
      </c>
      <c r="O40" s="28" t="s">
        <v>6276</v>
      </c>
      <c r="P40" s="28" t="s">
        <v>604</v>
      </c>
      <c r="Q40" s="28" t="s">
        <v>6900</v>
      </c>
      <c r="R40" s="28" t="s">
        <v>604</v>
      </c>
      <c r="S40" s="28" t="s">
        <v>604</v>
      </c>
      <c r="T40" s="28" t="s">
        <v>604</v>
      </c>
      <c r="U40" s="28" t="s">
        <v>6901</v>
      </c>
      <c r="V40" s="6" t="s">
        <v>6902</v>
      </c>
      <c r="W40" s="19" t="s">
        <v>6903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6904</v>
      </c>
      <c r="B41" s="6" t="s">
        <v>6905</v>
      </c>
      <c r="C41" s="223" t="n">
        <v>200000</v>
      </c>
      <c r="D41" s="221"/>
      <c r="E41" s="221"/>
      <c r="F41" s="28" t="s">
        <v>715</v>
      </c>
      <c r="G41" s="28" t="s">
        <v>604</v>
      </c>
      <c r="H41" s="28" t="s">
        <v>6896</v>
      </c>
      <c r="I41" s="28" t="s">
        <v>6897</v>
      </c>
      <c r="J41" s="6" t="s">
        <v>6898</v>
      </c>
      <c r="K41" s="221" t="n">
        <v>1</v>
      </c>
      <c r="L41" s="221" t="s">
        <v>6273</v>
      </c>
      <c r="M41" s="6" t="s">
        <v>6899</v>
      </c>
      <c r="N41" s="221" t="s">
        <v>6850</v>
      </c>
      <c r="O41" s="28" t="s">
        <v>6276</v>
      </c>
      <c r="P41" s="28" t="s">
        <v>604</v>
      </c>
      <c r="Q41" s="28" t="s">
        <v>6900</v>
      </c>
      <c r="R41" s="28" t="s">
        <v>604</v>
      </c>
      <c r="S41" s="28" t="s">
        <v>604</v>
      </c>
      <c r="T41" s="28" t="s">
        <v>604</v>
      </c>
      <c r="U41" s="28" t="s">
        <v>6901</v>
      </c>
      <c r="V41" s="6" t="s">
        <v>604</v>
      </c>
      <c r="W41" s="6" t="s">
        <v>604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6906</v>
      </c>
      <c r="B42" s="6" t="s">
        <v>6907</v>
      </c>
      <c r="C42" s="223" t="n">
        <v>10</v>
      </c>
      <c r="D42" s="221"/>
      <c r="E42" s="221"/>
      <c r="F42" s="28" t="s">
        <v>93</v>
      </c>
      <c r="G42" s="221" t="s">
        <v>6908</v>
      </c>
      <c r="H42" s="28" t="s">
        <v>6896</v>
      </c>
      <c r="I42" s="28" t="s">
        <v>6897</v>
      </c>
      <c r="J42" s="6" t="s">
        <v>6898</v>
      </c>
      <c r="K42" s="221" t="n">
        <v>1</v>
      </c>
      <c r="L42" s="221" t="s">
        <v>6273</v>
      </c>
      <c r="M42" s="6" t="s">
        <v>6899</v>
      </c>
      <c r="N42" s="221" t="s">
        <v>6850</v>
      </c>
      <c r="O42" s="28" t="s">
        <v>6276</v>
      </c>
      <c r="P42" s="28" t="s">
        <v>604</v>
      </c>
      <c r="Q42" s="28" t="s">
        <v>6900</v>
      </c>
      <c r="R42" s="28" t="s">
        <v>604</v>
      </c>
      <c r="S42" s="28" t="s">
        <v>604</v>
      </c>
      <c r="T42" s="28" t="s">
        <v>604</v>
      </c>
      <c r="U42" s="28" t="s">
        <v>6901</v>
      </c>
      <c r="V42" s="6" t="s">
        <v>604</v>
      </c>
      <c r="W42" s="6" t="s">
        <v>604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4746</v>
      </c>
      <c r="B43" s="6" t="s">
        <v>6909</v>
      </c>
      <c r="C43" s="223" t="n">
        <v>14.8</v>
      </c>
      <c r="D43" s="221"/>
      <c r="E43" s="221"/>
      <c r="F43" s="28" t="s">
        <v>938</v>
      </c>
      <c r="G43" s="28" t="s">
        <v>604</v>
      </c>
      <c r="H43" s="28" t="s">
        <v>6910</v>
      </c>
      <c r="I43" s="28" t="s">
        <v>6911</v>
      </c>
      <c r="J43" s="6" t="s">
        <v>6912</v>
      </c>
      <c r="K43" s="221" t="n">
        <v>3</v>
      </c>
      <c r="L43" s="221" t="s">
        <v>6273</v>
      </c>
      <c r="M43" s="6" t="s">
        <v>6913</v>
      </c>
      <c r="N43" s="221" t="s">
        <v>6411</v>
      </c>
      <c r="O43" s="28" t="s">
        <v>6276</v>
      </c>
      <c r="P43" s="28" t="s">
        <v>604</v>
      </c>
      <c r="Q43" s="28" t="s">
        <v>6914</v>
      </c>
      <c r="R43" s="28" t="s">
        <v>604</v>
      </c>
      <c r="S43" s="28" t="s">
        <v>604</v>
      </c>
      <c r="T43" s="28" t="s">
        <v>604</v>
      </c>
      <c r="U43" s="28" t="s">
        <v>969</v>
      </c>
      <c r="V43" s="6" t="s">
        <v>6915</v>
      </c>
      <c r="W43" s="6" t="s">
        <v>604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4749</v>
      </c>
      <c r="B44" s="6" t="s">
        <v>6916</v>
      </c>
      <c r="C44" s="223" t="n">
        <v>2.664</v>
      </c>
      <c r="D44" s="221"/>
      <c r="E44" s="221"/>
      <c r="F44" s="28" t="s">
        <v>6917</v>
      </c>
      <c r="G44" s="221" t="s">
        <v>6918</v>
      </c>
      <c r="H44" s="28" t="s">
        <v>6910</v>
      </c>
      <c r="I44" s="28" t="s">
        <v>6911</v>
      </c>
      <c r="J44" s="6" t="s">
        <v>6912</v>
      </c>
      <c r="K44" s="221" t="n">
        <v>3</v>
      </c>
      <c r="L44" s="221" t="s">
        <v>6273</v>
      </c>
      <c r="M44" s="6" t="s">
        <v>6913</v>
      </c>
      <c r="N44" s="221" t="s">
        <v>6411</v>
      </c>
      <c r="O44" s="28" t="s">
        <v>6276</v>
      </c>
      <c r="P44" s="28" t="s">
        <v>604</v>
      </c>
      <c r="Q44" s="28" t="s">
        <v>6914</v>
      </c>
      <c r="R44" s="28" t="s">
        <v>604</v>
      </c>
      <c r="S44" s="28" t="s">
        <v>604</v>
      </c>
      <c r="T44" s="28" t="s">
        <v>604</v>
      </c>
      <c r="U44" s="28" t="s">
        <v>969</v>
      </c>
      <c r="V44" s="6" t="s">
        <v>6919</v>
      </c>
      <c r="W44" s="6" t="s">
        <v>604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6920</v>
      </c>
      <c r="B45" s="6" t="s">
        <v>6921</v>
      </c>
      <c r="C45" s="223" t="n">
        <v>2.788</v>
      </c>
      <c r="D45" s="221"/>
      <c r="E45" s="221"/>
      <c r="F45" s="28" t="s">
        <v>6917</v>
      </c>
      <c r="G45" s="221" t="s">
        <v>6922</v>
      </c>
      <c r="H45" s="28" t="s">
        <v>6910</v>
      </c>
      <c r="I45" s="28" t="s">
        <v>6911</v>
      </c>
      <c r="J45" s="6" t="s">
        <v>6912</v>
      </c>
      <c r="K45" s="221" t="n">
        <v>3</v>
      </c>
      <c r="L45" s="221" t="s">
        <v>6273</v>
      </c>
      <c r="M45" s="6" t="s">
        <v>6913</v>
      </c>
      <c r="N45" s="221" t="s">
        <v>6411</v>
      </c>
      <c r="O45" s="28" t="s">
        <v>6276</v>
      </c>
      <c r="P45" s="28" t="s">
        <v>604</v>
      </c>
      <c r="Q45" s="28" t="s">
        <v>6914</v>
      </c>
      <c r="R45" s="28" t="s">
        <v>604</v>
      </c>
      <c r="S45" s="28" t="s">
        <v>604</v>
      </c>
      <c r="T45" s="28" t="s">
        <v>604</v>
      </c>
      <c r="U45" s="28" t="s">
        <v>969</v>
      </c>
      <c r="V45" s="6" t="s">
        <v>604</v>
      </c>
      <c r="W45" s="6" t="s">
        <v>604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4752</v>
      </c>
      <c r="B46" s="6" t="s">
        <v>6923</v>
      </c>
      <c r="C46" s="223" t="n">
        <v>4096</v>
      </c>
      <c r="D46" s="221"/>
      <c r="E46" s="221"/>
      <c r="F46" s="28" t="s">
        <v>275</v>
      </c>
      <c r="G46" s="28" t="s">
        <v>604</v>
      </c>
      <c r="H46" s="28" t="s">
        <v>6910</v>
      </c>
      <c r="I46" s="28" t="s">
        <v>6911</v>
      </c>
      <c r="J46" s="6" t="s">
        <v>6912</v>
      </c>
      <c r="K46" s="221" t="n">
        <v>3</v>
      </c>
      <c r="L46" s="221" t="s">
        <v>6273</v>
      </c>
      <c r="M46" s="6" t="s">
        <v>6913</v>
      </c>
      <c r="N46" s="221" t="s">
        <v>6411</v>
      </c>
      <c r="O46" s="28" t="s">
        <v>6276</v>
      </c>
      <c r="P46" s="28" t="s">
        <v>604</v>
      </c>
      <c r="Q46" s="28" t="s">
        <v>6914</v>
      </c>
      <c r="R46" s="28" t="s">
        <v>604</v>
      </c>
      <c r="S46" s="28" t="s">
        <v>604</v>
      </c>
      <c r="T46" s="28" t="s">
        <v>604</v>
      </c>
      <c r="U46" s="28" t="s">
        <v>969</v>
      </c>
      <c r="V46" s="6" t="s">
        <v>6924</v>
      </c>
      <c r="W46" s="6" t="s">
        <v>604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4757</v>
      </c>
      <c r="B47" s="19" t="s">
        <v>6925</v>
      </c>
      <c r="C47" s="223" t="n">
        <v>1</v>
      </c>
      <c r="D47" s="221"/>
      <c r="E47" s="221"/>
      <c r="F47" s="28" t="s">
        <v>6926</v>
      </c>
      <c r="G47" s="221" t="s">
        <v>6927</v>
      </c>
      <c r="H47" s="28" t="s">
        <v>1217</v>
      </c>
      <c r="I47" s="28" t="s">
        <v>1207</v>
      </c>
      <c r="J47" s="6" t="s">
        <v>6928</v>
      </c>
      <c r="K47" s="221" t="n">
        <v>1</v>
      </c>
      <c r="L47" s="221" t="s">
        <v>6273</v>
      </c>
      <c r="M47" s="6" t="s">
        <v>6849</v>
      </c>
      <c r="N47" s="221" t="s">
        <v>6850</v>
      </c>
      <c r="O47" s="28" t="s">
        <v>6276</v>
      </c>
      <c r="P47" s="28" t="s">
        <v>604</v>
      </c>
      <c r="Q47" s="28" t="s">
        <v>6929</v>
      </c>
      <c r="R47" s="28" t="s">
        <v>604</v>
      </c>
      <c r="S47" s="28" t="s">
        <v>604</v>
      </c>
      <c r="T47" s="28" t="s">
        <v>604</v>
      </c>
      <c r="U47" s="28" t="s">
        <v>6930</v>
      </c>
      <c r="V47" s="6" t="s">
        <v>6931</v>
      </c>
      <c r="W47" s="6" t="s">
        <v>6932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6933</v>
      </c>
      <c r="B48" s="19" t="s">
        <v>6934</v>
      </c>
      <c r="C48" s="223" t="n">
        <v>1</v>
      </c>
      <c r="D48" s="221"/>
      <c r="E48" s="221"/>
      <c r="F48" s="28" t="s">
        <v>6926</v>
      </c>
      <c r="G48" s="221" t="s">
        <v>6927</v>
      </c>
      <c r="H48" s="28" t="s">
        <v>6935</v>
      </c>
      <c r="I48" s="28" t="s">
        <v>6936</v>
      </c>
      <c r="J48" s="6" t="s">
        <v>6937</v>
      </c>
      <c r="K48" s="221" t="n">
        <v>1</v>
      </c>
      <c r="L48" s="221" t="s">
        <v>6273</v>
      </c>
      <c r="M48" s="6" t="s">
        <v>6938</v>
      </c>
      <c r="N48" s="221" t="s">
        <v>6850</v>
      </c>
      <c r="O48" s="28" t="s">
        <v>6276</v>
      </c>
      <c r="P48" s="28" t="s">
        <v>604</v>
      </c>
      <c r="Q48" s="28" t="s">
        <v>6939</v>
      </c>
      <c r="R48" s="28" t="s">
        <v>604</v>
      </c>
      <c r="S48" s="28" t="s">
        <v>604</v>
      </c>
      <c r="T48" s="28" t="s">
        <v>604</v>
      </c>
      <c r="U48" s="28" t="s">
        <v>6940</v>
      </c>
      <c r="V48" s="6" t="s">
        <v>6931</v>
      </c>
      <c r="W48" s="6" t="s">
        <v>604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6941</v>
      </c>
      <c r="B49" s="19" t="s">
        <v>6942</v>
      </c>
      <c r="C49" s="223" t="n">
        <v>1</v>
      </c>
      <c r="D49" s="221"/>
      <c r="E49" s="221"/>
      <c r="F49" s="28" t="s">
        <v>6926</v>
      </c>
      <c r="G49" s="221" t="s">
        <v>6927</v>
      </c>
      <c r="H49" s="28" t="s">
        <v>1234</v>
      </c>
      <c r="I49" s="28" t="s">
        <v>6877</v>
      </c>
      <c r="J49" s="6" t="s">
        <v>6943</v>
      </c>
      <c r="K49" s="221" t="n">
        <v>2</v>
      </c>
      <c r="L49" s="221" t="s">
        <v>6273</v>
      </c>
      <c r="M49" s="6" t="s">
        <v>6943</v>
      </c>
      <c r="N49" s="221" t="s">
        <v>6286</v>
      </c>
      <c r="O49" s="28" t="s">
        <v>6276</v>
      </c>
      <c r="P49" s="28" t="s">
        <v>604</v>
      </c>
      <c r="Q49" s="28" t="s">
        <v>6944</v>
      </c>
      <c r="R49" s="28" t="s">
        <v>604</v>
      </c>
      <c r="S49" s="28" t="s">
        <v>604</v>
      </c>
      <c r="T49" s="28" t="s">
        <v>604</v>
      </c>
      <c r="U49" s="28" t="s">
        <v>6945</v>
      </c>
      <c r="V49" s="6" t="s">
        <v>6931</v>
      </c>
      <c r="W49" s="6" t="s">
        <v>604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5063</v>
      </c>
      <c r="B50" s="6" t="s">
        <v>6946</v>
      </c>
      <c r="C50" s="223" t="n">
        <v>1.5</v>
      </c>
      <c r="D50" s="221"/>
      <c r="E50" s="221"/>
      <c r="F50" s="28" t="s">
        <v>93</v>
      </c>
      <c r="G50" s="221" t="s">
        <v>6947</v>
      </c>
      <c r="H50" s="28" t="s">
        <v>1234</v>
      </c>
      <c r="I50" s="28" t="s">
        <v>6877</v>
      </c>
      <c r="J50" s="6" t="s">
        <v>6943</v>
      </c>
      <c r="K50" s="221" t="n">
        <v>2</v>
      </c>
      <c r="L50" s="221" t="s">
        <v>6273</v>
      </c>
      <c r="M50" s="6" t="s">
        <v>6943</v>
      </c>
      <c r="N50" s="221" t="s">
        <v>6286</v>
      </c>
      <c r="O50" s="28" t="s">
        <v>6276</v>
      </c>
      <c r="P50" s="28" t="s">
        <v>604</v>
      </c>
      <c r="Q50" s="28" t="s">
        <v>6944</v>
      </c>
      <c r="R50" s="28" t="s">
        <v>604</v>
      </c>
      <c r="S50" s="28" t="s">
        <v>604</v>
      </c>
      <c r="T50" s="28" t="s">
        <v>604</v>
      </c>
      <c r="U50" s="28" t="s">
        <v>6945</v>
      </c>
      <c r="V50" s="6" t="s">
        <v>604</v>
      </c>
      <c r="W50" s="6" t="s">
        <v>604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6948</v>
      </c>
      <c r="B51" s="19" t="s">
        <v>6949</v>
      </c>
      <c r="C51" s="223" t="n">
        <v>1</v>
      </c>
      <c r="D51" s="221"/>
      <c r="E51" s="221"/>
      <c r="F51" s="28" t="s">
        <v>6926</v>
      </c>
      <c r="G51" s="221" t="s">
        <v>6927</v>
      </c>
      <c r="H51" s="28" t="s">
        <v>6950</v>
      </c>
      <c r="I51" s="28" t="s">
        <v>6897</v>
      </c>
      <c r="J51" s="6" t="s">
        <v>6951</v>
      </c>
      <c r="K51" s="221" t="n">
        <v>1</v>
      </c>
      <c r="L51" s="221" t="s">
        <v>6273</v>
      </c>
      <c r="M51" s="6" t="s">
        <v>6952</v>
      </c>
      <c r="N51" s="221" t="s">
        <v>6850</v>
      </c>
      <c r="O51" s="28" t="s">
        <v>6276</v>
      </c>
      <c r="P51" s="28" t="s">
        <v>604</v>
      </c>
      <c r="Q51" s="28" t="s">
        <v>6953</v>
      </c>
      <c r="R51" s="28" t="s">
        <v>604</v>
      </c>
      <c r="S51" s="28" t="s">
        <v>604</v>
      </c>
      <c r="T51" s="28" t="s">
        <v>604</v>
      </c>
      <c r="U51" s="28" t="s">
        <v>6954</v>
      </c>
      <c r="V51" s="6" t="s">
        <v>6931</v>
      </c>
      <c r="W51" s="6" t="s">
        <v>604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6955</v>
      </c>
      <c r="B52" s="6" t="s">
        <v>6956</v>
      </c>
      <c r="C52" s="223" t="n">
        <v>10.7</v>
      </c>
      <c r="D52" s="221"/>
      <c r="E52" s="221"/>
      <c r="F52" s="28" t="s">
        <v>93</v>
      </c>
      <c r="G52" s="221" t="s">
        <v>6957</v>
      </c>
      <c r="H52" s="28" t="s">
        <v>6950</v>
      </c>
      <c r="I52" s="28" t="s">
        <v>6897</v>
      </c>
      <c r="J52" s="6" t="s">
        <v>6951</v>
      </c>
      <c r="K52" s="221" t="n">
        <v>1</v>
      </c>
      <c r="L52" s="221" t="s">
        <v>6273</v>
      </c>
      <c r="M52" s="6" t="s">
        <v>6952</v>
      </c>
      <c r="N52" s="221" t="s">
        <v>6850</v>
      </c>
      <c r="O52" s="28" t="s">
        <v>6276</v>
      </c>
      <c r="P52" s="28" t="s">
        <v>604</v>
      </c>
      <c r="Q52" s="28" t="s">
        <v>6953</v>
      </c>
      <c r="R52" s="28" t="s">
        <v>604</v>
      </c>
      <c r="S52" s="28" t="s">
        <v>604</v>
      </c>
      <c r="T52" s="28" t="s">
        <v>604</v>
      </c>
      <c r="U52" s="28" t="s">
        <v>6954</v>
      </c>
      <c r="V52" s="6" t="s">
        <v>604</v>
      </c>
      <c r="W52" s="6" t="s">
        <v>604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4612</v>
      </c>
      <c r="B53" s="6" t="s">
        <v>6958</v>
      </c>
      <c r="C53" s="223" t="n">
        <v>128</v>
      </c>
      <c r="D53" s="221"/>
      <c r="E53" s="221"/>
      <c r="F53" s="221" t="s">
        <v>312</v>
      </c>
      <c r="G53" s="28" t="s">
        <v>6959</v>
      </c>
      <c r="H53" s="28" t="s">
        <v>6827</v>
      </c>
      <c r="I53" s="28" t="s">
        <v>604</v>
      </c>
      <c r="J53" s="6" t="s">
        <v>6562</v>
      </c>
      <c r="K53" s="221" t="n">
        <v>3</v>
      </c>
      <c r="L53" s="221" t="s">
        <v>6273</v>
      </c>
      <c r="M53" s="6" t="s">
        <v>6960</v>
      </c>
      <c r="N53" s="221" t="s">
        <v>6411</v>
      </c>
      <c r="O53" s="28" t="s">
        <v>6276</v>
      </c>
      <c r="P53" s="28" t="s">
        <v>604</v>
      </c>
      <c r="Q53" s="28" t="s">
        <v>6571</v>
      </c>
      <c r="R53" s="28" t="s">
        <v>604</v>
      </c>
      <c r="S53" s="28" t="s">
        <v>604</v>
      </c>
      <c r="T53" s="28" t="s">
        <v>604</v>
      </c>
      <c r="U53" s="28" t="s">
        <v>6564</v>
      </c>
      <c r="V53" s="6" t="s">
        <v>604</v>
      </c>
      <c r="W53" s="6" t="s">
        <v>6575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6961</v>
      </c>
      <c r="B54" s="6" t="s">
        <v>6962</v>
      </c>
      <c r="C54" s="223" t="n">
        <v>192</v>
      </c>
      <c r="D54" s="221"/>
      <c r="E54" s="221"/>
      <c r="F54" s="221" t="s">
        <v>6757</v>
      </c>
      <c r="G54" s="28" t="s">
        <v>6959</v>
      </c>
      <c r="H54" s="28" t="s">
        <v>6827</v>
      </c>
      <c r="I54" s="28" t="s">
        <v>604</v>
      </c>
      <c r="J54" s="6" t="s">
        <v>6562</v>
      </c>
      <c r="K54" s="221" t="n">
        <v>3</v>
      </c>
      <c r="L54" s="221" t="s">
        <v>6273</v>
      </c>
      <c r="M54" s="6" t="s">
        <v>6960</v>
      </c>
      <c r="N54" s="221" t="s">
        <v>6411</v>
      </c>
      <c r="O54" s="28" t="s">
        <v>6276</v>
      </c>
      <c r="P54" s="28" t="s">
        <v>604</v>
      </c>
      <c r="Q54" s="28" t="s">
        <v>6571</v>
      </c>
      <c r="R54" s="28" t="s">
        <v>604</v>
      </c>
      <c r="S54" s="28" t="s">
        <v>604</v>
      </c>
      <c r="T54" s="28" t="s">
        <v>604</v>
      </c>
      <c r="U54" s="28" t="s">
        <v>6564</v>
      </c>
      <c r="V54" s="6" t="s">
        <v>604</v>
      </c>
      <c r="W54" s="6" t="s">
        <v>6575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6963</v>
      </c>
      <c r="B55" s="6" t="s">
        <v>6964</v>
      </c>
      <c r="C55" s="223" t="n">
        <v>128</v>
      </c>
      <c r="D55" s="221"/>
      <c r="E55" s="221"/>
      <c r="F55" s="221" t="s">
        <v>6757</v>
      </c>
      <c r="G55" s="28" t="s">
        <v>6959</v>
      </c>
      <c r="H55" s="28" t="s">
        <v>6827</v>
      </c>
      <c r="I55" s="28" t="s">
        <v>604</v>
      </c>
      <c r="J55" s="6" t="s">
        <v>6562</v>
      </c>
      <c r="K55" s="221" t="n">
        <v>3</v>
      </c>
      <c r="L55" s="221" t="s">
        <v>6273</v>
      </c>
      <c r="M55" s="6" t="s">
        <v>6960</v>
      </c>
      <c r="N55" s="221" t="s">
        <v>6411</v>
      </c>
      <c r="O55" s="28" t="s">
        <v>6276</v>
      </c>
      <c r="P55" s="28" t="s">
        <v>604</v>
      </c>
      <c r="Q55" s="28" t="s">
        <v>6571</v>
      </c>
      <c r="R55" s="28" t="s">
        <v>604</v>
      </c>
      <c r="S55" s="28" t="s">
        <v>604</v>
      </c>
      <c r="T55" s="28" t="s">
        <v>604</v>
      </c>
      <c r="U55" s="28" t="s">
        <v>6564</v>
      </c>
      <c r="V55" s="6" t="s">
        <v>604</v>
      </c>
      <c r="W55" s="6" t="s">
        <v>6575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4251</v>
      </c>
      <c r="B56" s="6" t="s">
        <v>6965</v>
      </c>
      <c r="C56" s="223" t="n">
        <v>4096</v>
      </c>
      <c r="D56" s="221"/>
      <c r="E56" s="221"/>
      <c r="F56" s="221" t="s">
        <v>6757</v>
      </c>
      <c r="G56" s="28" t="s">
        <v>6966</v>
      </c>
      <c r="H56" s="28" t="s">
        <v>6767</v>
      </c>
      <c r="I56" s="28" t="s">
        <v>6283</v>
      </c>
      <c r="J56" s="6" t="s">
        <v>6967</v>
      </c>
      <c r="K56" s="221" t="n">
        <v>1</v>
      </c>
      <c r="L56" s="221" t="s">
        <v>6273</v>
      </c>
      <c r="M56" s="6" t="s">
        <v>6968</v>
      </c>
      <c r="N56" s="221" t="s">
        <v>6850</v>
      </c>
      <c r="O56" s="28" t="s">
        <v>6276</v>
      </c>
      <c r="P56" s="28" t="s">
        <v>604</v>
      </c>
      <c r="Q56" s="28" t="s">
        <v>6969</v>
      </c>
      <c r="R56" s="28" t="s">
        <v>604</v>
      </c>
      <c r="S56" s="28" t="s">
        <v>604</v>
      </c>
      <c r="T56" s="28" t="s">
        <v>604</v>
      </c>
      <c r="U56" s="28" t="s">
        <v>6970</v>
      </c>
      <c r="V56" s="6" t="s">
        <v>6971</v>
      </c>
      <c r="W56" s="19" t="s">
        <v>6972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4254</v>
      </c>
      <c r="B57" s="6" t="s">
        <v>6973</v>
      </c>
      <c r="C57" s="223" t="n">
        <v>64</v>
      </c>
      <c r="D57" s="221"/>
      <c r="E57" s="221"/>
      <c r="F57" s="221" t="s">
        <v>312</v>
      </c>
      <c r="G57" s="28" t="s">
        <v>6974</v>
      </c>
      <c r="H57" s="28" t="s">
        <v>6767</v>
      </c>
      <c r="I57" s="28" t="s">
        <v>6283</v>
      </c>
      <c r="J57" s="6" t="s">
        <v>6967</v>
      </c>
      <c r="K57" s="221" t="n">
        <v>1</v>
      </c>
      <c r="L57" s="221" t="s">
        <v>6273</v>
      </c>
      <c r="M57" s="6" t="s">
        <v>6968</v>
      </c>
      <c r="N57" s="221" t="s">
        <v>6850</v>
      </c>
      <c r="O57" s="28" t="s">
        <v>6276</v>
      </c>
      <c r="P57" s="28" t="s">
        <v>604</v>
      </c>
      <c r="Q57" s="28" t="s">
        <v>6969</v>
      </c>
      <c r="R57" s="28" t="s">
        <v>604</v>
      </c>
      <c r="S57" s="28" t="s">
        <v>604</v>
      </c>
      <c r="T57" s="28" t="s">
        <v>604</v>
      </c>
      <c r="U57" s="28" t="s">
        <v>6970</v>
      </c>
      <c r="V57" s="6" t="s">
        <v>6975</v>
      </c>
      <c r="W57" s="19" t="s">
        <v>6976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6977</v>
      </c>
      <c r="B58" s="6" t="s">
        <v>6978</v>
      </c>
      <c r="C58" s="223" t="n">
        <v>0.492</v>
      </c>
      <c r="D58" s="221"/>
      <c r="E58" s="221"/>
      <c r="F58" s="28" t="s">
        <v>89</v>
      </c>
      <c r="G58" s="28" t="s">
        <v>6979</v>
      </c>
      <c r="H58" s="28" t="s">
        <v>6775</v>
      </c>
      <c r="I58" s="28" t="s">
        <v>6283</v>
      </c>
      <c r="J58" s="6" t="s">
        <v>6980</v>
      </c>
      <c r="K58" s="221" t="n">
        <v>1</v>
      </c>
      <c r="L58" s="221" t="s">
        <v>6273</v>
      </c>
      <c r="M58" s="6" t="s">
        <v>6981</v>
      </c>
      <c r="N58" s="221" t="s">
        <v>6275</v>
      </c>
      <c r="O58" s="28" t="s">
        <v>6276</v>
      </c>
      <c r="P58" s="28" t="s">
        <v>604</v>
      </c>
      <c r="Q58" s="28" t="s">
        <v>6982</v>
      </c>
      <c r="R58" s="28" t="s">
        <v>604</v>
      </c>
      <c r="S58" s="28" t="s">
        <v>604</v>
      </c>
      <c r="T58" s="28" t="s">
        <v>604</v>
      </c>
      <c r="U58" s="28" t="s">
        <v>6592</v>
      </c>
      <c r="V58" s="6" t="s">
        <v>6983</v>
      </c>
      <c r="W58" s="6" t="s">
        <v>6984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2828</v>
      </c>
      <c r="B59" s="6" t="s">
        <v>6985</v>
      </c>
      <c r="C59" s="223" t="n">
        <v>1.0001E+027</v>
      </c>
      <c r="D59" s="223" t="n">
        <v>5E+026</v>
      </c>
      <c r="E59" s="223" t="n">
        <v>2E+027</v>
      </c>
      <c r="F59" s="28" t="s">
        <v>297</v>
      </c>
      <c r="G59" s="195" t="s">
        <v>6986</v>
      </c>
      <c r="H59" s="28" t="s">
        <v>1202</v>
      </c>
      <c r="I59" s="28" t="s">
        <v>6987</v>
      </c>
      <c r="J59" s="6" t="s">
        <v>6988</v>
      </c>
      <c r="K59" s="195" t="n">
        <v>1</v>
      </c>
      <c r="L59" s="195" t="s">
        <v>6380</v>
      </c>
      <c r="M59" s="6" t="s">
        <v>6989</v>
      </c>
      <c r="N59" s="195" t="s">
        <v>6275</v>
      </c>
      <c r="O59" s="28" t="s">
        <v>6276</v>
      </c>
      <c r="P59" s="28" t="s">
        <v>604</v>
      </c>
      <c r="Q59" s="28" t="s">
        <v>6990</v>
      </c>
      <c r="R59" s="28" t="s">
        <v>604</v>
      </c>
      <c r="S59" s="28" t="s">
        <v>604</v>
      </c>
      <c r="T59" s="28" t="s">
        <v>604</v>
      </c>
      <c r="U59" s="28" t="s">
        <v>6991</v>
      </c>
      <c r="V59" s="6" t="s">
        <v>6992</v>
      </c>
      <c r="W59" s="6" t="s">
        <v>6993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6994</v>
      </c>
      <c r="B60" s="6" t="s">
        <v>6995</v>
      </c>
      <c r="C60" s="223" t="n">
        <v>2800</v>
      </c>
      <c r="D60" s="195"/>
      <c r="E60" s="195"/>
      <c r="F60" s="28" t="s">
        <v>254</v>
      </c>
      <c r="G60" s="195" t="s">
        <v>6996</v>
      </c>
      <c r="H60" s="28" t="s">
        <v>6997</v>
      </c>
      <c r="I60" s="28" t="s">
        <v>6283</v>
      </c>
      <c r="J60" s="6" t="s">
        <v>6998</v>
      </c>
      <c r="K60" s="195" t="n">
        <v>1</v>
      </c>
      <c r="L60" s="195" t="s">
        <v>6273</v>
      </c>
      <c r="M60" s="6" t="s">
        <v>6999</v>
      </c>
      <c r="N60" s="195" t="s">
        <v>6275</v>
      </c>
      <c r="O60" s="28" t="s">
        <v>6276</v>
      </c>
      <c r="P60" s="28" t="s">
        <v>604</v>
      </c>
      <c r="Q60" s="28" t="s">
        <v>7000</v>
      </c>
      <c r="R60" s="28" t="s">
        <v>604</v>
      </c>
      <c r="S60" s="28" t="s">
        <v>604</v>
      </c>
      <c r="T60" s="28" t="s">
        <v>604</v>
      </c>
      <c r="U60" s="28" t="s">
        <v>7001</v>
      </c>
      <c r="V60" s="6" t="s">
        <v>604</v>
      </c>
      <c r="W60" s="6" t="s">
        <v>7002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7003</v>
      </c>
      <c r="B61" s="6" t="s">
        <v>7004</v>
      </c>
      <c r="C61" s="223" t="n">
        <v>104</v>
      </c>
      <c r="D61" s="195"/>
      <c r="E61" s="195"/>
      <c r="F61" s="28" t="s">
        <v>254</v>
      </c>
      <c r="G61" s="195" t="s">
        <v>6996</v>
      </c>
      <c r="H61" s="28" t="s">
        <v>6997</v>
      </c>
      <c r="I61" s="28" t="s">
        <v>6283</v>
      </c>
      <c r="J61" s="6" t="s">
        <v>6998</v>
      </c>
      <c r="K61" s="195" t="n">
        <v>1</v>
      </c>
      <c r="L61" s="195" t="s">
        <v>6273</v>
      </c>
      <c r="M61" s="6" t="s">
        <v>6999</v>
      </c>
      <c r="N61" s="195" t="s">
        <v>6275</v>
      </c>
      <c r="O61" s="28" t="s">
        <v>6276</v>
      </c>
      <c r="P61" s="28" t="s">
        <v>604</v>
      </c>
      <c r="Q61" s="28" t="s">
        <v>7000</v>
      </c>
      <c r="R61" s="28" t="s">
        <v>604</v>
      </c>
      <c r="S61" s="28" t="s">
        <v>604</v>
      </c>
      <c r="T61" s="28" t="s">
        <v>604</v>
      </c>
      <c r="U61" s="28" t="s">
        <v>7001</v>
      </c>
      <c r="V61" s="6" t="s">
        <v>604</v>
      </c>
      <c r="W61" s="6" t="s">
        <v>7005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7006</v>
      </c>
      <c r="B62" s="6" t="s">
        <v>7007</v>
      </c>
      <c r="C62" s="223" t="n">
        <v>93</v>
      </c>
      <c r="D62" s="195"/>
      <c r="E62" s="195"/>
      <c r="F62" s="195" t="s">
        <v>260</v>
      </c>
      <c r="G62" s="28" t="s">
        <v>7008</v>
      </c>
      <c r="H62" s="28" t="s">
        <v>6997</v>
      </c>
      <c r="I62" s="28" t="s">
        <v>6283</v>
      </c>
      <c r="J62" s="6" t="s">
        <v>6998</v>
      </c>
      <c r="K62" s="195" t="n">
        <v>1</v>
      </c>
      <c r="L62" s="195" t="s">
        <v>6273</v>
      </c>
      <c r="M62" s="6" t="s">
        <v>6999</v>
      </c>
      <c r="N62" s="195" t="s">
        <v>6275</v>
      </c>
      <c r="O62" s="28" t="s">
        <v>6276</v>
      </c>
      <c r="P62" s="28" t="s">
        <v>604</v>
      </c>
      <c r="Q62" s="28" t="s">
        <v>7000</v>
      </c>
      <c r="R62" s="28" t="s">
        <v>604</v>
      </c>
      <c r="S62" s="28" t="s">
        <v>604</v>
      </c>
      <c r="T62" s="28" t="s">
        <v>604</v>
      </c>
      <c r="U62" s="28" t="s">
        <v>7001</v>
      </c>
      <c r="V62" s="6" t="s">
        <v>604</v>
      </c>
      <c r="W62" s="6" t="s">
        <v>7009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7010</v>
      </c>
      <c r="B63" s="6" t="s">
        <v>7011</v>
      </c>
      <c r="C63" s="223" t="n">
        <v>7168</v>
      </c>
      <c r="D63" s="195"/>
      <c r="E63" s="195"/>
      <c r="F63" s="195" t="s">
        <v>6757</v>
      </c>
      <c r="G63" s="28" t="s">
        <v>7012</v>
      </c>
      <c r="H63" s="28" t="s">
        <v>6997</v>
      </c>
      <c r="I63" s="28" t="s">
        <v>6283</v>
      </c>
      <c r="J63" s="6" t="s">
        <v>6998</v>
      </c>
      <c r="K63" s="195" t="n">
        <v>1</v>
      </c>
      <c r="L63" s="195" t="s">
        <v>6273</v>
      </c>
      <c r="M63" s="6" t="s">
        <v>6999</v>
      </c>
      <c r="N63" s="195" t="s">
        <v>6275</v>
      </c>
      <c r="O63" s="28" t="s">
        <v>6276</v>
      </c>
      <c r="P63" s="28" t="s">
        <v>604</v>
      </c>
      <c r="Q63" s="28" t="s">
        <v>7000</v>
      </c>
      <c r="R63" s="28" t="s">
        <v>604</v>
      </c>
      <c r="S63" s="28" t="s">
        <v>604</v>
      </c>
      <c r="T63" s="28" t="s">
        <v>604</v>
      </c>
      <c r="U63" s="28" t="s">
        <v>7001</v>
      </c>
      <c r="V63" s="6" t="s">
        <v>604</v>
      </c>
      <c r="W63" s="6" t="s">
        <v>7013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7014</v>
      </c>
      <c r="B64" s="6" t="s">
        <v>7015</v>
      </c>
      <c r="C64" s="223" t="n">
        <v>896</v>
      </c>
      <c r="D64" s="195"/>
      <c r="E64" s="195"/>
      <c r="F64" s="195" t="s">
        <v>312</v>
      </c>
      <c r="G64" s="28" t="s">
        <v>7016</v>
      </c>
      <c r="H64" s="28" t="s">
        <v>6997</v>
      </c>
      <c r="I64" s="28" t="s">
        <v>6283</v>
      </c>
      <c r="J64" s="6" t="s">
        <v>6998</v>
      </c>
      <c r="K64" s="195" t="n">
        <v>1</v>
      </c>
      <c r="L64" s="195" t="s">
        <v>6273</v>
      </c>
      <c r="M64" s="6" t="s">
        <v>6999</v>
      </c>
      <c r="N64" s="195" t="s">
        <v>6275</v>
      </c>
      <c r="O64" s="28" t="s">
        <v>6276</v>
      </c>
      <c r="P64" s="28" t="s">
        <v>604</v>
      </c>
      <c r="Q64" s="28" t="s">
        <v>7000</v>
      </c>
      <c r="R64" s="28" t="s">
        <v>604</v>
      </c>
      <c r="S64" s="28" t="s">
        <v>604</v>
      </c>
      <c r="T64" s="28" t="s">
        <v>604</v>
      </c>
      <c r="U64" s="28" t="s">
        <v>7001</v>
      </c>
      <c r="V64" s="6" t="s">
        <v>604</v>
      </c>
      <c r="W64" s="6" t="s">
        <v>7017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7018</v>
      </c>
      <c r="B65" s="6" t="s">
        <v>7019</v>
      </c>
      <c r="C65" s="223" t="n">
        <v>16</v>
      </c>
      <c r="D65" s="195"/>
      <c r="E65" s="195"/>
      <c r="F65" s="195" t="s">
        <v>312</v>
      </c>
      <c r="G65" s="28" t="s">
        <v>7020</v>
      </c>
      <c r="H65" s="28" t="s">
        <v>6997</v>
      </c>
      <c r="I65" s="28" t="s">
        <v>6283</v>
      </c>
      <c r="J65" s="6" t="s">
        <v>6998</v>
      </c>
      <c r="K65" s="195" t="n">
        <v>1</v>
      </c>
      <c r="L65" s="195" t="s">
        <v>6273</v>
      </c>
      <c r="M65" s="6" t="s">
        <v>6999</v>
      </c>
      <c r="N65" s="195" t="s">
        <v>6275</v>
      </c>
      <c r="O65" s="28" t="s">
        <v>6276</v>
      </c>
      <c r="P65" s="28" t="s">
        <v>604</v>
      </c>
      <c r="Q65" s="28" t="s">
        <v>7000</v>
      </c>
      <c r="R65" s="28" t="s">
        <v>604</v>
      </c>
      <c r="S65" s="28" t="s">
        <v>604</v>
      </c>
      <c r="T65" s="28" t="s">
        <v>604</v>
      </c>
      <c r="U65" s="28" t="s">
        <v>7001</v>
      </c>
      <c r="V65" s="6" t="s">
        <v>604</v>
      </c>
      <c r="W65" s="6" t="s">
        <v>7021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7022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A4" s="219" t="s">
        <v>7023</v>
      </c>
      <c r="AB4" s="219" t="s">
        <v>437</v>
      </c>
      <c r="AC4" s="82" t="s">
        <v>444</v>
      </c>
      <c r="AD4" s="82" t="s">
        <v>445</v>
      </c>
      <c r="AE4" s="219" t="s">
        <v>7024</v>
      </c>
      <c r="AF4" s="82" t="s">
        <v>7025</v>
      </c>
      <c r="AG4" s="82" t="s">
        <v>7026</v>
      </c>
      <c r="AH4" s="81" t="s">
        <v>6266</v>
      </c>
    </row>
    <row r="5" customFormat="false" ht="29.25" hidden="false" customHeight="true" outlineLevel="0" collapsed="false">
      <c r="A5" s="28" t="s">
        <v>4495</v>
      </c>
      <c r="B5" s="6" t="s">
        <v>7027</v>
      </c>
      <c r="C5" s="223" t="n">
        <v>6182</v>
      </c>
      <c r="D5" s="221"/>
      <c r="E5" s="221"/>
      <c r="F5" s="28" t="s">
        <v>7028</v>
      </c>
      <c r="G5" s="28" t="s">
        <v>7029</v>
      </c>
      <c r="H5" s="28" t="s">
        <v>164</v>
      </c>
      <c r="I5" s="28" t="s">
        <v>7030</v>
      </c>
      <c r="J5" s="6" t="s">
        <v>7031</v>
      </c>
      <c r="K5" s="221" t="n">
        <v>1</v>
      </c>
      <c r="L5" s="221" t="s">
        <v>6273</v>
      </c>
      <c r="M5" s="6" t="s">
        <v>7032</v>
      </c>
      <c r="N5" s="221" t="s">
        <v>6850</v>
      </c>
      <c r="O5" s="28" t="s">
        <v>6276</v>
      </c>
      <c r="P5" s="28" t="s">
        <v>604</v>
      </c>
      <c r="Q5" s="28" t="s">
        <v>7033</v>
      </c>
      <c r="R5" s="28" t="s">
        <v>604</v>
      </c>
      <c r="S5" s="28" t="s">
        <v>604</v>
      </c>
      <c r="T5" s="28" t="s">
        <v>604</v>
      </c>
      <c r="U5" s="28" t="s">
        <v>450</v>
      </c>
      <c r="V5" s="6" t="s">
        <v>7034</v>
      </c>
      <c r="W5" s="19" t="s">
        <v>7035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7036</v>
      </c>
      <c r="AB5" s="28" t="s">
        <v>7037</v>
      </c>
      <c r="AC5" s="223" t="n">
        <v>8192</v>
      </c>
      <c r="AD5" s="223" t="n">
        <v>1024</v>
      </c>
      <c r="AE5" s="223" t="n">
        <v>27</v>
      </c>
      <c r="AF5" s="223" t="n">
        <v>0</v>
      </c>
      <c r="AG5" s="221" t="s">
        <v>7038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4502</v>
      </c>
      <c r="B6" s="6" t="s">
        <v>7039</v>
      </c>
      <c r="C6" s="223" t="n">
        <v>2189</v>
      </c>
      <c r="D6" s="221"/>
      <c r="E6" s="221"/>
      <c r="F6" s="28" t="s">
        <v>7028</v>
      </c>
      <c r="G6" s="28" t="s">
        <v>7029</v>
      </c>
      <c r="H6" s="28" t="s">
        <v>163</v>
      </c>
      <c r="I6" s="28" t="s">
        <v>7030</v>
      </c>
      <c r="J6" s="6" t="s">
        <v>7031</v>
      </c>
      <c r="K6" s="221" t="n">
        <v>1</v>
      </c>
      <c r="L6" s="221" t="s">
        <v>6273</v>
      </c>
      <c r="M6" s="6" t="s">
        <v>7032</v>
      </c>
      <c r="N6" s="221" t="s">
        <v>6850</v>
      </c>
      <c r="O6" s="28" t="s">
        <v>6276</v>
      </c>
      <c r="P6" s="28" t="s">
        <v>604</v>
      </c>
      <c r="Q6" s="28" t="s">
        <v>7033</v>
      </c>
      <c r="R6" s="28" t="s">
        <v>604</v>
      </c>
      <c r="S6" s="28" t="s">
        <v>604</v>
      </c>
      <c r="T6" s="28" t="s">
        <v>604</v>
      </c>
      <c r="U6" s="28" t="s">
        <v>450</v>
      </c>
      <c r="V6" s="6" t="s">
        <v>7040</v>
      </c>
      <c r="W6" s="19" t="s">
        <v>7041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7036</v>
      </c>
      <c r="AB6" s="28" t="s">
        <v>7037</v>
      </c>
      <c r="AC6" s="223" t="n">
        <v>8192</v>
      </c>
      <c r="AD6" s="223" t="n">
        <v>1024</v>
      </c>
      <c r="AE6" s="223" t="n">
        <v>27</v>
      </c>
      <c r="AF6" s="223" t="n">
        <v>0</v>
      </c>
      <c r="AG6" s="221" t="s">
        <v>7038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7042</v>
      </c>
      <c r="B7" s="6" t="s">
        <v>7043</v>
      </c>
      <c r="C7" s="223" t="n">
        <v>11056</v>
      </c>
      <c r="D7" s="221"/>
      <c r="E7" s="221"/>
      <c r="F7" s="28" t="s">
        <v>556</v>
      </c>
      <c r="G7" s="28" t="s">
        <v>604</v>
      </c>
      <c r="H7" s="28" t="s">
        <v>164</v>
      </c>
      <c r="I7" s="28" t="s">
        <v>7030</v>
      </c>
      <c r="J7" s="6" t="s">
        <v>7031</v>
      </c>
      <c r="K7" s="221" t="n">
        <v>1</v>
      </c>
      <c r="L7" s="221" t="s">
        <v>6273</v>
      </c>
      <c r="M7" s="6" t="s">
        <v>7032</v>
      </c>
      <c r="N7" s="221" t="s">
        <v>6850</v>
      </c>
      <c r="O7" s="28" t="s">
        <v>6276</v>
      </c>
      <c r="P7" s="28" t="s">
        <v>604</v>
      </c>
      <c r="Q7" s="28" t="s">
        <v>7033</v>
      </c>
      <c r="R7" s="28" t="s">
        <v>604</v>
      </c>
      <c r="S7" s="28" t="s">
        <v>604</v>
      </c>
      <c r="T7" s="28" t="s">
        <v>604</v>
      </c>
      <c r="U7" s="28" t="s">
        <v>450</v>
      </c>
      <c r="V7" s="6" t="s">
        <v>604</v>
      </c>
      <c r="W7" s="6" t="s">
        <v>604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4489</v>
      </c>
      <c r="B8" s="6" t="s">
        <v>7044</v>
      </c>
      <c r="C8" s="223" t="n">
        <v>11200</v>
      </c>
      <c r="D8" s="221"/>
      <c r="E8" s="221"/>
      <c r="F8" s="28" t="s">
        <v>7028</v>
      </c>
      <c r="G8" s="28" t="s">
        <v>7029</v>
      </c>
      <c r="H8" s="28" t="s">
        <v>164</v>
      </c>
      <c r="I8" s="28" t="s">
        <v>7045</v>
      </c>
      <c r="J8" s="6" t="s">
        <v>7046</v>
      </c>
      <c r="K8" s="221" t="n">
        <v>1</v>
      </c>
      <c r="L8" s="221" t="s">
        <v>6273</v>
      </c>
      <c r="M8" s="6" t="s">
        <v>7047</v>
      </c>
      <c r="N8" s="221" t="s">
        <v>6850</v>
      </c>
      <c r="O8" s="28" t="s">
        <v>6276</v>
      </c>
      <c r="P8" s="28" t="s">
        <v>604</v>
      </c>
      <c r="Q8" s="28" t="s">
        <v>7048</v>
      </c>
      <c r="R8" s="28" t="s">
        <v>604</v>
      </c>
      <c r="S8" s="28" t="s">
        <v>604</v>
      </c>
      <c r="T8" s="28" t="s">
        <v>604</v>
      </c>
      <c r="U8" s="28" t="s">
        <v>449</v>
      </c>
      <c r="V8" s="6" t="s">
        <v>7049</v>
      </c>
      <c r="W8" s="6" t="s">
        <v>604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7036</v>
      </c>
      <c r="AB8" s="28" t="s">
        <v>7050</v>
      </c>
      <c r="AC8" s="223" t="n">
        <v>8192</v>
      </c>
      <c r="AD8" s="223" t="n">
        <v>1024</v>
      </c>
      <c r="AE8" s="223" t="n">
        <v>50</v>
      </c>
      <c r="AF8" s="223" t="n">
        <v>1</v>
      </c>
      <c r="AG8" s="221" t="s">
        <v>7038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4317</v>
      </c>
      <c r="B9" s="6" t="s">
        <v>7051</v>
      </c>
      <c r="C9" s="223" t="n">
        <v>0.7</v>
      </c>
      <c r="D9" s="221"/>
      <c r="E9" s="221"/>
      <c r="F9" s="28" t="s">
        <v>89</v>
      </c>
      <c r="G9" s="28" t="s">
        <v>7052</v>
      </c>
      <c r="H9" s="28" t="s">
        <v>6781</v>
      </c>
      <c r="I9" s="28" t="s">
        <v>7045</v>
      </c>
      <c r="J9" s="6" t="s">
        <v>7046</v>
      </c>
      <c r="K9" s="221" t="n">
        <v>1</v>
      </c>
      <c r="L9" s="221" t="s">
        <v>6273</v>
      </c>
      <c r="M9" s="6" t="s">
        <v>7047</v>
      </c>
      <c r="N9" s="221" t="s">
        <v>6850</v>
      </c>
      <c r="O9" s="28" t="s">
        <v>6276</v>
      </c>
      <c r="P9" s="28" t="s">
        <v>604</v>
      </c>
      <c r="Q9" s="28" t="s">
        <v>7048</v>
      </c>
      <c r="R9" s="28" t="s">
        <v>604</v>
      </c>
      <c r="S9" s="28" t="s">
        <v>604</v>
      </c>
      <c r="T9" s="28" t="s">
        <v>604</v>
      </c>
      <c r="U9" s="28" t="s">
        <v>449</v>
      </c>
      <c r="V9" s="6" t="s">
        <v>7053</v>
      </c>
      <c r="W9" s="19" t="s">
        <v>7054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7055</v>
      </c>
      <c r="B10" s="6" t="s">
        <v>7056</v>
      </c>
      <c r="C10" s="223" t="n">
        <v>0.57</v>
      </c>
      <c r="D10" s="221"/>
      <c r="E10" s="221"/>
      <c r="F10" s="28" t="s">
        <v>89</v>
      </c>
      <c r="G10" s="28" t="s">
        <v>7057</v>
      </c>
      <c r="H10" s="28" t="s">
        <v>6781</v>
      </c>
      <c r="I10" s="28" t="s">
        <v>7045</v>
      </c>
      <c r="J10" s="6" t="s">
        <v>7046</v>
      </c>
      <c r="K10" s="221" t="n">
        <v>1</v>
      </c>
      <c r="L10" s="221" t="s">
        <v>6273</v>
      </c>
      <c r="M10" s="6" t="s">
        <v>7047</v>
      </c>
      <c r="N10" s="221" t="s">
        <v>6850</v>
      </c>
      <c r="O10" s="28" t="s">
        <v>6363</v>
      </c>
      <c r="P10" s="28" t="s">
        <v>604</v>
      </c>
      <c r="Q10" s="28" t="s">
        <v>7048</v>
      </c>
      <c r="R10" s="28" t="s">
        <v>604</v>
      </c>
      <c r="S10" s="28" t="s">
        <v>604</v>
      </c>
      <c r="T10" s="28" t="s">
        <v>604</v>
      </c>
      <c r="U10" s="28" t="s">
        <v>449</v>
      </c>
      <c r="V10" s="6" t="s">
        <v>604</v>
      </c>
      <c r="W10" s="19" t="s">
        <v>7058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4125</v>
      </c>
      <c r="B11" s="6" t="s">
        <v>7059</v>
      </c>
      <c r="C11" s="223" t="n">
        <v>4</v>
      </c>
      <c r="D11" s="221"/>
      <c r="E11" s="221"/>
      <c r="F11" s="28" t="s">
        <v>715</v>
      </c>
      <c r="G11" s="28" t="s">
        <v>7060</v>
      </c>
      <c r="H11" s="28" t="s">
        <v>164</v>
      </c>
      <c r="I11" s="28" t="s">
        <v>7045</v>
      </c>
      <c r="J11" s="6" t="s">
        <v>7046</v>
      </c>
      <c r="K11" s="221" t="n">
        <v>1</v>
      </c>
      <c r="L11" s="221" t="s">
        <v>6273</v>
      </c>
      <c r="M11" s="6" t="s">
        <v>7047</v>
      </c>
      <c r="N11" s="221" t="s">
        <v>6850</v>
      </c>
      <c r="O11" s="28" t="s">
        <v>6276</v>
      </c>
      <c r="P11" s="28" t="s">
        <v>604</v>
      </c>
      <c r="Q11" s="28" t="s">
        <v>7048</v>
      </c>
      <c r="R11" s="28" t="s">
        <v>604</v>
      </c>
      <c r="S11" s="28" t="s">
        <v>604</v>
      </c>
      <c r="T11" s="28" t="s">
        <v>604</v>
      </c>
      <c r="U11" s="28" t="s">
        <v>449</v>
      </c>
      <c r="V11" s="6" t="s">
        <v>7061</v>
      </c>
      <c r="W11" s="6" t="s">
        <v>7062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4088</v>
      </c>
      <c r="B12" s="6" t="s">
        <v>7063</v>
      </c>
      <c r="C12" s="223" t="n">
        <v>32</v>
      </c>
      <c r="D12" s="221"/>
      <c r="E12" s="221"/>
      <c r="F12" s="28" t="s">
        <v>715</v>
      </c>
      <c r="G12" s="28" t="s">
        <v>7064</v>
      </c>
      <c r="H12" s="28" t="s">
        <v>164</v>
      </c>
      <c r="I12" s="28" t="s">
        <v>7045</v>
      </c>
      <c r="J12" s="6" t="s">
        <v>7046</v>
      </c>
      <c r="K12" s="221" t="n">
        <v>1</v>
      </c>
      <c r="L12" s="221" t="s">
        <v>6273</v>
      </c>
      <c r="M12" s="6" t="s">
        <v>7047</v>
      </c>
      <c r="N12" s="221" t="s">
        <v>6850</v>
      </c>
      <c r="O12" s="28" t="s">
        <v>6276</v>
      </c>
      <c r="P12" s="28" t="s">
        <v>604</v>
      </c>
      <c r="Q12" s="28" t="s">
        <v>7048</v>
      </c>
      <c r="R12" s="28" t="s">
        <v>604</v>
      </c>
      <c r="S12" s="28" t="s">
        <v>604</v>
      </c>
      <c r="T12" s="28" t="s">
        <v>604</v>
      </c>
      <c r="U12" s="28" t="s">
        <v>449</v>
      </c>
      <c r="V12" s="6" t="s">
        <v>7065</v>
      </c>
      <c r="W12" s="6" t="s">
        <v>7062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4472</v>
      </c>
      <c r="B13" s="6" t="s">
        <v>7066</v>
      </c>
      <c r="C13" s="223" t="n">
        <v>9342.1</v>
      </c>
      <c r="D13" s="221"/>
      <c r="E13" s="221"/>
      <c r="F13" s="28" t="s">
        <v>7028</v>
      </c>
      <c r="G13" s="28" t="s">
        <v>7067</v>
      </c>
      <c r="H13" s="28" t="s">
        <v>164</v>
      </c>
      <c r="I13" s="221" t="s">
        <v>7068</v>
      </c>
      <c r="J13" s="6" t="s">
        <v>7069</v>
      </c>
      <c r="K13" s="221" t="n">
        <v>2</v>
      </c>
      <c r="L13" s="221" t="s">
        <v>6273</v>
      </c>
      <c r="M13" s="6" t="s">
        <v>7070</v>
      </c>
      <c r="N13" s="221" t="s">
        <v>6275</v>
      </c>
      <c r="O13" s="28" t="s">
        <v>6276</v>
      </c>
      <c r="P13" s="28" t="s">
        <v>604</v>
      </c>
      <c r="Q13" s="28" t="s">
        <v>7071</v>
      </c>
      <c r="R13" s="28" t="s">
        <v>604</v>
      </c>
      <c r="S13" s="28" t="s">
        <v>5889</v>
      </c>
      <c r="T13" s="28" t="s">
        <v>604</v>
      </c>
      <c r="U13" s="28" t="s">
        <v>448</v>
      </c>
      <c r="V13" s="6" t="s">
        <v>7072</v>
      </c>
      <c r="W13" s="19" t="s">
        <v>7073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7036</v>
      </c>
      <c r="AB13" s="28" t="s">
        <v>7074</v>
      </c>
      <c r="AC13" s="223" t="n">
        <v>8192</v>
      </c>
      <c r="AD13" s="223" t="n">
        <v>1024</v>
      </c>
      <c r="AE13" s="223" t="n">
        <v>72</v>
      </c>
      <c r="AF13" s="223" t="n">
        <v>1</v>
      </c>
      <c r="AG13" s="221" t="s">
        <v>7038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4481</v>
      </c>
      <c r="B14" s="6" t="s">
        <v>7075</v>
      </c>
      <c r="C14" s="223" t="n">
        <v>3405.2</v>
      </c>
      <c r="D14" s="221"/>
      <c r="E14" s="221"/>
      <c r="F14" s="28" t="s">
        <v>7028</v>
      </c>
      <c r="G14" s="28" t="s">
        <v>7067</v>
      </c>
      <c r="H14" s="28" t="s">
        <v>164</v>
      </c>
      <c r="I14" s="221" t="s">
        <v>7068</v>
      </c>
      <c r="J14" s="6" t="s">
        <v>7069</v>
      </c>
      <c r="K14" s="221" t="n">
        <v>2</v>
      </c>
      <c r="L14" s="221" t="s">
        <v>6273</v>
      </c>
      <c r="M14" s="6" t="s">
        <v>7070</v>
      </c>
      <c r="N14" s="221" t="s">
        <v>6275</v>
      </c>
      <c r="O14" s="28" t="s">
        <v>6276</v>
      </c>
      <c r="P14" s="28" t="s">
        <v>604</v>
      </c>
      <c r="Q14" s="28" t="s">
        <v>7076</v>
      </c>
      <c r="R14" s="28" t="s">
        <v>604</v>
      </c>
      <c r="S14" s="28" t="s">
        <v>5889</v>
      </c>
      <c r="T14" s="28" t="s">
        <v>604</v>
      </c>
      <c r="U14" s="28" t="s">
        <v>448</v>
      </c>
      <c r="V14" s="6" t="s">
        <v>7077</v>
      </c>
      <c r="W14" s="19" t="s">
        <v>7078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7036</v>
      </c>
      <c r="AB14" s="28" t="s">
        <v>7074</v>
      </c>
      <c r="AC14" s="223" t="n">
        <v>8192</v>
      </c>
      <c r="AD14" s="223" t="n">
        <v>1024</v>
      </c>
      <c r="AE14" s="223" t="n">
        <v>130</v>
      </c>
      <c r="AF14" s="223" t="n">
        <v>1</v>
      </c>
      <c r="AG14" s="221" t="s">
        <v>7038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2753</v>
      </c>
      <c r="B15" s="6" t="s">
        <v>7079</v>
      </c>
      <c r="C15" s="223" t="n">
        <v>0.078</v>
      </c>
      <c r="D15" s="221"/>
      <c r="E15" s="221"/>
      <c r="F15" s="28" t="s">
        <v>7080</v>
      </c>
      <c r="G15" s="28" t="s">
        <v>7081</v>
      </c>
      <c r="H15" s="28" t="s">
        <v>164</v>
      </c>
      <c r="I15" s="221" t="s">
        <v>7068</v>
      </c>
      <c r="J15" s="6" t="s">
        <v>7069</v>
      </c>
      <c r="K15" s="221" t="n">
        <v>3</v>
      </c>
      <c r="L15" s="221" t="s">
        <v>6273</v>
      </c>
      <c r="M15" s="6" t="s">
        <v>7070</v>
      </c>
      <c r="N15" s="221" t="s">
        <v>7082</v>
      </c>
      <c r="O15" s="28" t="s">
        <v>6276</v>
      </c>
      <c r="P15" s="28" t="s">
        <v>604</v>
      </c>
      <c r="Q15" s="28" t="s">
        <v>7083</v>
      </c>
      <c r="R15" s="28" t="s">
        <v>604</v>
      </c>
      <c r="S15" s="28" t="s">
        <v>604</v>
      </c>
      <c r="T15" s="28" t="s">
        <v>604</v>
      </c>
      <c r="U15" s="28" t="s">
        <v>448</v>
      </c>
      <c r="V15" s="6" t="s">
        <v>7084</v>
      </c>
      <c r="W15" s="6" t="s">
        <v>604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7085</v>
      </c>
      <c r="B16" s="6" t="s">
        <v>7086</v>
      </c>
      <c r="C16" s="223" t="n">
        <v>0.216</v>
      </c>
      <c r="D16" s="221"/>
      <c r="E16" s="221"/>
      <c r="F16" s="28" t="s">
        <v>7080</v>
      </c>
      <c r="G16" s="28" t="s">
        <v>7081</v>
      </c>
      <c r="H16" s="28" t="s">
        <v>164</v>
      </c>
      <c r="I16" s="221" t="s">
        <v>7068</v>
      </c>
      <c r="J16" s="6" t="s">
        <v>7069</v>
      </c>
      <c r="K16" s="221" t="n">
        <v>3</v>
      </c>
      <c r="L16" s="221" t="s">
        <v>6273</v>
      </c>
      <c r="M16" s="6" t="s">
        <v>7070</v>
      </c>
      <c r="N16" s="221" t="s">
        <v>7082</v>
      </c>
      <c r="O16" s="28" t="s">
        <v>6276</v>
      </c>
      <c r="P16" s="28" t="s">
        <v>604</v>
      </c>
      <c r="Q16" s="28" t="s">
        <v>7083</v>
      </c>
      <c r="R16" s="28" t="s">
        <v>604</v>
      </c>
      <c r="S16" s="28" t="s">
        <v>604</v>
      </c>
      <c r="T16" s="28" t="s">
        <v>604</v>
      </c>
      <c r="U16" s="28" t="s">
        <v>448</v>
      </c>
      <c r="V16" s="6" t="s">
        <v>604</v>
      </c>
      <c r="W16" s="6" t="s">
        <v>604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7087</v>
      </c>
      <c r="B17" s="6" t="s">
        <v>7088</v>
      </c>
      <c r="C17" s="223" t="n">
        <v>1.436</v>
      </c>
      <c r="D17" s="221"/>
      <c r="E17" s="221"/>
      <c r="F17" s="28" t="s">
        <v>7080</v>
      </c>
      <c r="G17" s="28" t="s">
        <v>7081</v>
      </c>
      <c r="H17" s="28" t="s">
        <v>164</v>
      </c>
      <c r="I17" s="221" t="s">
        <v>7068</v>
      </c>
      <c r="J17" s="6" t="s">
        <v>7069</v>
      </c>
      <c r="K17" s="221" t="n">
        <v>3</v>
      </c>
      <c r="L17" s="221" t="s">
        <v>6273</v>
      </c>
      <c r="M17" s="6" t="s">
        <v>7070</v>
      </c>
      <c r="N17" s="221" t="s">
        <v>7082</v>
      </c>
      <c r="O17" s="28" t="s">
        <v>6276</v>
      </c>
      <c r="P17" s="28" t="s">
        <v>604</v>
      </c>
      <c r="Q17" s="28" t="s">
        <v>7083</v>
      </c>
      <c r="R17" s="28" t="s">
        <v>604</v>
      </c>
      <c r="S17" s="28" t="s">
        <v>604</v>
      </c>
      <c r="T17" s="28" t="s">
        <v>604</v>
      </c>
      <c r="U17" s="28" t="s">
        <v>448</v>
      </c>
      <c r="V17" s="6" t="s">
        <v>604</v>
      </c>
      <c r="W17" s="6" t="s">
        <v>604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4512</v>
      </c>
      <c r="B18" s="6" t="s">
        <v>7089</v>
      </c>
      <c r="C18" s="223" t="n">
        <v>3795.5</v>
      </c>
      <c r="D18" s="221"/>
      <c r="E18" s="221"/>
      <c r="F18" s="28" t="s">
        <v>556</v>
      </c>
      <c r="G18" s="221" t="s">
        <v>7090</v>
      </c>
      <c r="H18" s="28" t="s">
        <v>163</v>
      </c>
      <c r="I18" s="28" t="s">
        <v>7091</v>
      </c>
      <c r="J18" s="6" t="s">
        <v>7092</v>
      </c>
      <c r="K18" s="221" t="n">
        <v>1</v>
      </c>
      <c r="L18" s="221" t="s">
        <v>6273</v>
      </c>
      <c r="M18" s="6" t="s">
        <v>7093</v>
      </c>
      <c r="N18" s="221" t="s">
        <v>6850</v>
      </c>
      <c r="O18" s="28" t="s">
        <v>6276</v>
      </c>
      <c r="P18" s="28" t="s">
        <v>604</v>
      </c>
      <c r="Q18" s="28" t="s">
        <v>7094</v>
      </c>
      <c r="R18" s="28" t="s">
        <v>604</v>
      </c>
      <c r="S18" s="28" t="s">
        <v>604</v>
      </c>
      <c r="T18" s="28" t="s">
        <v>604</v>
      </c>
      <c r="U18" s="28" t="s">
        <v>451</v>
      </c>
      <c r="V18" s="6" t="s">
        <v>7095</v>
      </c>
      <c r="W18" s="19" t="s">
        <v>3415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7036</v>
      </c>
      <c r="AB18" s="28" t="s">
        <v>7096</v>
      </c>
      <c r="AC18" s="223" t="n">
        <v>8192</v>
      </c>
      <c r="AD18" s="223" t="n">
        <v>1024</v>
      </c>
      <c r="AE18" s="223" t="n">
        <v>110</v>
      </c>
      <c r="AF18" s="223" t="n">
        <v>1</v>
      </c>
      <c r="AG18" s="221" t="s">
        <v>7038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4523</v>
      </c>
      <c r="B19" s="6" t="s">
        <v>7097</v>
      </c>
      <c r="C19" s="223" t="n">
        <v>6522.4</v>
      </c>
      <c r="D19" s="221"/>
      <c r="E19" s="221"/>
      <c r="F19" s="28" t="s">
        <v>556</v>
      </c>
      <c r="G19" s="221" t="s">
        <v>115</v>
      </c>
      <c r="H19" s="28" t="s">
        <v>164</v>
      </c>
      <c r="I19" s="28" t="s">
        <v>7091</v>
      </c>
      <c r="J19" s="6" t="s">
        <v>7092</v>
      </c>
      <c r="K19" s="221" t="n">
        <v>1</v>
      </c>
      <c r="L19" s="221" t="s">
        <v>6273</v>
      </c>
      <c r="M19" s="6" t="s">
        <v>7093</v>
      </c>
      <c r="N19" s="221" t="s">
        <v>6850</v>
      </c>
      <c r="O19" s="28" t="s">
        <v>6276</v>
      </c>
      <c r="P19" s="28" t="s">
        <v>604</v>
      </c>
      <c r="Q19" s="28" t="s">
        <v>7094</v>
      </c>
      <c r="R19" s="28" t="s">
        <v>604</v>
      </c>
      <c r="S19" s="28" t="s">
        <v>604</v>
      </c>
      <c r="T19" s="28" t="s">
        <v>604</v>
      </c>
      <c r="U19" s="28" t="s">
        <v>451</v>
      </c>
      <c r="V19" s="6" t="s">
        <v>7098</v>
      </c>
      <c r="W19" s="19" t="s">
        <v>3415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7036</v>
      </c>
      <c r="AB19" s="28" t="s">
        <v>7096</v>
      </c>
      <c r="AC19" s="223" t="n">
        <v>8192</v>
      </c>
      <c r="AD19" s="223" t="n">
        <v>1024</v>
      </c>
      <c r="AE19" s="223" t="n">
        <v>110</v>
      </c>
      <c r="AF19" s="223" t="n">
        <v>1</v>
      </c>
      <c r="AG19" s="221" t="s">
        <v>7038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7099</v>
      </c>
      <c r="B20" s="6" t="s">
        <v>7100</v>
      </c>
      <c r="C20" s="223" t="n">
        <v>4036</v>
      </c>
      <c r="D20" s="221"/>
      <c r="E20" s="221"/>
      <c r="F20" s="28" t="s">
        <v>556</v>
      </c>
      <c r="G20" s="221" t="s">
        <v>3415</v>
      </c>
      <c r="H20" s="28" t="s">
        <v>7101</v>
      </c>
      <c r="I20" s="28" t="s">
        <v>1210</v>
      </c>
      <c r="J20" s="6" t="s">
        <v>7102</v>
      </c>
      <c r="K20" s="221" t="n">
        <v>1</v>
      </c>
      <c r="L20" s="221" t="s">
        <v>6273</v>
      </c>
      <c r="M20" s="6" t="s">
        <v>7103</v>
      </c>
      <c r="N20" s="221" t="s">
        <v>6850</v>
      </c>
      <c r="O20" s="28" t="s">
        <v>6276</v>
      </c>
      <c r="P20" s="28" t="s">
        <v>604</v>
      </c>
      <c r="Q20" s="28" t="s">
        <v>7104</v>
      </c>
      <c r="R20" s="28" t="s">
        <v>604</v>
      </c>
      <c r="S20" s="28" t="s">
        <v>604</v>
      </c>
      <c r="T20" s="28" t="s">
        <v>604</v>
      </c>
      <c r="U20" s="28" t="s">
        <v>7105</v>
      </c>
      <c r="V20" s="6" t="s">
        <v>604</v>
      </c>
      <c r="W20" s="19" t="s">
        <v>7106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7107</v>
      </c>
      <c r="B21" s="6" t="s">
        <v>7108</v>
      </c>
      <c r="C21" s="223" t="n">
        <v>3102</v>
      </c>
      <c r="D21" s="221"/>
      <c r="E21" s="221"/>
      <c r="F21" s="28" t="s">
        <v>556</v>
      </c>
      <c r="G21" s="221" t="s">
        <v>3415</v>
      </c>
      <c r="H21" s="28" t="s">
        <v>7101</v>
      </c>
      <c r="I21" s="28" t="s">
        <v>1210</v>
      </c>
      <c r="J21" s="6" t="s">
        <v>7102</v>
      </c>
      <c r="K21" s="221" t="n">
        <v>1</v>
      </c>
      <c r="L21" s="221" t="s">
        <v>6273</v>
      </c>
      <c r="M21" s="6" t="s">
        <v>7103</v>
      </c>
      <c r="N21" s="221" t="s">
        <v>6850</v>
      </c>
      <c r="O21" s="28" t="s">
        <v>6276</v>
      </c>
      <c r="P21" s="28" t="s">
        <v>604</v>
      </c>
      <c r="Q21" s="28" t="s">
        <v>7104</v>
      </c>
      <c r="R21" s="28" t="s">
        <v>604</v>
      </c>
      <c r="S21" s="28" t="s">
        <v>604</v>
      </c>
      <c r="T21" s="28" t="s">
        <v>604</v>
      </c>
      <c r="U21" s="28" t="s">
        <v>7105</v>
      </c>
      <c r="V21" s="6" t="s">
        <v>604</v>
      </c>
      <c r="W21" s="19" t="s">
        <v>7106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4345</v>
      </c>
      <c r="B22" s="19" t="s">
        <v>7109</v>
      </c>
      <c r="C22" s="223" t="n">
        <v>120</v>
      </c>
      <c r="D22" s="221"/>
      <c r="E22" s="221"/>
      <c r="F22" s="28" t="s">
        <v>7110</v>
      </c>
      <c r="G22" s="221" t="s">
        <v>7111</v>
      </c>
      <c r="H22" s="28" t="s">
        <v>7112</v>
      </c>
      <c r="I22" s="28" t="s">
        <v>1207</v>
      </c>
      <c r="J22" s="6" t="s">
        <v>7113</v>
      </c>
      <c r="K22" s="221" t="n">
        <v>1</v>
      </c>
      <c r="L22" s="221" t="s">
        <v>6380</v>
      </c>
      <c r="M22" s="6" t="s">
        <v>7114</v>
      </c>
      <c r="N22" s="221" t="s">
        <v>6850</v>
      </c>
      <c r="O22" s="28" t="s">
        <v>6276</v>
      </c>
      <c r="P22" s="28" t="s">
        <v>604</v>
      </c>
      <c r="Q22" s="28" t="s">
        <v>7115</v>
      </c>
      <c r="R22" s="28" t="s">
        <v>604</v>
      </c>
      <c r="S22" s="28" t="s">
        <v>604</v>
      </c>
      <c r="T22" s="28" t="s">
        <v>604</v>
      </c>
      <c r="U22" s="28" t="s">
        <v>7116</v>
      </c>
      <c r="V22" s="6" t="s">
        <v>7117</v>
      </c>
      <c r="W22" s="6" t="s">
        <v>4346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4348</v>
      </c>
      <c r="B23" s="19" t="s">
        <v>7118</v>
      </c>
      <c r="C23" s="223" t="n">
        <v>68</v>
      </c>
      <c r="D23" s="221"/>
      <c r="E23" s="221"/>
      <c r="F23" s="28" t="s">
        <v>7110</v>
      </c>
      <c r="G23" s="221" t="s">
        <v>7111</v>
      </c>
      <c r="H23" s="28" t="s">
        <v>7119</v>
      </c>
      <c r="I23" s="28" t="s">
        <v>1207</v>
      </c>
      <c r="J23" s="6" t="s">
        <v>7113</v>
      </c>
      <c r="K23" s="221" t="n">
        <v>1</v>
      </c>
      <c r="L23" s="221" t="s">
        <v>6380</v>
      </c>
      <c r="M23" s="6" t="s">
        <v>7114</v>
      </c>
      <c r="N23" s="221" t="s">
        <v>6850</v>
      </c>
      <c r="O23" s="28" t="s">
        <v>6276</v>
      </c>
      <c r="P23" s="28" t="s">
        <v>604</v>
      </c>
      <c r="Q23" s="28" t="s">
        <v>7115</v>
      </c>
      <c r="R23" s="28" t="s">
        <v>604</v>
      </c>
      <c r="S23" s="28" t="s">
        <v>604</v>
      </c>
      <c r="T23" s="28" t="s">
        <v>604</v>
      </c>
      <c r="U23" s="28" t="s">
        <v>7116</v>
      </c>
      <c r="V23" s="6" t="s">
        <v>7120</v>
      </c>
      <c r="W23" s="6" t="s">
        <v>7121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4352</v>
      </c>
      <c r="B24" s="19" t="s">
        <v>7122</v>
      </c>
      <c r="C24" s="221"/>
      <c r="D24" s="223" t="n">
        <v>52</v>
      </c>
      <c r="E24" s="223" t="n">
        <v>56</v>
      </c>
      <c r="F24" s="28" t="s">
        <v>7110</v>
      </c>
      <c r="G24" s="221" t="s">
        <v>7111</v>
      </c>
      <c r="H24" s="28" t="s">
        <v>1202</v>
      </c>
      <c r="I24" s="28" t="s">
        <v>1207</v>
      </c>
      <c r="J24" s="6" t="s">
        <v>7113</v>
      </c>
      <c r="K24" s="221" t="n">
        <v>1</v>
      </c>
      <c r="L24" s="221" t="s">
        <v>6380</v>
      </c>
      <c r="M24" s="6" t="s">
        <v>7114</v>
      </c>
      <c r="N24" s="221" t="s">
        <v>6850</v>
      </c>
      <c r="O24" s="28" t="s">
        <v>6276</v>
      </c>
      <c r="P24" s="28" t="s">
        <v>604</v>
      </c>
      <c r="Q24" s="28" t="s">
        <v>7115</v>
      </c>
      <c r="R24" s="28" t="s">
        <v>604</v>
      </c>
      <c r="S24" s="28" t="s">
        <v>604</v>
      </c>
      <c r="T24" s="28" t="s">
        <v>604</v>
      </c>
      <c r="U24" s="28" t="s">
        <v>7116</v>
      </c>
      <c r="V24" s="6" t="s">
        <v>7123</v>
      </c>
      <c r="W24" s="6" t="s">
        <v>7124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7125</v>
      </c>
      <c r="B25" s="19" t="s">
        <v>7126</v>
      </c>
      <c r="C25" s="223" t="n">
        <v>54</v>
      </c>
      <c r="D25" s="221"/>
      <c r="E25" s="221"/>
      <c r="F25" s="28" t="s">
        <v>7110</v>
      </c>
      <c r="G25" s="221" t="s">
        <v>7111</v>
      </c>
      <c r="H25" s="28" t="s">
        <v>1209</v>
      </c>
      <c r="I25" s="28" t="s">
        <v>1207</v>
      </c>
      <c r="J25" s="6" t="s">
        <v>7113</v>
      </c>
      <c r="K25" s="221" t="n">
        <v>1</v>
      </c>
      <c r="L25" s="221" t="s">
        <v>6380</v>
      </c>
      <c r="M25" s="6" t="s">
        <v>7114</v>
      </c>
      <c r="N25" s="221" t="s">
        <v>6850</v>
      </c>
      <c r="O25" s="28" t="s">
        <v>6276</v>
      </c>
      <c r="P25" s="28" t="s">
        <v>604</v>
      </c>
      <c r="Q25" s="28" t="s">
        <v>7115</v>
      </c>
      <c r="R25" s="28" t="s">
        <v>604</v>
      </c>
      <c r="S25" s="28" t="s">
        <v>604</v>
      </c>
      <c r="T25" s="28" t="s">
        <v>604</v>
      </c>
      <c r="U25" s="28" t="s">
        <v>7116</v>
      </c>
      <c r="V25" s="6" t="s">
        <v>604</v>
      </c>
      <c r="W25" s="6" t="s">
        <v>604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7127</v>
      </c>
      <c r="B26" s="19" t="s">
        <v>7128</v>
      </c>
      <c r="C26" s="221"/>
      <c r="D26" s="223" t="n">
        <v>290</v>
      </c>
      <c r="E26" s="223" t="n">
        <v>350</v>
      </c>
      <c r="F26" s="28" t="s">
        <v>7110</v>
      </c>
      <c r="G26" s="221" t="s">
        <v>7111</v>
      </c>
      <c r="H26" s="28" t="s">
        <v>7129</v>
      </c>
      <c r="I26" s="28" t="s">
        <v>1207</v>
      </c>
      <c r="J26" s="6" t="s">
        <v>7113</v>
      </c>
      <c r="K26" s="221" t="n">
        <v>1</v>
      </c>
      <c r="L26" s="221" t="s">
        <v>6380</v>
      </c>
      <c r="M26" s="6" t="s">
        <v>7114</v>
      </c>
      <c r="N26" s="221" t="s">
        <v>6850</v>
      </c>
      <c r="O26" s="28" t="s">
        <v>6276</v>
      </c>
      <c r="P26" s="28" t="s">
        <v>604</v>
      </c>
      <c r="Q26" s="28" t="s">
        <v>7115</v>
      </c>
      <c r="R26" s="28" t="s">
        <v>604</v>
      </c>
      <c r="S26" s="28" t="s">
        <v>604</v>
      </c>
      <c r="T26" s="28" t="s">
        <v>604</v>
      </c>
      <c r="U26" s="28" t="s">
        <v>7116</v>
      </c>
      <c r="V26" s="6" t="s">
        <v>604</v>
      </c>
      <c r="W26" s="6" t="s">
        <v>604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7130</v>
      </c>
      <c r="B27" s="6" t="s">
        <v>7131</v>
      </c>
      <c r="C27" s="223" t="n">
        <v>20</v>
      </c>
      <c r="D27" s="221"/>
      <c r="E27" s="221"/>
      <c r="F27" s="28" t="s">
        <v>7110</v>
      </c>
      <c r="G27" s="221" t="s">
        <v>7132</v>
      </c>
      <c r="H27" s="28" t="s">
        <v>7133</v>
      </c>
      <c r="I27" s="28" t="s">
        <v>7134</v>
      </c>
      <c r="J27" s="6" t="s">
        <v>7135</v>
      </c>
      <c r="K27" s="221" t="n">
        <v>3</v>
      </c>
      <c r="L27" s="221" t="s">
        <v>6273</v>
      </c>
      <c r="M27" s="6" t="s">
        <v>7136</v>
      </c>
      <c r="N27" s="221" t="s">
        <v>6411</v>
      </c>
      <c r="O27" s="28" t="s">
        <v>6276</v>
      </c>
      <c r="P27" s="28" t="s">
        <v>604</v>
      </c>
      <c r="Q27" s="28" t="s">
        <v>7137</v>
      </c>
      <c r="R27" s="28" t="s">
        <v>604</v>
      </c>
      <c r="S27" s="28" t="s">
        <v>604</v>
      </c>
      <c r="T27" s="28" t="s">
        <v>604</v>
      </c>
      <c r="U27" s="28" t="s">
        <v>7138</v>
      </c>
      <c r="V27" s="6" t="s">
        <v>604</v>
      </c>
      <c r="W27" s="19" t="s">
        <v>7139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7140</v>
      </c>
      <c r="B28" s="6" t="s">
        <v>7141</v>
      </c>
      <c r="C28" s="223" t="n">
        <v>250634</v>
      </c>
      <c r="D28" s="221"/>
      <c r="E28" s="221"/>
      <c r="F28" s="28" t="s">
        <v>7142</v>
      </c>
      <c r="G28" s="28" t="s">
        <v>7143</v>
      </c>
      <c r="H28" s="28" t="s">
        <v>164</v>
      </c>
      <c r="I28" s="28" t="s">
        <v>7144</v>
      </c>
      <c r="J28" s="6" t="s">
        <v>7145</v>
      </c>
      <c r="K28" s="221" t="n">
        <v>2</v>
      </c>
      <c r="L28" s="221" t="s">
        <v>6273</v>
      </c>
      <c r="M28" s="6" t="s">
        <v>7146</v>
      </c>
      <c r="N28" s="221" t="s">
        <v>7147</v>
      </c>
      <c r="O28" s="28" t="s">
        <v>6276</v>
      </c>
      <c r="P28" s="28" t="s">
        <v>604</v>
      </c>
      <c r="Q28" s="28" t="s">
        <v>7148</v>
      </c>
      <c r="R28" s="28" t="s">
        <v>604</v>
      </c>
      <c r="S28" s="28" t="s">
        <v>604</v>
      </c>
      <c r="T28" s="28" t="s">
        <v>604</v>
      </c>
      <c r="U28" s="28" t="s">
        <v>7149</v>
      </c>
      <c r="V28" s="6" t="s">
        <v>604</v>
      </c>
      <c r="W28" s="19" t="s">
        <v>7150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4653</v>
      </c>
      <c r="B29" s="6" t="s">
        <v>7151</v>
      </c>
      <c r="C29" s="223" t="n">
        <v>240318</v>
      </c>
      <c r="D29" s="221"/>
      <c r="E29" s="221"/>
      <c r="F29" s="28" t="s">
        <v>7142</v>
      </c>
      <c r="G29" s="28" t="s">
        <v>7143</v>
      </c>
      <c r="H29" s="28" t="s">
        <v>163</v>
      </c>
      <c r="I29" s="28" t="s">
        <v>7144</v>
      </c>
      <c r="J29" s="6" t="s">
        <v>7145</v>
      </c>
      <c r="K29" s="221" t="n">
        <v>2</v>
      </c>
      <c r="L29" s="221" t="s">
        <v>6273</v>
      </c>
      <c r="M29" s="6" t="s">
        <v>7146</v>
      </c>
      <c r="N29" s="221" t="s">
        <v>7147</v>
      </c>
      <c r="O29" s="28" t="s">
        <v>6276</v>
      </c>
      <c r="P29" s="28" t="s">
        <v>604</v>
      </c>
      <c r="Q29" s="28" t="s">
        <v>7148</v>
      </c>
      <c r="R29" s="28" t="s">
        <v>604</v>
      </c>
      <c r="S29" s="28" t="s">
        <v>604</v>
      </c>
      <c r="T29" s="28" t="s">
        <v>604</v>
      </c>
      <c r="U29" s="28" t="s">
        <v>7149</v>
      </c>
      <c r="V29" s="6" t="s">
        <v>7152</v>
      </c>
      <c r="W29" s="19" t="s">
        <v>7153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4659</v>
      </c>
      <c r="B30" s="6" t="s">
        <v>7154</v>
      </c>
      <c r="C30" s="223" t="n">
        <v>8064</v>
      </c>
      <c r="D30" s="221"/>
      <c r="E30" s="221"/>
      <c r="F30" s="28" t="s">
        <v>7155</v>
      </c>
      <c r="G30" s="28" t="s">
        <v>7156</v>
      </c>
      <c r="H30" s="28" t="s">
        <v>164</v>
      </c>
      <c r="I30" s="28" t="s">
        <v>7144</v>
      </c>
      <c r="J30" s="6" t="s">
        <v>7145</v>
      </c>
      <c r="K30" s="221" t="n">
        <v>2</v>
      </c>
      <c r="L30" s="221" t="s">
        <v>6273</v>
      </c>
      <c r="M30" s="6" t="s">
        <v>7146</v>
      </c>
      <c r="N30" s="221" t="s">
        <v>7147</v>
      </c>
      <c r="O30" s="28" t="s">
        <v>6276</v>
      </c>
      <c r="P30" s="28" t="s">
        <v>604</v>
      </c>
      <c r="Q30" s="28" t="s">
        <v>7148</v>
      </c>
      <c r="R30" s="28" t="s">
        <v>604</v>
      </c>
      <c r="S30" s="28" t="s">
        <v>604</v>
      </c>
      <c r="T30" s="28" t="s">
        <v>604</v>
      </c>
      <c r="U30" s="28" t="s">
        <v>7149</v>
      </c>
      <c r="V30" s="6" t="s">
        <v>7157</v>
      </c>
      <c r="W30" s="6" t="s">
        <v>604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4656</v>
      </c>
      <c r="B31" s="6" t="s">
        <v>7158</v>
      </c>
      <c r="C31" s="223" t="n">
        <v>652750</v>
      </c>
      <c r="D31" s="221"/>
      <c r="E31" s="221"/>
      <c r="F31" s="28" t="s">
        <v>7142</v>
      </c>
      <c r="G31" s="28" t="s">
        <v>7159</v>
      </c>
      <c r="H31" s="28" t="s">
        <v>165</v>
      </c>
      <c r="I31" s="28" t="s">
        <v>7160</v>
      </c>
      <c r="J31" s="6" t="s">
        <v>7161</v>
      </c>
      <c r="K31" s="221" t="n">
        <v>1</v>
      </c>
      <c r="L31" s="221" t="s">
        <v>6273</v>
      </c>
      <c r="M31" s="6" t="s">
        <v>7162</v>
      </c>
      <c r="N31" s="221" t="s">
        <v>6275</v>
      </c>
      <c r="O31" s="28" t="s">
        <v>6276</v>
      </c>
      <c r="P31" s="28" t="s">
        <v>604</v>
      </c>
      <c r="Q31" s="28" t="s">
        <v>7163</v>
      </c>
      <c r="R31" s="28" t="s">
        <v>604</v>
      </c>
      <c r="S31" s="28" t="s">
        <v>5910</v>
      </c>
      <c r="T31" s="28" t="s">
        <v>604</v>
      </c>
      <c r="U31" s="28" t="s">
        <v>3434</v>
      </c>
      <c r="V31" s="6" t="s">
        <v>7164</v>
      </c>
      <c r="W31" s="19" t="s">
        <v>7165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4650</v>
      </c>
      <c r="B32" s="6" t="s">
        <v>7166</v>
      </c>
      <c r="C32" s="223" t="n">
        <v>253506</v>
      </c>
      <c r="D32" s="221"/>
      <c r="E32" s="221"/>
      <c r="F32" s="28" t="s">
        <v>7142</v>
      </c>
      <c r="G32" s="28" t="s">
        <v>7143</v>
      </c>
      <c r="H32" s="28" t="s">
        <v>164</v>
      </c>
      <c r="I32" s="28" t="s">
        <v>7160</v>
      </c>
      <c r="J32" s="6" t="s">
        <v>7161</v>
      </c>
      <c r="K32" s="221" t="n">
        <v>1</v>
      </c>
      <c r="L32" s="221" t="s">
        <v>6273</v>
      </c>
      <c r="M32" s="6" t="s">
        <v>7162</v>
      </c>
      <c r="N32" s="221" t="s">
        <v>6275</v>
      </c>
      <c r="O32" s="28" t="s">
        <v>6276</v>
      </c>
      <c r="P32" s="28" t="s">
        <v>604</v>
      </c>
      <c r="Q32" s="28" t="s">
        <v>7163</v>
      </c>
      <c r="R32" s="28" t="s">
        <v>604</v>
      </c>
      <c r="S32" s="28" t="s">
        <v>5910</v>
      </c>
      <c r="T32" s="28" t="s">
        <v>604</v>
      </c>
      <c r="U32" s="28" t="s">
        <v>3434</v>
      </c>
      <c r="V32" s="6" t="s">
        <v>7167</v>
      </c>
      <c r="W32" s="19" t="s">
        <v>7168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4616</v>
      </c>
      <c r="B33" s="6" t="s">
        <v>7169</v>
      </c>
      <c r="C33" s="223" t="n">
        <v>800</v>
      </c>
      <c r="D33" s="221"/>
      <c r="E33" s="221"/>
      <c r="F33" s="28" t="s">
        <v>275</v>
      </c>
      <c r="G33" s="221" t="s">
        <v>7170</v>
      </c>
      <c r="H33" s="28" t="s">
        <v>7171</v>
      </c>
      <c r="I33" s="28" t="s">
        <v>7172</v>
      </c>
      <c r="J33" s="6" t="s">
        <v>7173</v>
      </c>
      <c r="K33" s="221" t="n">
        <v>1</v>
      </c>
      <c r="L33" s="221" t="s">
        <v>6380</v>
      </c>
      <c r="M33" s="6" t="s">
        <v>7174</v>
      </c>
      <c r="N33" s="221" t="s">
        <v>6850</v>
      </c>
      <c r="O33" s="28" t="s">
        <v>6276</v>
      </c>
      <c r="P33" s="28" t="s">
        <v>604</v>
      </c>
      <c r="Q33" s="28" t="s">
        <v>7175</v>
      </c>
      <c r="R33" s="28" t="s">
        <v>604</v>
      </c>
      <c r="S33" s="28" t="s">
        <v>604</v>
      </c>
      <c r="T33" s="28" t="s">
        <v>604</v>
      </c>
      <c r="U33" s="28" t="s">
        <v>7176</v>
      </c>
      <c r="V33" s="6" t="s">
        <v>7177</v>
      </c>
      <c r="W33" s="6" t="s">
        <v>604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4620</v>
      </c>
      <c r="B34" s="6" t="s">
        <v>7178</v>
      </c>
      <c r="C34" s="223" t="n">
        <v>3880</v>
      </c>
      <c r="D34" s="221"/>
      <c r="E34" s="221"/>
      <c r="F34" s="28" t="s">
        <v>275</v>
      </c>
      <c r="G34" s="221" t="s">
        <v>7170</v>
      </c>
      <c r="H34" s="28" t="s">
        <v>7171</v>
      </c>
      <c r="I34" s="28" t="s">
        <v>7172</v>
      </c>
      <c r="J34" s="6" t="s">
        <v>7173</v>
      </c>
      <c r="K34" s="221" t="n">
        <v>1</v>
      </c>
      <c r="L34" s="221" t="s">
        <v>6380</v>
      </c>
      <c r="M34" s="6" t="s">
        <v>7174</v>
      </c>
      <c r="N34" s="221" t="s">
        <v>6850</v>
      </c>
      <c r="O34" s="28" t="s">
        <v>6276</v>
      </c>
      <c r="P34" s="28" t="s">
        <v>604</v>
      </c>
      <c r="Q34" s="28" t="s">
        <v>7175</v>
      </c>
      <c r="R34" s="28" t="s">
        <v>604</v>
      </c>
      <c r="S34" s="28" t="s">
        <v>604</v>
      </c>
      <c r="T34" s="28" t="s">
        <v>604</v>
      </c>
      <c r="U34" s="28" t="s">
        <v>7176</v>
      </c>
      <c r="V34" s="6" t="s">
        <v>7179</v>
      </c>
      <c r="W34" s="6" t="s">
        <v>604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4627</v>
      </c>
      <c r="B35" s="6" t="s">
        <v>7180</v>
      </c>
      <c r="C35" s="223" t="n">
        <v>15</v>
      </c>
      <c r="D35" s="221"/>
      <c r="E35" s="221"/>
      <c r="F35" s="28" t="s">
        <v>488</v>
      </c>
      <c r="G35" s="28" t="s">
        <v>7143</v>
      </c>
      <c r="H35" s="28" t="s">
        <v>7171</v>
      </c>
      <c r="I35" s="28" t="s">
        <v>6313</v>
      </c>
      <c r="J35" s="6" t="s">
        <v>7173</v>
      </c>
      <c r="K35" s="221" t="n">
        <v>1</v>
      </c>
      <c r="L35" s="221" t="s">
        <v>6380</v>
      </c>
      <c r="M35" s="6" t="s">
        <v>7174</v>
      </c>
      <c r="N35" s="221" t="s">
        <v>6850</v>
      </c>
      <c r="O35" s="28" t="s">
        <v>6276</v>
      </c>
      <c r="P35" s="28" t="s">
        <v>604</v>
      </c>
      <c r="Q35" s="28" t="s">
        <v>7175</v>
      </c>
      <c r="R35" s="28" t="s">
        <v>604</v>
      </c>
      <c r="S35" s="28" t="s">
        <v>604</v>
      </c>
      <c r="T35" s="28" t="s">
        <v>604</v>
      </c>
      <c r="U35" s="28" t="s">
        <v>7176</v>
      </c>
      <c r="V35" s="6" t="s">
        <v>7181</v>
      </c>
      <c r="W35" s="19" t="s">
        <v>7182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4634</v>
      </c>
      <c r="B36" s="6" t="s">
        <v>7183</v>
      </c>
      <c r="C36" s="223" t="n">
        <v>80</v>
      </c>
      <c r="D36" s="221"/>
      <c r="E36" s="221"/>
      <c r="F36" s="28" t="s">
        <v>488</v>
      </c>
      <c r="G36" s="28" t="s">
        <v>7156</v>
      </c>
      <c r="H36" s="28" t="s">
        <v>7171</v>
      </c>
      <c r="I36" s="28" t="s">
        <v>6313</v>
      </c>
      <c r="J36" s="6" t="s">
        <v>7173</v>
      </c>
      <c r="K36" s="221" t="n">
        <v>1</v>
      </c>
      <c r="L36" s="221" t="s">
        <v>6380</v>
      </c>
      <c r="M36" s="6" t="s">
        <v>7174</v>
      </c>
      <c r="N36" s="221" t="s">
        <v>6850</v>
      </c>
      <c r="O36" s="28" t="s">
        <v>6276</v>
      </c>
      <c r="P36" s="28" t="s">
        <v>604</v>
      </c>
      <c r="Q36" s="28" t="s">
        <v>7175</v>
      </c>
      <c r="R36" s="28" t="s">
        <v>604</v>
      </c>
      <c r="S36" s="28" t="s">
        <v>604</v>
      </c>
      <c r="T36" s="28" t="s">
        <v>604</v>
      </c>
      <c r="U36" s="28" t="s">
        <v>7176</v>
      </c>
      <c r="V36" s="6" t="s">
        <v>7184</v>
      </c>
      <c r="W36" s="19" t="s">
        <v>7185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7186</v>
      </c>
      <c r="B37" s="6" t="s">
        <v>7187</v>
      </c>
      <c r="C37" s="223" t="n">
        <v>1.5</v>
      </c>
      <c r="D37" s="221"/>
      <c r="E37" s="221"/>
      <c r="F37" s="28" t="s">
        <v>358</v>
      </c>
      <c r="G37" s="28" t="s">
        <v>7143</v>
      </c>
      <c r="H37" s="28" t="s">
        <v>7171</v>
      </c>
      <c r="I37" s="28" t="s">
        <v>6313</v>
      </c>
      <c r="J37" s="6" t="s">
        <v>7173</v>
      </c>
      <c r="K37" s="221" t="n">
        <v>1</v>
      </c>
      <c r="L37" s="221" t="s">
        <v>6380</v>
      </c>
      <c r="M37" s="6" t="s">
        <v>7174</v>
      </c>
      <c r="N37" s="221" t="s">
        <v>6850</v>
      </c>
      <c r="O37" s="28" t="s">
        <v>6276</v>
      </c>
      <c r="P37" s="28" t="s">
        <v>604</v>
      </c>
      <c r="Q37" s="28" t="s">
        <v>7175</v>
      </c>
      <c r="R37" s="28" t="s">
        <v>604</v>
      </c>
      <c r="S37" s="28" t="s">
        <v>604</v>
      </c>
      <c r="T37" s="28" t="s">
        <v>604</v>
      </c>
      <c r="U37" s="28" t="s">
        <v>7176</v>
      </c>
      <c r="V37" s="6" t="s">
        <v>604</v>
      </c>
      <c r="W37" s="6" t="s">
        <v>604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7188</v>
      </c>
      <c r="B38" s="6" t="s">
        <v>7189</v>
      </c>
      <c r="C38" s="223" t="n">
        <v>2</v>
      </c>
      <c r="D38" s="221"/>
      <c r="E38" s="221"/>
      <c r="F38" s="28" t="s">
        <v>358</v>
      </c>
      <c r="G38" s="28" t="s">
        <v>7156</v>
      </c>
      <c r="H38" s="28" t="s">
        <v>7171</v>
      </c>
      <c r="I38" s="28" t="s">
        <v>6313</v>
      </c>
      <c r="J38" s="6" t="s">
        <v>7173</v>
      </c>
      <c r="K38" s="221" t="n">
        <v>1</v>
      </c>
      <c r="L38" s="221" t="s">
        <v>6380</v>
      </c>
      <c r="M38" s="6" t="s">
        <v>7174</v>
      </c>
      <c r="N38" s="221" t="s">
        <v>6850</v>
      </c>
      <c r="O38" s="28" t="s">
        <v>6276</v>
      </c>
      <c r="P38" s="28" t="s">
        <v>604</v>
      </c>
      <c r="Q38" s="28" t="s">
        <v>7175</v>
      </c>
      <c r="R38" s="28" t="s">
        <v>604</v>
      </c>
      <c r="S38" s="28" t="s">
        <v>604</v>
      </c>
      <c r="T38" s="28" t="s">
        <v>604</v>
      </c>
      <c r="U38" s="28" t="s">
        <v>7176</v>
      </c>
      <c r="V38" s="6" t="s">
        <v>604</v>
      </c>
      <c r="W38" s="6" t="s">
        <v>604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4312</v>
      </c>
      <c r="B39" s="6" t="s">
        <v>7190</v>
      </c>
      <c r="C39" s="223" t="n">
        <v>3</v>
      </c>
      <c r="D39" s="221"/>
      <c r="E39" s="221"/>
      <c r="F39" s="221" t="s">
        <v>7191</v>
      </c>
      <c r="G39" s="28" t="s">
        <v>7192</v>
      </c>
      <c r="H39" s="28" t="s">
        <v>7171</v>
      </c>
      <c r="I39" s="28" t="s">
        <v>6313</v>
      </c>
      <c r="J39" s="6" t="s">
        <v>7173</v>
      </c>
      <c r="K39" s="221" t="n">
        <v>1</v>
      </c>
      <c r="L39" s="221" t="s">
        <v>6380</v>
      </c>
      <c r="M39" s="6" t="s">
        <v>7174</v>
      </c>
      <c r="N39" s="221" t="s">
        <v>6850</v>
      </c>
      <c r="O39" s="28" t="s">
        <v>6276</v>
      </c>
      <c r="P39" s="28" t="s">
        <v>604</v>
      </c>
      <c r="Q39" s="28" t="s">
        <v>7175</v>
      </c>
      <c r="R39" s="28" t="s">
        <v>604</v>
      </c>
      <c r="S39" s="28" t="s">
        <v>604</v>
      </c>
      <c r="T39" s="28" t="s">
        <v>604</v>
      </c>
      <c r="U39" s="28" t="s">
        <v>7176</v>
      </c>
      <c r="V39" s="6" t="s">
        <v>7193</v>
      </c>
      <c r="W39" s="19" t="s">
        <v>7194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5093</v>
      </c>
      <c r="B40" s="6" t="s">
        <v>7195</v>
      </c>
      <c r="C40" s="221"/>
      <c r="D40" s="223" t="n">
        <v>0.38</v>
      </c>
      <c r="E40" s="223" t="n">
        <v>0.43</v>
      </c>
      <c r="F40" s="28" t="s">
        <v>89</v>
      </c>
      <c r="G40" s="28" t="s">
        <v>7196</v>
      </c>
      <c r="H40" s="28" t="s">
        <v>7197</v>
      </c>
      <c r="I40" s="28" t="s">
        <v>7198</v>
      </c>
      <c r="J40" s="6" t="s">
        <v>7199</v>
      </c>
      <c r="K40" s="221" t="n">
        <v>1</v>
      </c>
      <c r="L40" s="221" t="s">
        <v>6273</v>
      </c>
      <c r="M40" s="6" t="s">
        <v>7200</v>
      </c>
      <c r="N40" s="221" t="s">
        <v>6275</v>
      </c>
      <c r="O40" s="28" t="s">
        <v>6276</v>
      </c>
      <c r="P40" s="28" t="s">
        <v>604</v>
      </c>
      <c r="Q40" s="28" t="s">
        <v>7201</v>
      </c>
      <c r="R40" s="28" t="s">
        <v>604</v>
      </c>
      <c r="S40" s="28" t="s">
        <v>5889</v>
      </c>
      <c r="T40" s="28" t="s">
        <v>604</v>
      </c>
      <c r="U40" s="28" t="s">
        <v>7202</v>
      </c>
      <c r="V40" s="6" t="s">
        <v>604</v>
      </c>
      <c r="W40" s="6" t="s">
        <v>7203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5098</v>
      </c>
      <c r="B41" s="6" t="s">
        <v>7204</v>
      </c>
      <c r="C41" s="223" t="n">
        <v>0.9</v>
      </c>
      <c r="D41" s="221"/>
      <c r="E41" s="221"/>
      <c r="F41" s="28" t="s">
        <v>89</v>
      </c>
      <c r="G41" s="221" t="s">
        <v>7205</v>
      </c>
      <c r="H41" s="28" t="s">
        <v>7197</v>
      </c>
      <c r="I41" s="28" t="s">
        <v>7198</v>
      </c>
      <c r="J41" s="6" t="s">
        <v>7199</v>
      </c>
      <c r="K41" s="221" t="n">
        <v>1</v>
      </c>
      <c r="L41" s="221" t="s">
        <v>6273</v>
      </c>
      <c r="M41" s="6" t="s">
        <v>7200</v>
      </c>
      <c r="N41" s="221" t="s">
        <v>6275</v>
      </c>
      <c r="O41" s="28" t="s">
        <v>6276</v>
      </c>
      <c r="P41" s="28" t="s">
        <v>604</v>
      </c>
      <c r="Q41" s="28" t="s">
        <v>7206</v>
      </c>
      <c r="R41" s="28" t="s">
        <v>604</v>
      </c>
      <c r="S41" s="28" t="s">
        <v>5889</v>
      </c>
      <c r="T41" s="28" t="s">
        <v>604</v>
      </c>
      <c r="U41" s="28" t="s">
        <v>7202</v>
      </c>
      <c r="V41" s="6" t="s">
        <v>7207</v>
      </c>
      <c r="W41" s="19" t="s">
        <v>7208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7209</v>
      </c>
      <c r="B42" s="6" t="s">
        <v>7210</v>
      </c>
      <c r="C42" s="223" t="n">
        <v>2.24</v>
      </c>
      <c r="D42" s="221"/>
      <c r="E42" s="221"/>
      <c r="F42" s="28" t="s">
        <v>93</v>
      </c>
      <c r="G42" s="221" t="s">
        <v>7211</v>
      </c>
      <c r="H42" s="28" t="s">
        <v>7212</v>
      </c>
      <c r="I42" s="28" t="s">
        <v>6408</v>
      </c>
      <c r="J42" s="6" t="s">
        <v>7213</v>
      </c>
      <c r="K42" s="221" t="n">
        <v>1</v>
      </c>
      <c r="L42" s="221" t="s">
        <v>6273</v>
      </c>
      <c r="M42" s="19" t="s">
        <v>7214</v>
      </c>
      <c r="N42" s="221" t="s">
        <v>6850</v>
      </c>
      <c r="O42" s="28" t="s">
        <v>6276</v>
      </c>
      <c r="P42" s="28" t="s">
        <v>604</v>
      </c>
      <c r="Q42" s="28" t="s">
        <v>7215</v>
      </c>
      <c r="R42" s="28" t="s">
        <v>604</v>
      </c>
      <c r="S42" s="28" t="s">
        <v>604</v>
      </c>
      <c r="T42" s="28" t="s">
        <v>604</v>
      </c>
      <c r="U42" s="28" t="s">
        <v>7216</v>
      </c>
      <c r="V42" s="6" t="s">
        <v>604</v>
      </c>
      <c r="W42" s="19" t="s">
        <v>7217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7218</v>
      </c>
      <c r="B43" s="6" t="s">
        <v>7219</v>
      </c>
      <c r="C43" s="223" t="n">
        <v>2.72</v>
      </c>
      <c r="D43" s="221"/>
      <c r="E43" s="221"/>
      <c r="F43" s="28" t="s">
        <v>93</v>
      </c>
      <c r="G43" s="221" t="s">
        <v>7211</v>
      </c>
      <c r="H43" s="28" t="s">
        <v>7212</v>
      </c>
      <c r="I43" s="28" t="s">
        <v>6408</v>
      </c>
      <c r="J43" s="6" t="s">
        <v>7213</v>
      </c>
      <c r="K43" s="221" t="n">
        <v>1</v>
      </c>
      <c r="L43" s="221" t="s">
        <v>6273</v>
      </c>
      <c r="M43" s="19" t="s">
        <v>7214</v>
      </c>
      <c r="N43" s="221" t="s">
        <v>6850</v>
      </c>
      <c r="O43" s="28" t="s">
        <v>6276</v>
      </c>
      <c r="P43" s="28" t="s">
        <v>604</v>
      </c>
      <c r="Q43" s="28" t="s">
        <v>7215</v>
      </c>
      <c r="R43" s="28" t="s">
        <v>604</v>
      </c>
      <c r="S43" s="28" t="s">
        <v>604</v>
      </c>
      <c r="T43" s="28" t="s">
        <v>604</v>
      </c>
      <c r="U43" s="28" t="s">
        <v>7216</v>
      </c>
      <c r="V43" s="6" t="s">
        <v>604</v>
      </c>
      <c r="W43" s="6" t="s">
        <v>604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7220</v>
      </c>
      <c r="B44" s="6" t="s">
        <v>7221</v>
      </c>
      <c r="C44" s="223" t="n">
        <v>2</v>
      </c>
      <c r="D44" s="221"/>
      <c r="E44" s="221"/>
      <c r="F44" s="28" t="s">
        <v>93</v>
      </c>
      <c r="G44" s="221" t="s">
        <v>6361</v>
      </c>
      <c r="H44" s="28" t="s">
        <v>7222</v>
      </c>
      <c r="I44" s="28" t="s">
        <v>6408</v>
      </c>
      <c r="J44" s="6" t="s">
        <v>7213</v>
      </c>
      <c r="K44" s="221" t="n">
        <v>1</v>
      </c>
      <c r="L44" s="221" t="s">
        <v>6273</v>
      </c>
      <c r="M44" s="19" t="s">
        <v>7214</v>
      </c>
      <c r="N44" s="221" t="s">
        <v>6850</v>
      </c>
      <c r="O44" s="28" t="s">
        <v>6276</v>
      </c>
      <c r="P44" s="28" t="s">
        <v>604</v>
      </c>
      <c r="Q44" s="28" t="s">
        <v>7215</v>
      </c>
      <c r="R44" s="28" t="s">
        <v>604</v>
      </c>
      <c r="S44" s="28" t="s">
        <v>604</v>
      </c>
      <c r="T44" s="28" t="s">
        <v>604</v>
      </c>
      <c r="U44" s="28" t="s">
        <v>7216</v>
      </c>
      <c r="V44" s="6" t="s">
        <v>604</v>
      </c>
      <c r="W44" s="6" t="s">
        <v>604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4463</v>
      </c>
      <c r="B45" s="6" t="s">
        <v>7223</v>
      </c>
      <c r="C45" s="223" t="n">
        <v>73700</v>
      </c>
      <c r="D45" s="221"/>
      <c r="E45" s="221"/>
      <c r="F45" s="28" t="s">
        <v>7224</v>
      </c>
      <c r="G45" s="28" t="s">
        <v>7225</v>
      </c>
      <c r="H45" s="28" t="s">
        <v>7226</v>
      </c>
      <c r="I45" s="28" t="s">
        <v>7227</v>
      </c>
      <c r="J45" s="6" t="s">
        <v>7228</v>
      </c>
      <c r="K45" s="221" t="n">
        <v>1</v>
      </c>
      <c r="L45" s="221" t="s">
        <v>6273</v>
      </c>
      <c r="M45" s="6" t="s">
        <v>7229</v>
      </c>
      <c r="N45" s="221" t="s">
        <v>6850</v>
      </c>
      <c r="O45" s="28" t="s">
        <v>6276</v>
      </c>
      <c r="P45" s="28" t="s">
        <v>604</v>
      </c>
      <c r="Q45" s="28" t="s">
        <v>7230</v>
      </c>
      <c r="R45" s="28" t="s">
        <v>604</v>
      </c>
      <c r="S45" s="28" t="s">
        <v>604</v>
      </c>
      <c r="T45" s="28" t="s">
        <v>604</v>
      </c>
      <c r="U45" s="28" t="s">
        <v>7138</v>
      </c>
      <c r="V45" s="19" t="s">
        <v>7231</v>
      </c>
      <c r="W45" s="19" t="s">
        <v>7232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7233</v>
      </c>
      <c r="AB45" s="28" t="s">
        <v>7234</v>
      </c>
      <c r="AG45" s="221" t="s">
        <v>7235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4534</v>
      </c>
      <c r="B46" s="6" t="s">
        <v>7236</v>
      </c>
      <c r="C46" s="223" t="n">
        <v>14800</v>
      </c>
      <c r="D46" s="221"/>
      <c r="E46" s="221"/>
      <c r="F46" s="28" t="s">
        <v>7224</v>
      </c>
      <c r="G46" s="28" t="s">
        <v>7237</v>
      </c>
      <c r="H46" s="28" t="s">
        <v>7226</v>
      </c>
      <c r="I46" s="28" t="s">
        <v>7227</v>
      </c>
      <c r="J46" s="6" t="s">
        <v>7228</v>
      </c>
      <c r="K46" s="221" t="n">
        <v>1</v>
      </c>
      <c r="L46" s="221" t="s">
        <v>6273</v>
      </c>
      <c r="M46" s="6" t="s">
        <v>7229</v>
      </c>
      <c r="N46" s="221" t="s">
        <v>6850</v>
      </c>
      <c r="O46" s="28" t="s">
        <v>6276</v>
      </c>
      <c r="P46" s="28" t="s">
        <v>604</v>
      </c>
      <c r="Q46" s="28" t="s">
        <v>7230</v>
      </c>
      <c r="R46" s="28" t="s">
        <v>604</v>
      </c>
      <c r="S46" s="28" t="s">
        <v>604</v>
      </c>
      <c r="T46" s="28" t="s">
        <v>604</v>
      </c>
      <c r="U46" s="28" t="s">
        <v>7138</v>
      </c>
      <c r="V46" s="19" t="s">
        <v>7238</v>
      </c>
      <c r="W46" s="19" t="s">
        <v>7239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7233</v>
      </c>
      <c r="AB46" s="28" t="s">
        <v>7234</v>
      </c>
      <c r="AG46" s="221" t="s">
        <v>7240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7241</v>
      </c>
      <c r="B47" s="6" t="s">
        <v>7242</v>
      </c>
      <c r="C47" s="223" t="n">
        <v>608</v>
      </c>
      <c r="D47" s="221"/>
      <c r="E47" s="221"/>
      <c r="F47" s="28" t="s">
        <v>7243</v>
      </c>
      <c r="G47" s="28" t="s">
        <v>7244</v>
      </c>
      <c r="H47" s="28" t="s">
        <v>7226</v>
      </c>
      <c r="I47" s="28" t="s">
        <v>7227</v>
      </c>
      <c r="J47" s="6" t="s">
        <v>7228</v>
      </c>
      <c r="K47" s="221" t="n">
        <v>1</v>
      </c>
      <c r="L47" s="221" t="s">
        <v>6273</v>
      </c>
      <c r="M47" s="6" t="s">
        <v>7229</v>
      </c>
      <c r="N47" s="221" t="s">
        <v>6850</v>
      </c>
      <c r="O47" s="28" t="s">
        <v>6276</v>
      </c>
      <c r="P47" s="28" t="s">
        <v>604</v>
      </c>
      <c r="Q47" s="28" t="s">
        <v>7230</v>
      </c>
      <c r="R47" s="28" t="s">
        <v>604</v>
      </c>
      <c r="S47" s="28" t="s">
        <v>604</v>
      </c>
      <c r="T47" s="28" t="s">
        <v>604</v>
      </c>
      <c r="U47" s="28" t="s">
        <v>7138</v>
      </c>
      <c r="V47" s="6" t="s">
        <v>604</v>
      </c>
      <c r="W47" s="6" t="s">
        <v>604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7245</v>
      </c>
      <c r="B48" s="6" t="s">
        <v>7246</v>
      </c>
      <c r="C48" s="223" t="n">
        <v>0.563</v>
      </c>
      <c r="D48" s="221"/>
      <c r="E48" s="221"/>
      <c r="F48" s="28" t="s">
        <v>89</v>
      </c>
      <c r="G48" s="28" t="s">
        <v>7247</v>
      </c>
      <c r="H48" s="28" t="s">
        <v>7226</v>
      </c>
      <c r="I48" s="28" t="s">
        <v>7227</v>
      </c>
      <c r="J48" s="6" t="s">
        <v>7228</v>
      </c>
      <c r="K48" s="221" t="n">
        <v>1</v>
      </c>
      <c r="L48" s="221" t="s">
        <v>6273</v>
      </c>
      <c r="M48" s="6" t="s">
        <v>7229</v>
      </c>
      <c r="N48" s="221" t="s">
        <v>6850</v>
      </c>
      <c r="O48" s="28" t="s">
        <v>6276</v>
      </c>
      <c r="P48" s="28" t="s">
        <v>604</v>
      </c>
      <c r="Q48" s="28" t="s">
        <v>7230</v>
      </c>
      <c r="R48" s="28" t="s">
        <v>604</v>
      </c>
      <c r="S48" s="28" t="s">
        <v>604</v>
      </c>
      <c r="T48" s="28" t="s">
        <v>604</v>
      </c>
      <c r="U48" s="28" t="s">
        <v>7138</v>
      </c>
      <c r="V48" s="19" t="s">
        <v>7248</v>
      </c>
      <c r="W48" s="19" t="s">
        <v>7249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7250</v>
      </c>
      <c r="B49" s="6" t="s">
        <v>7251</v>
      </c>
      <c r="C49" s="223" t="n">
        <v>168</v>
      </c>
      <c r="D49" s="221"/>
      <c r="E49" s="221"/>
      <c r="F49" s="28" t="s">
        <v>7243</v>
      </c>
      <c r="G49" s="28" t="s">
        <v>7244</v>
      </c>
      <c r="H49" s="28" t="s">
        <v>7226</v>
      </c>
      <c r="I49" s="28" t="s">
        <v>7227</v>
      </c>
      <c r="J49" s="6" t="s">
        <v>7228</v>
      </c>
      <c r="K49" s="221" t="n">
        <v>1</v>
      </c>
      <c r="L49" s="221" t="s">
        <v>6273</v>
      </c>
      <c r="M49" s="6" t="s">
        <v>7229</v>
      </c>
      <c r="N49" s="221" t="s">
        <v>6850</v>
      </c>
      <c r="O49" s="28" t="s">
        <v>6276</v>
      </c>
      <c r="P49" s="28" t="s">
        <v>604</v>
      </c>
      <c r="Q49" s="28" t="s">
        <v>7230</v>
      </c>
      <c r="R49" s="28" t="s">
        <v>604</v>
      </c>
      <c r="S49" s="28" t="s">
        <v>604</v>
      </c>
      <c r="T49" s="28" t="s">
        <v>604</v>
      </c>
      <c r="U49" s="28" t="s">
        <v>7138</v>
      </c>
      <c r="V49" s="6" t="s">
        <v>604</v>
      </c>
      <c r="W49" s="6" t="s">
        <v>604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7252</v>
      </c>
      <c r="B50" s="6" t="s">
        <v>7253</v>
      </c>
      <c r="C50" s="221"/>
      <c r="D50" s="223" t="n">
        <v>20</v>
      </c>
      <c r="E50" s="223" t="n">
        <v>22</v>
      </c>
      <c r="F50" s="28" t="s">
        <v>355</v>
      </c>
      <c r="G50" s="28" t="s">
        <v>7244</v>
      </c>
      <c r="H50" s="28" t="s">
        <v>7226</v>
      </c>
      <c r="I50" s="28" t="s">
        <v>7227</v>
      </c>
      <c r="J50" s="6" t="s">
        <v>7228</v>
      </c>
      <c r="K50" s="221" t="n">
        <v>1</v>
      </c>
      <c r="L50" s="221" t="s">
        <v>6273</v>
      </c>
      <c r="M50" s="6" t="s">
        <v>7229</v>
      </c>
      <c r="N50" s="221" t="s">
        <v>6850</v>
      </c>
      <c r="O50" s="28" t="s">
        <v>6276</v>
      </c>
      <c r="P50" s="28" t="s">
        <v>604</v>
      </c>
      <c r="Q50" s="28" t="s">
        <v>7230</v>
      </c>
      <c r="R50" s="28" t="s">
        <v>604</v>
      </c>
      <c r="S50" s="28" t="s">
        <v>604</v>
      </c>
      <c r="T50" s="28" t="s">
        <v>604</v>
      </c>
      <c r="U50" s="28" t="s">
        <v>7138</v>
      </c>
      <c r="V50" s="19" t="s">
        <v>7254</v>
      </c>
      <c r="W50" s="19" t="s">
        <v>7255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7256</v>
      </c>
      <c r="B51" s="6" t="s">
        <v>7257</v>
      </c>
      <c r="C51" s="223" t="n">
        <v>4989</v>
      </c>
      <c r="D51" s="221"/>
      <c r="E51" s="221"/>
      <c r="F51" s="28" t="s">
        <v>275</v>
      </c>
      <c r="G51" s="28" t="s">
        <v>7244</v>
      </c>
      <c r="H51" s="28" t="s">
        <v>7226</v>
      </c>
      <c r="I51" s="28" t="s">
        <v>7227</v>
      </c>
      <c r="J51" s="6" t="s">
        <v>7228</v>
      </c>
      <c r="K51" s="221" t="n">
        <v>1</v>
      </c>
      <c r="L51" s="221" t="s">
        <v>6273</v>
      </c>
      <c r="M51" s="6" t="s">
        <v>7229</v>
      </c>
      <c r="N51" s="221" t="s">
        <v>6850</v>
      </c>
      <c r="O51" s="28" t="s">
        <v>6276</v>
      </c>
      <c r="P51" s="28" t="s">
        <v>604</v>
      </c>
      <c r="Q51" s="28" t="s">
        <v>7230</v>
      </c>
      <c r="R51" s="28" t="s">
        <v>604</v>
      </c>
      <c r="S51" s="28" t="s">
        <v>604</v>
      </c>
      <c r="T51" s="28" t="s">
        <v>604</v>
      </c>
      <c r="U51" s="28" t="s">
        <v>7138</v>
      </c>
      <c r="V51" s="6" t="s">
        <v>604</v>
      </c>
      <c r="W51" s="6" t="s">
        <v>604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7258</v>
      </c>
      <c r="B52" s="6" t="s">
        <v>7259</v>
      </c>
      <c r="C52" s="223" t="n">
        <v>278</v>
      </c>
      <c r="D52" s="221"/>
      <c r="E52" s="221"/>
      <c r="F52" s="221" t="s">
        <v>7260</v>
      </c>
      <c r="G52" s="28" t="s">
        <v>7261</v>
      </c>
      <c r="H52" s="28" t="s">
        <v>7226</v>
      </c>
      <c r="I52" s="28" t="s">
        <v>7227</v>
      </c>
      <c r="J52" s="6" t="s">
        <v>7228</v>
      </c>
      <c r="K52" s="221" t="n">
        <v>1</v>
      </c>
      <c r="L52" s="221" t="s">
        <v>6273</v>
      </c>
      <c r="M52" s="6" t="s">
        <v>7229</v>
      </c>
      <c r="N52" s="221" t="s">
        <v>6850</v>
      </c>
      <c r="O52" s="28" t="s">
        <v>6276</v>
      </c>
      <c r="P52" s="28" t="s">
        <v>604</v>
      </c>
      <c r="Q52" s="28" t="s">
        <v>7230</v>
      </c>
      <c r="R52" s="28" t="s">
        <v>604</v>
      </c>
      <c r="S52" s="28" t="s">
        <v>604</v>
      </c>
      <c r="T52" s="28" t="s">
        <v>604</v>
      </c>
      <c r="U52" s="28" t="s">
        <v>7138</v>
      </c>
      <c r="V52" s="6" t="s">
        <v>604</v>
      </c>
      <c r="W52" s="19" t="s">
        <v>7262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7263</v>
      </c>
      <c r="B53" s="6" t="s">
        <v>7264</v>
      </c>
      <c r="C53" s="223" t="n">
        <v>226.75</v>
      </c>
      <c r="D53" s="221"/>
      <c r="E53" s="221"/>
      <c r="F53" s="221" t="s">
        <v>7260</v>
      </c>
      <c r="G53" s="28" t="s">
        <v>7261</v>
      </c>
      <c r="H53" s="28" t="s">
        <v>7226</v>
      </c>
      <c r="I53" s="28" t="s">
        <v>7227</v>
      </c>
      <c r="J53" s="6" t="s">
        <v>7228</v>
      </c>
      <c r="K53" s="221" t="n">
        <v>1</v>
      </c>
      <c r="L53" s="221" t="s">
        <v>6273</v>
      </c>
      <c r="M53" s="6" t="s">
        <v>7229</v>
      </c>
      <c r="N53" s="221" t="s">
        <v>6850</v>
      </c>
      <c r="O53" s="28" t="s">
        <v>6276</v>
      </c>
      <c r="P53" s="28" t="s">
        <v>604</v>
      </c>
      <c r="Q53" s="28" t="s">
        <v>7230</v>
      </c>
      <c r="R53" s="28" t="s">
        <v>604</v>
      </c>
      <c r="S53" s="28" t="s">
        <v>604</v>
      </c>
      <c r="T53" s="28" t="s">
        <v>604</v>
      </c>
      <c r="U53" s="28" t="s">
        <v>7138</v>
      </c>
      <c r="V53" s="6" t="s">
        <v>604</v>
      </c>
      <c r="W53" s="6" t="s">
        <v>604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7265</v>
      </c>
      <c r="B54" s="6" t="s">
        <v>7266</v>
      </c>
      <c r="C54" s="223" t="n">
        <v>4</v>
      </c>
      <c r="D54" s="221"/>
      <c r="E54" s="221"/>
      <c r="F54" s="221" t="s">
        <v>7260</v>
      </c>
      <c r="G54" s="28" t="s">
        <v>7267</v>
      </c>
      <c r="H54" s="28" t="s">
        <v>7226</v>
      </c>
      <c r="I54" s="28" t="s">
        <v>7227</v>
      </c>
      <c r="J54" s="6" t="s">
        <v>7228</v>
      </c>
      <c r="K54" s="221" t="n">
        <v>1</v>
      </c>
      <c r="L54" s="221" t="s">
        <v>6273</v>
      </c>
      <c r="M54" s="6" t="s">
        <v>7229</v>
      </c>
      <c r="N54" s="221" t="s">
        <v>6850</v>
      </c>
      <c r="O54" s="28" t="s">
        <v>6276</v>
      </c>
      <c r="P54" s="28" t="s">
        <v>604</v>
      </c>
      <c r="Q54" s="28" t="s">
        <v>7230</v>
      </c>
      <c r="R54" s="28" t="s">
        <v>604</v>
      </c>
      <c r="S54" s="28" t="s">
        <v>604</v>
      </c>
      <c r="T54" s="28" t="s">
        <v>604</v>
      </c>
      <c r="U54" s="28" t="s">
        <v>7138</v>
      </c>
      <c r="V54" s="19" t="s">
        <v>7268</v>
      </c>
      <c r="W54" s="19" t="s">
        <v>7269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4082</v>
      </c>
      <c r="B55" s="6" t="s">
        <v>7270</v>
      </c>
      <c r="C55" s="223" t="n">
        <v>18</v>
      </c>
      <c r="D55" s="221"/>
      <c r="E55" s="221"/>
      <c r="F55" s="221" t="s">
        <v>7260</v>
      </c>
      <c r="G55" s="28" t="s">
        <v>7271</v>
      </c>
      <c r="H55" s="28" t="s">
        <v>7226</v>
      </c>
      <c r="I55" s="28" t="s">
        <v>7227</v>
      </c>
      <c r="J55" s="6" t="s">
        <v>7228</v>
      </c>
      <c r="K55" s="221" t="n">
        <v>1</v>
      </c>
      <c r="L55" s="221" t="s">
        <v>6273</v>
      </c>
      <c r="M55" s="6" t="s">
        <v>7229</v>
      </c>
      <c r="N55" s="221" t="s">
        <v>6850</v>
      </c>
      <c r="O55" s="28" t="s">
        <v>6276</v>
      </c>
      <c r="P55" s="28" t="s">
        <v>604</v>
      </c>
      <c r="Q55" s="28" t="s">
        <v>7230</v>
      </c>
      <c r="R55" s="28" t="s">
        <v>604</v>
      </c>
      <c r="S55" s="28" t="s">
        <v>604</v>
      </c>
      <c r="T55" s="28" t="s">
        <v>604</v>
      </c>
      <c r="U55" s="28" t="s">
        <v>7138</v>
      </c>
      <c r="V55" s="19" t="s">
        <v>7272</v>
      </c>
      <c r="W55" s="19" t="s">
        <v>7273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7274</v>
      </c>
      <c r="B56" s="6" t="s">
        <v>7275</v>
      </c>
      <c r="C56" s="223" t="n">
        <v>558802.8</v>
      </c>
      <c r="D56" s="221"/>
      <c r="E56" s="221"/>
      <c r="F56" s="28" t="s">
        <v>7276</v>
      </c>
      <c r="G56" s="28" t="s">
        <v>7277</v>
      </c>
      <c r="H56" s="28" t="s">
        <v>7278</v>
      </c>
      <c r="I56" s="28" t="s">
        <v>7279</v>
      </c>
      <c r="J56" s="6" t="s">
        <v>7161</v>
      </c>
      <c r="K56" s="221" t="n">
        <v>1</v>
      </c>
      <c r="L56" s="221" t="s">
        <v>6273</v>
      </c>
      <c r="M56" s="6" t="s">
        <v>7280</v>
      </c>
      <c r="N56" s="221" t="s">
        <v>6275</v>
      </c>
      <c r="O56" s="28" t="s">
        <v>6276</v>
      </c>
      <c r="P56" s="28" t="s">
        <v>604</v>
      </c>
      <c r="Q56" s="28" t="s">
        <v>7281</v>
      </c>
      <c r="R56" s="28" t="s">
        <v>5365</v>
      </c>
      <c r="S56" s="28" t="s">
        <v>604</v>
      </c>
      <c r="T56" s="28" t="s">
        <v>604</v>
      </c>
      <c r="U56" s="28" t="s">
        <v>7282</v>
      </c>
      <c r="V56" s="6" t="s">
        <v>604</v>
      </c>
      <c r="W56" s="6" t="s">
        <v>7283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7284</v>
      </c>
      <c r="B57" s="6" t="s">
        <v>7285</v>
      </c>
      <c r="C57" s="223" t="n">
        <v>591368.3</v>
      </c>
      <c r="D57" s="221"/>
      <c r="E57" s="221"/>
      <c r="F57" s="28" t="s">
        <v>7276</v>
      </c>
      <c r="G57" s="28" t="s">
        <v>7286</v>
      </c>
      <c r="H57" s="28" t="s">
        <v>7278</v>
      </c>
      <c r="I57" s="28" t="s">
        <v>7279</v>
      </c>
      <c r="J57" s="6" t="s">
        <v>7161</v>
      </c>
      <c r="K57" s="221" t="n">
        <v>1</v>
      </c>
      <c r="L57" s="221" t="s">
        <v>6273</v>
      </c>
      <c r="M57" s="6" t="s">
        <v>7280</v>
      </c>
      <c r="N57" s="221" t="s">
        <v>6275</v>
      </c>
      <c r="O57" s="28" t="s">
        <v>6276</v>
      </c>
      <c r="P57" s="28" t="s">
        <v>604</v>
      </c>
      <c r="Q57" s="28" t="s">
        <v>7281</v>
      </c>
      <c r="R57" s="28" t="s">
        <v>7287</v>
      </c>
      <c r="S57" s="28" t="s">
        <v>604</v>
      </c>
      <c r="T57" s="28" t="s">
        <v>604</v>
      </c>
      <c r="U57" s="28" t="s">
        <v>7282</v>
      </c>
      <c r="V57" s="6" t="s">
        <v>604</v>
      </c>
      <c r="W57" s="6" t="s">
        <v>7283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7288</v>
      </c>
      <c r="B58" s="6" t="s">
        <v>7289</v>
      </c>
      <c r="C58" s="223" t="n">
        <v>689961</v>
      </c>
      <c r="D58" s="221"/>
      <c r="E58" s="221"/>
      <c r="F58" s="28" t="s">
        <v>7142</v>
      </c>
      <c r="G58" s="28" t="s">
        <v>7290</v>
      </c>
      <c r="H58" s="28" t="s">
        <v>7291</v>
      </c>
      <c r="I58" s="28" t="s">
        <v>7279</v>
      </c>
      <c r="J58" s="6" t="s">
        <v>7161</v>
      </c>
      <c r="K58" s="221" t="n">
        <v>1</v>
      </c>
      <c r="L58" s="221" t="s">
        <v>6273</v>
      </c>
      <c r="M58" s="6" t="s">
        <v>7292</v>
      </c>
      <c r="N58" s="221" t="s">
        <v>6275</v>
      </c>
      <c r="O58" s="28" t="s">
        <v>6276</v>
      </c>
      <c r="P58" s="28" t="s">
        <v>604</v>
      </c>
      <c r="Q58" s="28" t="s">
        <v>7281</v>
      </c>
      <c r="R58" s="28" t="s">
        <v>7293</v>
      </c>
      <c r="S58" s="28" t="s">
        <v>604</v>
      </c>
      <c r="T58" s="28" t="s">
        <v>604</v>
      </c>
      <c r="U58" s="28" t="s">
        <v>7282</v>
      </c>
      <c r="V58" s="6" t="s">
        <v>604</v>
      </c>
      <c r="W58" s="6" t="s">
        <v>7294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7295</v>
      </c>
      <c r="B59" s="6" t="s">
        <v>7296</v>
      </c>
      <c r="C59" s="223" t="n">
        <v>603023</v>
      </c>
      <c r="D59" s="221"/>
      <c r="E59" s="221"/>
      <c r="F59" s="28" t="s">
        <v>7142</v>
      </c>
      <c r="G59" s="28" t="s">
        <v>7297</v>
      </c>
      <c r="H59" s="28" t="s">
        <v>7291</v>
      </c>
      <c r="I59" s="28" t="s">
        <v>7279</v>
      </c>
      <c r="J59" s="6" t="s">
        <v>7161</v>
      </c>
      <c r="K59" s="221" t="n">
        <v>1</v>
      </c>
      <c r="L59" s="221" t="s">
        <v>6273</v>
      </c>
      <c r="M59" s="6" t="s">
        <v>7292</v>
      </c>
      <c r="N59" s="221" t="s">
        <v>6275</v>
      </c>
      <c r="O59" s="28" t="s">
        <v>6276</v>
      </c>
      <c r="P59" s="28" t="s">
        <v>604</v>
      </c>
      <c r="Q59" s="28" t="s">
        <v>7281</v>
      </c>
      <c r="R59" s="28" t="s">
        <v>7298</v>
      </c>
      <c r="S59" s="28" t="s">
        <v>604</v>
      </c>
      <c r="T59" s="28" t="s">
        <v>604</v>
      </c>
      <c r="U59" s="28" t="s">
        <v>7282</v>
      </c>
      <c r="V59" s="6" t="s">
        <v>604</v>
      </c>
      <c r="W59" s="6" t="s">
        <v>7294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5365</v>
      </c>
      <c r="B60" s="6" t="s">
        <v>7299</v>
      </c>
      <c r="C60" s="223" t="n">
        <v>1183326.9</v>
      </c>
      <c r="D60" s="221"/>
      <c r="E60" s="221"/>
      <c r="F60" s="28" t="s">
        <v>7142</v>
      </c>
      <c r="G60" s="28" t="s">
        <v>7277</v>
      </c>
      <c r="H60" s="28" t="s">
        <v>7300</v>
      </c>
      <c r="I60" s="28" t="s">
        <v>7279</v>
      </c>
      <c r="J60" s="6" t="s">
        <v>7161</v>
      </c>
      <c r="K60" s="221" t="n">
        <v>1</v>
      </c>
      <c r="L60" s="221" t="s">
        <v>6273</v>
      </c>
      <c r="M60" s="6" t="s">
        <v>7280</v>
      </c>
      <c r="N60" s="221" t="s">
        <v>6275</v>
      </c>
      <c r="O60" s="28" t="s">
        <v>6276</v>
      </c>
      <c r="P60" s="28" t="s">
        <v>604</v>
      </c>
      <c r="Q60" s="28" t="s">
        <v>7281</v>
      </c>
      <c r="R60" s="28" t="s">
        <v>7274</v>
      </c>
      <c r="S60" s="28" t="s">
        <v>604</v>
      </c>
      <c r="T60" s="28" t="s">
        <v>604</v>
      </c>
      <c r="U60" s="28" t="s">
        <v>7282</v>
      </c>
      <c r="V60" s="6" t="s">
        <v>604</v>
      </c>
      <c r="W60" s="6" t="s">
        <v>7301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7287</v>
      </c>
      <c r="B61" s="6" t="s">
        <v>7302</v>
      </c>
      <c r="C61" s="223" t="n">
        <v>1175890.2</v>
      </c>
      <c r="D61" s="221"/>
      <c r="E61" s="221"/>
      <c r="F61" s="28" t="s">
        <v>7142</v>
      </c>
      <c r="G61" s="28" t="s">
        <v>7286</v>
      </c>
      <c r="H61" s="28" t="s">
        <v>7300</v>
      </c>
      <c r="I61" s="28" t="s">
        <v>7279</v>
      </c>
      <c r="J61" s="6" t="s">
        <v>7161</v>
      </c>
      <c r="K61" s="221" t="n">
        <v>1</v>
      </c>
      <c r="L61" s="221" t="s">
        <v>6273</v>
      </c>
      <c r="M61" s="6" t="s">
        <v>7280</v>
      </c>
      <c r="N61" s="221" t="s">
        <v>6275</v>
      </c>
      <c r="O61" s="28" t="s">
        <v>6276</v>
      </c>
      <c r="P61" s="28" t="s">
        <v>604</v>
      </c>
      <c r="Q61" s="28" t="s">
        <v>7281</v>
      </c>
      <c r="R61" s="28" t="s">
        <v>7284</v>
      </c>
      <c r="S61" s="28" t="s">
        <v>604</v>
      </c>
      <c r="T61" s="28" t="s">
        <v>604</v>
      </c>
      <c r="U61" s="28" t="s">
        <v>7282</v>
      </c>
      <c r="V61" s="6" t="s">
        <v>604</v>
      </c>
      <c r="W61" s="6" t="s">
        <v>7301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7293</v>
      </c>
      <c r="B62" s="6" t="s">
        <v>7303</v>
      </c>
      <c r="C62" s="223" t="n">
        <v>679740</v>
      </c>
      <c r="D62" s="221"/>
      <c r="E62" s="221"/>
      <c r="F62" s="28" t="s">
        <v>7142</v>
      </c>
      <c r="G62" s="28" t="s">
        <v>7290</v>
      </c>
      <c r="H62" s="28" t="s">
        <v>7304</v>
      </c>
      <c r="I62" s="28" t="s">
        <v>7279</v>
      </c>
      <c r="J62" s="6" t="s">
        <v>7161</v>
      </c>
      <c r="K62" s="221" t="n">
        <v>1</v>
      </c>
      <c r="L62" s="221" t="s">
        <v>6273</v>
      </c>
      <c r="M62" s="6" t="s">
        <v>7292</v>
      </c>
      <c r="N62" s="221" t="s">
        <v>6275</v>
      </c>
      <c r="O62" s="28" t="s">
        <v>6276</v>
      </c>
      <c r="P62" s="28" t="s">
        <v>604</v>
      </c>
      <c r="Q62" s="28" t="s">
        <v>7281</v>
      </c>
      <c r="R62" s="28" t="s">
        <v>7288</v>
      </c>
      <c r="S62" s="28" t="s">
        <v>604</v>
      </c>
      <c r="T62" s="28" t="s">
        <v>604</v>
      </c>
      <c r="U62" s="28" t="s">
        <v>7282</v>
      </c>
      <c r="V62" s="6" t="s">
        <v>604</v>
      </c>
      <c r="W62" s="6" t="s">
        <v>7305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7298</v>
      </c>
      <c r="B63" s="6" t="s">
        <v>7306</v>
      </c>
      <c r="C63" s="223" t="n">
        <v>596944</v>
      </c>
      <c r="D63" s="221"/>
      <c r="E63" s="221"/>
      <c r="F63" s="28" t="s">
        <v>7142</v>
      </c>
      <c r="G63" s="28" t="s">
        <v>7297</v>
      </c>
      <c r="H63" s="28" t="s">
        <v>7304</v>
      </c>
      <c r="I63" s="28" t="s">
        <v>7279</v>
      </c>
      <c r="J63" s="6" t="s">
        <v>7161</v>
      </c>
      <c r="K63" s="221" t="n">
        <v>1</v>
      </c>
      <c r="L63" s="221" t="s">
        <v>6273</v>
      </c>
      <c r="M63" s="6" t="s">
        <v>7292</v>
      </c>
      <c r="N63" s="221" t="s">
        <v>6275</v>
      </c>
      <c r="O63" s="28" t="s">
        <v>6276</v>
      </c>
      <c r="P63" s="28" t="s">
        <v>604</v>
      </c>
      <c r="Q63" s="28" t="s">
        <v>7281</v>
      </c>
      <c r="R63" s="28" t="s">
        <v>7295</v>
      </c>
      <c r="S63" s="28" t="s">
        <v>604</v>
      </c>
      <c r="T63" s="28" t="s">
        <v>604</v>
      </c>
      <c r="U63" s="28" t="s">
        <v>7282</v>
      </c>
      <c r="V63" s="6" t="s">
        <v>604</v>
      </c>
      <c r="W63" s="6" t="s">
        <v>7305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8" t="s">
        <v>7307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7308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20" t="s">
        <v>7309</v>
      </c>
      <c r="Y4" s="220" t="s">
        <v>7310</v>
      </c>
      <c r="Z4" s="220" t="s">
        <v>7311</v>
      </c>
      <c r="AA4" s="220" t="s">
        <v>7312</v>
      </c>
      <c r="AB4" s="220" t="s">
        <v>7313</v>
      </c>
      <c r="AC4" s="219" t="s">
        <v>6263</v>
      </c>
      <c r="AD4" s="219" t="s">
        <v>6264</v>
      </c>
      <c r="AE4" s="219" t="s">
        <v>6265</v>
      </c>
      <c r="AM4" s="81" t="s">
        <v>6266</v>
      </c>
    </row>
    <row r="5" customFormat="false" ht="29.25" hidden="false" customHeight="true" outlineLevel="0" collapsed="false">
      <c r="A5" s="28" t="s">
        <v>2775</v>
      </c>
      <c r="B5" s="6" t="s">
        <v>7314</v>
      </c>
      <c r="C5" s="223" t="n">
        <v>42</v>
      </c>
      <c r="D5" s="221"/>
      <c r="E5" s="221"/>
      <c r="F5" s="28" t="s">
        <v>7315</v>
      </c>
      <c r="G5" s="221" t="s">
        <v>7316</v>
      </c>
      <c r="H5" s="28" t="s">
        <v>7317</v>
      </c>
      <c r="I5" s="28" t="s">
        <v>6378</v>
      </c>
      <c r="J5" s="6" t="s">
        <v>7318</v>
      </c>
      <c r="K5" s="221" t="n">
        <v>3</v>
      </c>
      <c r="L5" s="221" t="s">
        <v>6273</v>
      </c>
      <c r="M5" s="6" t="s">
        <v>7319</v>
      </c>
      <c r="N5" s="221" t="s">
        <v>6286</v>
      </c>
      <c r="O5" s="28" t="s">
        <v>6276</v>
      </c>
      <c r="P5" s="28" t="s">
        <v>604</v>
      </c>
      <c r="Q5" s="28" t="s">
        <v>7320</v>
      </c>
      <c r="R5" s="28" t="s">
        <v>604</v>
      </c>
      <c r="S5" s="28" t="s">
        <v>604</v>
      </c>
      <c r="T5" s="28" t="s">
        <v>604</v>
      </c>
      <c r="U5" s="28" t="s">
        <v>7321</v>
      </c>
      <c r="V5" s="6" t="s">
        <v>7322</v>
      </c>
      <c r="W5" s="6" t="s">
        <v>7323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2782</v>
      </c>
      <c r="B6" s="19" t="s">
        <v>7324</v>
      </c>
      <c r="C6" s="223" t="n">
        <v>3.57</v>
      </c>
      <c r="D6" s="221"/>
      <c r="E6" s="221"/>
      <c r="F6" s="28" t="s">
        <v>836</v>
      </c>
      <c r="G6" s="28" t="s">
        <v>7325</v>
      </c>
      <c r="H6" s="221" t="s">
        <v>7326</v>
      </c>
      <c r="I6" s="28" t="s">
        <v>1207</v>
      </c>
      <c r="J6" s="6" t="s">
        <v>7327</v>
      </c>
      <c r="K6" s="221" t="n">
        <v>2</v>
      </c>
      <c r="L6" s="221" t="s">
        <v>6380</v>
      </c>
      <c r="M6" s="19" t="s">
        <v>7328</v>
      </c>
      <c r="N6" s="221" t="s">
        <v>7329</v>
      </c>
      <c r="O6" s="28" t="s">
        <v>6276</v>
      </c>
      <c r="P6" s="28" t="s">
        <v>604</v>
      </c>
      <c r="Q6" s="28" t="s">
        <v>7330</v>
      </c>
      <c r="R6" s="28" t="s">
        <v>604</v>
      </c>
      <c r="S6" s="28" t="s">
        <v>604</v>
      </c>
      <c r="T6" s="28" t="s">
        <v>604</v>
      </c>
      <c r="U6" s="28" t="s">
        <v>7331</v>
      </c>
      <c r="V6" s="6" t="s">
        <v>7332</v>
      </c>
      <c r="W6" s="19" t="s">
        <v>7333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7334</v>
      </c>
      <c r="B7" s="6" t="s">
        <v>7335</v>
      </c>
      <c r="C7" s="223" t="n">
        <v>0.1</v>
      </c>
      <c r="D7" s="221"/>
      <c r="E7" s="221"/>
      <c r="F7" s="28" t="s">
        <v>791</v>
      </c>
      <c r="G7" s="28" t="s">
        <v>7336</v>
      </c>
      <c r="H7" s="28" t="s">
        <v>1194</v>
      </c>
      <c r="I7" s="28" t="s">
        <v>1198</v>
      </c>
      <c r="J7" s="6" t="s">
        <v>7337</v>
      </c>
      <c r="K7" s="221" t="n">
        <v>1</v>
      </c>
      <c r="L7" s="221" t="s">
        <v>6273</v>
      </c>
      <c r="M7" s="6" t="s">
        <v>7338</v>
      </c>
      <c r="N7" s="221" t="s">
        <v>6850</v>
      </c>
      <c r="O7" s="28" t="s">
        <v>6276</v>
      </c>
      <c r="P7" s="28" t="s">
        <v>604</v>
      </c>
      <c r="Q7" s="28" t="s">
        <v>7339</v>
      </c>
      <c r="R7" s="28" t="s">
        <v>604</v>
      </c>
      <c r="S7" s="28" t="s">
        <v>604</v>
      </c>
      <c r="T7" s="28" t="s">
        <v>604</v>
      </c>
      <c r="U7" s="28" t="s">
        <v>7340</v>
      </c>
      <c r="V7" s="6" t="s">
        <v>7341</v>
      </c>
      <c r="W7" s="6" t="s">
        <v>604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7342</v>
      </c>
      <c r="B8" s="6" t="s">
        <v>7343</v>
      </c>
      <c r="C8" s="223" t="n">
        <v>0.01</v>
      </c>
      <c r="D8" s="221"/>
      <c r="E8" s="221"/>
      <c r="F8" s="28" t="s">
        <v>791</v>
      </c>
      <c r="G8" s="28" t="s">
        <v>7336</v>
      </c>
      <c r="H8" s="28" t="s">
        <v>1194</v>
      </c>
      <c r="I8" s="28" t="s">
        <v>1198</v>
      </c>
      <c r="J8" s="6" t="s">
        <v>7337</v>
      </c>
      <c r="K8" s="221" t="n">
        <v>1</v>
      </c>
      <c r="L8" s="221" t="s">
        <v>6273</v>
      </c>
      <c r="M8" s="6" t="s">
        <v>7338</v>
      </c>
      <c r="N8" s="221" t="s">
        <v>6850</v>
      </c>
      <c r="O8" s="28" t="s">
        <v>6276</v>
      </c>
      <c r="P8" s="28" t="s">
        <v>604</v>
      </c>
      <c r="Q8" s="28" t="s">
        <v>7339</v>
      </c>
      <c r="R8" s="28" t="s">
        <v>604</v>
      </c>
      <c r="S8" s="28" t="s">
        <v>604</v>
      </c>
      <c r="T8" s="28" t="s">
        <v>604</v>
      </c>
      <c r="U8" s="28" t="s">
        <v>7340</v>
      </c>
      <c r="V8" s="6" t="s">
        <v>7344</v>
      </c>
      <c r="W8" s="6" t="s">
        <v>604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7345</v>
      </c>
      <c r="B9" s="6" t="s">
        <v>7346</v>
      </c>
      <c r="C9" s="223" t="n">
        <v>0.5</v>
      </c>
      <c r="D9" s="221"/>
      <c r="E9" s="221"/>
      <c r="F9" s="28" t="s">
        <v>791</v>
      </c>
      <c r="G9" s="28" t="s">
        <v>7336</v>
      </c>
      <c r="H9" s="28" t="s">
        <v>1194</v>
      </c>
      <c r="I9" s="28" t="s">
        <v>1198</v>
      </c>
      <c r="J9" s="6" t="s">
        <v>7337</v>
      </c>
      <c r="K9" s="221" t="n">
        <v>1</v>
      </c>
      <c r="L9" s="221" t="s">
        <v>6273</v>
      </c>
      <c r="M9" s="6" t="s">
        <v>7338</v>
      </c>
      <c r="N9" s="221" t="s">
        <v>6850</v>
      </c>
      <c r="O9" s="28" t="s">
        <v>6276</v>
      </c>
      <c r="P9" s="28" t="s">
        <v>604</v>
      </c>
      <c r="Q9" s="28" t="s">
        <v>7339</v>
      </c>
      <c r="R9" s="28" t="s">
        <v>604</v>
      </c>
      <c r="S9" s="28" t="s">
        <v>604</v>
      </c>
      <c r="T9" s="28" t="s">
        <v>604</v>
      </c>
      <c r="U9" s="28" t="s">
        <v>7340</v>
      </c>
      <c r="V9" s="6" t="s">
        <v>7347</v>
      </c>
      <c r="W9" s="6" t="s">
        <v>604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7348</v>
      </c>
      <c r="B10" s="6" t="s">
        <v>7349</v>
      </c>
      <c r="C10" s="223" t="n">
        <v>2</v>
      </c>
      <c r="D10" s="221"/>
      <c r="E10" s="221"/>
      <c r="F10" s="28" t="s">
        <v>791</v>
      </c>
      <c r="G10" s="28" t="s">
        <v>7336</v>
      </c>
      <c r="H10" s="28" t="s">
        <v>1200</v>
      </c>
      <c r="I10" s="28" t="s">
        <v>1198</v>
      </c>
      <c r="J10" s="6" t="s">
        <v>7337</v>
      </c>
      <c r="K10" s="221" t="n">
        <v>1</v>
      </c>
      <c r="L10" s="221" t="s">
        <v>6273</v>
      </c>
      <c r="M10" s="6" t="s">
        <v>7338</v>
      </c>
      <c r="N10" s="221" t="s">
        <v>6850</v>
      </c>
      <c r="O10" s="28" t="s">
        <v>6276</v>
      </c>
      <c r="P10" s="28" t="s">
        <v>604</v>
      </c>
      <c r="Q10" s="28" t="s">
        <v>7339</v>
      </c>
      <c r="R10" s="28" t="s">
        <v>604</v>
      </c>
      <c r="S10" s="28" t="s">
        <v>604</v>
      </c>
      <c r="T10" s="28" t="s">
        <v>604</v>
      </c>
      <c r="U10" s="28" t="s">
        <v>7340</v>
      </c>
      <c r="V10" s="6" t="s">
        <v>7350</v>
      </c>
      <c r="W10" s="6" t="s">
        <v>604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7351</v>
      </c>
      <c r="B11" s="6" t="s">
        <v>7352</v>
      </c>
      <c r="C11" s="223" t="n">
        <v>0.2</v>
      </c>
      <c r="D11" s="221"/>
      <c r="E11" s="221"/>
      <c r="F11" s="28" t="s">
        <v>791</v>
      </c>
      <c r="G11" s="28" t="s">
        <v>7336</v>
      </c>
      <c r="H11" s="28" t="s">
        <v>1200</v>
      </c>
      <c r="I11" s="28" t="s">
        <v>1198</v>
      </c>
      <c r="J11" s="6" t="s">
        <v>7337</v>
      </c>
      <c r="K11" s="221" t="n">
        <v>1</v>
      </c>
      <c r="L11" s="221" t="s">
        <v>6273</v>
      </c>
      <c r="M11" s="6" t="s">
        <v>7338</v>
      </c>
      <c r="N11" s="221" t="s">
        <v>6850</v>
      </c>
      <c r="O11" s="28" t="s">
        <v>6276</v>
      </c>
      <c r="P11" s="28" t="s">
        <v>604</v>
      </c>
      <c r="Q11" s="28" t="s">
        <v>7339</v>
      </c>
      <c r="R11" s="28" t="s">
        <v>604</v>
      </c>
      <c r="S11" s="28" t="s">
        <v>604</v>
      </c>
      <c r="T11" s="28" t="s">
        <v>604</v>
      </c>
      <c r="U11" s="28" t="s">
        <v>7340</v>
      </c>
      <c r="V11" s="6" t="s">
        <v>7353</v>
      </c>
      <c r="W11" s="6" t="s">
        <v>604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7354</v>
      </c>
      <c r="B12" s="6" t="s">
        <v>7355</v>
      </c>
      <c r="C12" s="223" t="n">
        <v>10</v>
      </c>
      <c r="D12" s="221"/>
      <c r="E12" s="221"/>
      <c r="F12" s="28" t="s">
        <v>791</v>
      </c>
      <c r="G12" s="28" t="s">
        <v>7336</v>
      </c>
      <c r="H12" s="28" t="s">
        <v>1200</v>
      </c>
      <c r="I12" s="28" t="s">
        <v>1198</v>
      </c>
      <c r="J12" s="6" t="s">
        <v>7337</v>
      </c>
      <c r="K12" s="221" t="n">
        <v>1</v>
      </c>
      <c r="L12" s="221" t="s">
        <v>6273</v>
      </c>
      <c r="M12" s="6" t="s">
        <v>7338</v>
      </c>
      <c r="N12" s="221" t="s">
        <v>6850</v>
      </c>
      <c r="O12" s="28" t="s">
        <v>6276</v>
      </c>
      <c r="P12" s="28" t="s">
        <v>604</v>
      </c>
      <c r="Q12" s="28" t="s">
        <v>7339</v>
      </c>
      <c r="R12" s="28" t="s">
        <v>604</v>
      </c>
      <c r="S12" s="28" t="s">
        <v>604</v>
      </c>
      <c r="T12" s="28" t="s">
        <v>604</v>
      </c>
      <c r="U12" s="28" t="s">
        <v>7340</v>
      </c>
      <c r="V12" s="6" t="s">
        <v>7356</v>
      </c>
      <c r="W12" s="6" t="s">
        <v>604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7357</v>
      </c>
      <c r="B13" s="6" t="s">
        <v>7358</v>
      </c>
      <c r="C13" s="223" t="n">
        <v>10</v>
      </c>
      <c r="D13" s="221"/>
      <c r="E13" s="221"/>
      <c r="F13" s="28" t="s">
        <v>791</v>
      </c>
      <c r="G13" s="28" t="s">
        <v>7336</v>
      </c>
      <c r="H13" s="28" t="s">
        <v>1202</v>
      </c>
      <c r="I13" s="28" t="s">
        <v>1198</v>
      </c>
      <c r="J13" s="6" t="s">
        <v>7337</v>
      </c>
      <c r="K13" s="221" t="n">
        <v>1</v>
      </c>
      <c r="L13" s="221" t="s">
        <v>6273</v>
      </c>
      <c r="M13" s="6" t="s">
        <v>7338</v>
      </c>
      <c r="N13" s="221" t="s">
        <v>6850</v>
      </c>
      <c r="O13" s="28" t="s">
        <v>6276</v>
      </c>
      <c r="P13" s="28" t="s">
        <v>604</v>
      </c>
      <c r="Q13" s="28" t="s">
        <v>7339</v>
      </c>
      <c r="R13" s="28" t="s">
        <v>604</v>
      </c>
      <c r="S13" s="28" t="s">
        <v>604</v>
      </c>
      <c r="T13" s="28" t="s">
        <v>604</v>
      </c>
      <c r="U13" s="28" t="s">
        <v>7340</v>
      </c>
      <c r="V13" s="6" t="s">
        <v>7359</v>
      </c>
      <c r="W13" s="6" t="s">
        <v>604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7360</v>
      </c>
      <c r="B14" s="6" t="s">
        <v>7361</v>
      </c>
      <c r="C14" s="223" t="n">
        <v>1</v>
      </c>
      <c r="D14" s="221"/>
      <c r="E14" s="221"/>
      <c r="F14" s="28" t="s">
        <v>791</v>
      </c>
      <c r="G14" s="28" t="s">
        <v>7336</v>
      </c>
      <c r="H14" s="28" t="s">
        <v>1202</v>
      </c>
      <c r="I14" s="28" t="s">
        <v>1198</v>
      </c>
      <c r="J14" s="6" t="s">
        <v>7337</v>
      </c>
      <c r="K14" s="221" t="n">
        <v>1</v>
      </c>
      <c r="L14" s="221" t="s">
        <v>6273</v>
      </c>
      <c r="M14" s="6" t="s">
        <v>7338</v>
      </c>
      <c r="N14" s="221" t="s">
        <v>6850</v>
      </c>
      <c r="O14" s="28" t="s">
        <v>6276</v>
      </c>
      <c r="P14" s="28" t="s">
        <v>604</v>
      </c>
      <c r="Q14" s="28" t="s">
        <v>7339</v>
      </c>
      <c r="R14" s="28" t="s">
        <v>604</v>
      </c>
      <c r="S14" s="28" t="s">
        <v>604</v>
      </c>
      <c r="T14" s="28" t="s">
        <v>604</v>
      </c>
      <c r="U14" s="28" t="s">
        <v>7340</v>
      </c>
      <c r="V14" s="6" t="s">
        <v>7362</v>
      </c>
      <c r="W14" s="6" t="s">
        <v>604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7363</v>
      </c>
      <c r="B15" s="6" t="s">
        <v>7364</v>
      </c>
      <c r="C15" s="223" t="n">
        <v>50</v>
      </c>
      <c r="D15" s="221"/>
      <c r="E15" s="221"/>
      <c r="F15" s="28" t="s">
        <v>791</v>
      </c>
      <c r="G15" s="28" t="s">
        <v>7336</v>
      </c>
      <c r="H15" s="28" t="s">
        <v>1202</v>
      </c>
      <c r="I15" s="28" t="s">
        <v>1198</v>
      </c>
      <c r="J15" s="6" t="s">
        <v>7337</v>
      </c>
      <c r="K15" s="221" t="n">
        <v>1</v>
      </c>
      <c r="L15" s="221" t="s">
        <v>6273</v>
      </c>
      <c r="M15" s="6" t="s">
        <v>7338</v>
      </c>
      <c r="N15" s="221" t="s">
        <v>6850</v>
      </c>
      <c r="O15" s="28" t="s">
        <v>6276</v>
      </c>
      <c r="P15" s="28" t="s">
        <v>604</v>
      </c>
      <c r="Q15" s="28" t="s">
        <v>7339</v>
      </c>
      <c r="R15" s="28" t="s">
        <v>604</v>
      </c>
      <c r="S15" s="28" t="s">
        <v>604</v>
      </c>
      <c r="T15" s="28" t="s">
        <v>604</v>
      </c>
      <c r="U15" s="28" t="s">
        <v>7340</v>
      </c>
      <c r="V15" s="6" t="s">
        <v>7365</v>
      </c>
      <c r="W15" s="6" t="s">
        <v>604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7366</v>
      </c>
      <c r="B16" s="6" t="s">
        <v>7367</v>
      </c>
      <c r="C16" s="223" t="n">
        <v>10</v>
      </c>
      <c r="D16" s="221"/>
      <c r="E16" s="221"/>
      <c r="F16" s="28" t="s">
        <v>791</v>
      </c>
      <c r="G16" s="28" t="s">
        <v>7336</v>
      </c>
      <c r="H16" s="28" t="s">
        <v>1205</v>
      </c>
      <c r="I16" s="28" t="s">
        <v>1207</v>
      </c>
      <c r="J16" s="6" t="s">
        <v>7368</v>
      </c>
      <c r="K16" s="221" t="n">
        <v>2</v>
      </c>
      <c r="L16" s="221" t="s">
        <v>6273</v>
      </c>
      <c r="M16" s="6" t="s">
        <v>7369</v>
      </c>
      <c r="N16" s="221" t="s">
        <v>6286</v>
      </c>
      <c r="O16" s="28" t="s">
        <v>6276</v>
      </c>
      <c r="P16" s="28" t="s">
        <v>604</v>
      </c>
      <c r="Q16" s="28" t="s">
        <v>7370</v>
      </c>
      <c r="R16" s="28" t="s">
        <v>604</v>
      </c>
      <c r="S16" s="28" t="s">
        <v>604</v>
      </c>
      <c r="T16" s="28" t="s">
        <v>604</v>
      </c>
      <c r="U16" s="28" t="s">
        <v>7371</v>
      </c>
      <c r="V16" s="6" t="s">
        <v>7372</v>
      </c>
      <c r="W16" s="6" t="s">
        <v>604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7373</v>
      </c>
      <c r="B17" s="6" t="s">
        <v>7374</v>
      </c>
      <c r="C17" s="223" t="n">
        <v>0.25</v>
      </c>
      <c r="D17" s="221"/>
      <c r="E17" s="221"/>
      <c r="F17" s="28" t="s">
        <v>791</v>
      </c>
      <c r="G17" s="28" t="s">
        <v>7336</v>
      </c>
      <c r="H17" s="28" t="s">
        <v>1205</v>
      </c>
      <c r="I17" s="28" t="s">
        <v>1207</v>
      </c>
      <c r="J17" s="6" t="s">
        <v>7368</v>
      </c>
      <c r="K17" s="221" t="n">
        <v>2</v>
      </c>
      <c r="L17" s="221" t="s">
        <v>6273</v>
      </c>
      <c r="M17" s="6" t="s">
        <v>7369</v>
      </c>
      <c r="N17" s="221" t="s">
        <v>6286</v>
      </c>
      <c r="O17" s="28" t="s">
        <v>6276</v>
      </c>
      <c r="P17" s="28" t="s">
        <v>604</v>
      </c>
      <c r="Q17" s="28" t="s">
        <v>7370</v>
      </c>
      <c r="R17" s="28" t="s">
        <v>604</v>
      </c>
      <c r="S17" s="28" t="s">
        <v>604</v>
      </c>
      <c r="T17" s="28" t="s">
        <v>604</v>
      </c>
      <c r="U17" s="28" t="s">
        <v>7371</v>
      </c>
      <c r="V17" s="6" t="s">
        <v>7375</v>
      </c>
      <c r="W17" s="19" t="s">
        <v>7376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7377</v>
      </c>
      <c r="B18" s="6" t="s">
        <v>7378</v>
      </c>
      <c r="C18" s="223" t="n">
        <v>50</v>
      </c>
      <c r="D18" s="221"/>
      <c r="E18" s="221"/>
      <c r="F18" s="28" t="s">
        <v>791</v>
      </c>
      <c r="G18" s="28" t="s">
        <v>7336</v>
      </c>
      <c r="H18" s="28" t="s">
        <v>1205</v>
      </c>
      <c r="I18" s="28" t="s">
        <v>1207</v>
      </c>
      <c r="J18" s="6" t="s">
        <v>7368</v>
      </c>
      <c r="K18" s="221" t="n">
        <v>2</v>
      </c>
      <c r="L18" s="221" t="s">
        <v>6273</v>
      </c>
      <c r="M18" s="6" t="s">
        <v>7369</v>
      </c>
      <c r="N18" s="221" t="s">
        <v>6286</v>
      </c>
      <c r="O18" s="28" t="s">
        <v>6276</v>
      </c>
      <c r="P18" s="28" t="s">
        <v>604</v>
      </c>
      <c r="Q18" s="28" t="s">
        <v>7370</v>
      </c>
      <c r="R18" s="28" t="s">
        <v>604</v>
      </c>
      <c r="S18" s="28" t="s">
        <v>604</v>
      </c>
      <c r="T18" s="28" t="s">
        <v>604</v>
      </c>
      <c r="U18" s="28" t="s">
        <v>7371</v>
      </c>
      <c r="V18" s="6" t="s">
        <v>7379</v>
      </c>
      <c r="W18" s="6" t="s">
        <v>604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7380</v>
      </c>
      <c r="B19" s="6" t="s">
        <v>7381</v>
      </c>
      <c r="C19" s="223" t="n">
        <v>5</v>
      </c>
      <c r="D19" s="221"/>
      <c r="E19" s="221"/>
      <c r="F19" s="28" t="s">
        <v>791</v>
      </c>
      <c r="G19" s="28" t="s">
        <v>7336</v>
      </c>
      <c r="H19" s="28" t="s">
        <v>1209</v>
      </c>
      <c r="I19" s="28" t="s">
        <v>7382</v>
      </c>
      <c r="J19" s="6" t="s">
        <v>7368</v>
      </c>
      <c r="K19" s="221" t="n">
        <v>2</v>
      </c>
      <c r="L19" s="221" t="s">
        <v>6273</v>
      </c>
      <c r="M19" s="6" t="s">
        <v>7369</v>
      </c>
      <c r="N19" s="221" t="s">
        <v>6286</v>
      </c>
      <c r="O19" s="28" t="s">
        <v>6276</v>
      </c>
      <c r="P19" s="28" t="s">
        <v>604</v>
      </c>
      <c r="Q19" s="28" t="s">
        <v>7370</v>
      </c>
      <c r="R19" s="28" t="s">
        <v>604</v>
      </c>
      <c r="S19" s="28" t="s">
        <v>604</v>
      </c>
      <c r="T19" s="28" t="s">
        <v>604</v>
      </c>
      <c r="U19" s="28" t="s">
        <v>7371</v>
      </c>
      <c r="V19" s="6" t="s">
        <v>7383</v>
      </c>
      <c r="W19" s="19" t="s">
        <v>7384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7385</v>
      </c>
      <c r="B20" s="6" t="s">
        <v>7386</v>
      </c>
      <c r="C20" s="223" t="n">
        <v>25</v>
      </c>
      <c r="D20" s="221"/>
      <c r="E20" s="221"/>
      <c r="F20" s="28" t="s">
        <v>791</v>
      </c>
      <c r="G20" s="28" t="s">
        <v>7336</v>
      </c>
      <c r="H20" s="28" t="s">
        <v>1209</v>
      </c>
      <c r="I20" s="28" t="s">
        <v>7382</v>
      </c>
      <c r="J20" s="6" t="s">
        <v>7368</v>
      </c>
      <c r="K20" s="221" t="n">
        <v>2</v>
      </c>
      <c r="L20" s="221" t="s">
        <v>6273</v>
      </c>
      <c r="M20" s="6" t="s">
        <v>7369</v>
      </c>
      <c r="N20" s="221" t="s">
        <v>6286</v>
      </c>
      <c r="O20" s="28" t="s">
        <v>6276</v>
      </c>
      <c r="P20" s="28" t="s">
        <v>604</v>
      </c>
      <c r="Q20" s="28" t="s">
        <v>7370</v>
      </c>
      <c r="R20" s="28" t="s">
        <v>604</v>
      </c>
      <c r="S20" s="28" t="s">
        <v>604</v>
      </c>
      <c r="T20" s="28" t="s">
        <v>604</v>
      </c>
      <c r="U20" s="28" t="s">
        <v>7371</v>
      </c>
      <c r="V20" s="6" t="s">
        <v>7387</v>
      </c>
      <c r="W20" s="6" t="s">
        <v>604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7388</v>
      </c>
      <c r="B21" s="6" t="s">
        <v>7389</v>
      </c>
      <c r="C21" s="223" t="n">
        <v>4</v>
      </c>
      <c r="D21" s="221"/>
      <c r="E21" s="221"/>
      <c r="F21" s="28" t="s">
        <v>791</v>
      </c>
      <c r="G21" s="28" t="s">
        <v>7336</v>
      </c>
      <c r="H21" s="28" t="s">
        <v>1212</v>
      </c>
      <c r="I21" s="28" t="s">
        <v>1214</v>
      </c>
      <c r="J21" s="6" t="s">
        <v>7368</v>
      </c>
      <c r="K21" s="221" t="n">
        <v>2</v>
      </c>
      <c r="L21" s="221" t="s">
        <v>6273</v>
      </c>
      <c r="M21" s="6" t="s">
        <v>7369</v>
      </c>
      <c r="N21" s="221" t="s">
        <v>6286</v>
      </c>
      <c r="O21" s="28" t="s">
        <v>6276</v>
      </c>
      <c r="P21" s="28" t="s">
        <v>604</v>
      </c>
      <c r="Q21" s="28" t="s">
        <v>7370</v>
      </c>
      <c r="R21" s="28" t="s">
        <v>604</v>
      </c>
      <c r="S21" s="28" t="s">
        <v>604</v>
      </c>
      <c r="T21" s="28" t="s">
        <v>604</v>
      </c>
      <c r="U21" s="28" t="s">
        <v>7371</v>
      </c>
      <c r="V21" s="6" t="s">
        <v>7390</v>
      </c>
      <c r="W21" s="19" t="s">
        <v>7391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7392</v>
      </c>
      <c r="B22" s="6" t="s">
        <v>7393</v>
      </c>
      <c r="C22" s="223" t="n">
        <v>20</v>
      </c>
      <c r="D22" s="221"/>
      <c r="E22" s="221"/>
      <c r="F22" s="28" t="s">
        <v>791</v>
      </c>
      <c r="G22" s="28" t="s">
        <v>7336</v>
      </c>
      <c r="H22" s="28" t="s">
        <v>1212</v>
      </c>
      <c r="I22" s="28" t="s">
        <v>1214</v>
      </c>
      <c r="J22" s="6" t="s">
        <v>7368</v>
      </c>
      <c r="K22" s="221" t="n">
        <v>2</v>
      </c>
      <c r="L22" s="221" t="s">
        <v>6273</v>
      </c>
      <c r="M22" s="6" t="s">
        <v>7369</v>
      </c>
      <c r="N22" s="221" t="s">
        <v>6286</v>
      </c>
      <c r="O22" s="28" t="s">
        <v>6276</v>
      </c>
      <c r="P22" s="28" t="s">
        <v>604</v>
      </c>
      <c r="Q22" s="28" t="s">
        <v>7370</v>
      </c>
      <c r="R22" s="28" t="s">
        <v>604</v>
      </c>
      <c r="S22" s="28" t="s">
        <v>604</v>
      </c>
      <c r="T22" s="28" t="s">
        <v>604</v>
      </c>
      <c r="U22" s="28" t="s">
        <v>7371</v>
      </c>
      <c r="V22" s="6" t="s">
        <v>7394</v>
      </c>
      <c r="W22" s="6" t="s">
        <v>604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7395</v>
      </c>
      <c r="B23" s="6" t="s">
        <v>7396</v>
      </c>
      <c r="C23" s="223" t="n">
        <v>1.25</v>
      </c>
      <c r="D23" s="221"/>
      <c r="E23" s="221"/>
      <c r="F23" s="28" t="s">
        <v>7397</v>
      </c>
      <c r="G23" s="28" t="s">
        <v>604</v>
      </c>
      <c r="H23" s="28" t="s">
        <v>1206</v>
      </c>
      <c r="I23" s="28" t="s">
        <v>7382</v>
      </c>
      <c r="J23" s="6" t="s">
        <v>7368</v>
      </c>
      <c r="K23" s="221" t="n">
        <v>2</v>
      </c>
      <c r="L23" s="221" t="s">
        <v>6273</v>
      </c>
      <c r="M23" s="6" t="s">
        <v>7369</v>
      </c>
      <c r="N23" s="221" t="s">
        <v>6286</v>
      </c>
      <c r="O23" s="28" t="s">
        <v>6276</v>
      </c>
      <c r="P23" s="28" t="s">
        <v>604</v>
      </c>
      <c r="Q23" s="28" t="s">
        <v>7370</v>
      </c>
      <c r="R23" s="28" t="s">
        <v>604</v>
      </c>
      <c r="S23" s="28" t="s">
        <v>604</v>
      </c>
      <c r="T23" s="28" t="s">
        <v>604</v>
      </c>
      <c r="U23" s="28" t="s">
        <v>7371</v>
      </c>
      <c r="V23" s="6" t="s">
        <v>604</v>
      </c>
      <c r="W23" s="6" t="s">
        <v>604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7398</v>
      </c>
      <c r="B24" s="6" t="s">
        <v>7399</v>
      </c>
      <c r="C24" s="223" t="n">
        <v>2</v>
      </c>
      <c r="D24" s="221"/>
      <c r="E24" s="221"/>
      <c r="F24" s="28" t="s">
        <v>7397</v>
      </c>
      <c r="G24" s="28" t="s">
        <v>604</v>
      </c>
      <c r="H24" s="28" t="s">
        <v>1206</v>
      </c>
      <c r="I24" s="28" t="s">
        <v>7382</v>
      </c>
      <c r="J24" s="6" t="s">
        <v>7368</v>
      </c>
      <c r="K24" s="221" t="n">
        <v>2</v>
      </c>
      <c r="L24" s="221" t="s">
        <v>6273</v>
      </c>
      <c r="M24" s="6" t="s">
        <v>7369</v>
      </c>
      <c r="N24" s="221" t="s">
        <v>6286</v>
      </c>
      <c r="O24" s="28" t="s">
        <v>6276</v>
      </c>
      <c r="P24" s="28" t="s">
        <v>604</v>
      </c>
      <c r="Q24" s="28" t="s">
        <v>7370</v>
      </c>
      <c r="R24" s="28" t="s">
        <v>604</v>
      </c>
      <c r="S24" s="28" t="s">
        <v>604</v>
      </c>
      <c r="T24" s="28" t="s">
        <v>604</v>
      </c>
      <c r="U24" s="28" t="s">
        <v>7371</v>
      </c>
      <c r="V24" s="6" t="s">
        <v>604</v>
      </c>
      <c r="W24" s="6" t="s">
        <v>604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7400</v>
      </c>
      <c r="B25" s="6" t="s">
        <v>7401</v>
      </c>
      <c r="C25" s="223" t="n">
        <v>0.3</v>
      </c>
      <c r="D25" s="221"/>
      <c r="E25" s="221"/>
      <c r="F25" s="28" t="s">
        <v>791</v>
      </c>
      <c r="G25" s="221" t="s">
        <v>7402</v>
      </c>
      <c r="H25" s="28" t="s">
        <v>1216</v>
      </c>
      <c r="I25" s="28" t="s">
        <v>1219</v>
      </c>
      <c r="J25" s="6" t="s">
        <v>7403</v>
      </c>
      <c r="K25" s="221" t="n">
        <v>1</v>
      </c>
      <c r="L25" s="221" t="s">
        <v>6273</v>
      </c>
      <c r="M25" s="6" t="s">
        <v>7404</v>
      </c>
      <c r="N25" s="221" t="s">
        <v>6850</v>
      </c>
      <c r="O25" s="28" t="s">
        <v>6276</v>
      </c>
      <c r="P25" s="28" t="s">
        <v>604</v>
      </c>
      <c r="Q25" s="28" t="s">
        <v>7405</v>
      </c>
      <c r="R25" s="28" t="s">
        <v>604</v>
      </c>
      <c r="S25" s="28" t="s">
        <v>604</v>
      </c>
      <c r="T25" s="28" t="s">
        <v>604</v>
      </c>
      <c r="U25" s="28" t="s">
        <v>3488</v>
      </c>
      <c r="V25" s="6" t="s">
        <v>7406</v>
      </c>
      <c r="W25" s="6" t="s">
        <v>604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7407</v>
      </c>
      <c r="B26" s="6" t="s">
        <v>7408</v>
      </c>
      <c r="C26" s="223" t="n">
        <v>0.006</v>
      </c>
      <c r="D26" s="221"/>
      <c r="E26" s="221"/>
      <c r="F26" s="28" t="s">
        <v>791</v>
      </c>
      <c r="G26" s="221" t="s">
        <v>7409</v>
      </c>
      <c r="H26" s="28" t="s">
        <v>1216</v>
      </c>
      <c r="I26" s="28" t="s">
        <v>1219</v>
      </c>
      <c r="J26" s="6" t="s">
        <v>7403</v>
      </c>
      <c r="K26" s="221" t="n">
        <v>1</v>
      </c>
      <c r="L26" s="221" t="s">
        <v>6273</v>
      </c>
      <c r="M26" s="6" t="s">
        <v>7404</v>
      </c>
      <c r="N26" s="221" t="s">
        <v>6850</v>
      </c>
      <c r="O26" s="28" t="s">
        <v>6276</v>
      </c>
      <c r="P26" s="28" t="s">
        <v>604</v>
      </c>
      <c r="Q26" s="28" t="s">
        <v>7405</v>
      </c>
      <c r="R26" s="28" t="s">
        <v>604</v>
      </c>
      <c r="S26" s="28" t="s">
        <v>604</v>
      </c>
      <c r="T26" s="28" t="s">
        <v>604</v>
      </c>
      <c r="U26" s="28" t="s">
        <v>3488</v>
      </c>
      <c r="V26" s="6" t="s">
        <v>7410</v>
      </c>
      <c r="W26" s="6" t="s">
        <v>604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7411</v>
      </c>
      <c r="B27" s="6" t="s">
        <v>7412</v>
      </c>
      <c r="C27" s="223" t="n">
        <v>1.2</v>
      </c>
      <c r="D27" s="221"/>
      <c r="E27" s="221"/>
      <c r="F27" s="28" t="s">
        <v>791</v>
      </c>
      <c r="G27" s="221" t="s">
        <v>7409</v>
      </c>
      <c r="H27" s="28" t="s">
        <v>1216</v>
      </c>
      <c r="I27" s="28" t="s">
        <v>1219</v>
      </c>
      <c r="J27" s="6" t="s">
        <v>7403</v>
      </c>
      <c r="K27" s="221" t="n">
        <v>1</v>
      </c>
      <c r="L27" s="221" t="s">
        <v>6273</v>
      </c>
      <c r="M27" s="6" t="s">
        <v>7404</v>
      </c>
      <c r="N27" s="221" t="s">
        <v>6850</v>
      </c>
      <c r="O27" s="28" t="s">
        <v>6276</v>
      </c>
      <c r="P27" s="28" t="s">
        <v>604</v>
      </c>
      <c r="Q27" s="28" t="s">
        <v>7405</v>
      </c>
      <c r="R27" s="28" t="s">
        <v>604</v>
      </c>
      <c r="S27" s="28" t="s">
        <v>604</v>
      </c>
      <c r="T27" s="28" t="s">
        <v>604</v>
      </c>
      <c r="U27" s="28" t="s">
        <v>3488</v>
      </c>
      <c r="V27" s="6" t="s">
        <v>7413</v>
      </c>
      <c r="W27" s="6" t="s">
        <v>604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7414</v>
      </c>
      <c r="B28" s="6" t="s">
        <v>7415</v>
      </c>
      <c r="C28" s="223" t="n">
        <v>1.32</v>
      </c>
      <c r="D28" s="221"/>
      <c r="E28" s="221"/>
      <c r="F28" s="28" t="s">
        <v>791</v>
      </c>
      <c r="G28" s="221" t="s">
        <v>7409</v>
      </c>
      <c r="H28" s="28" t="s">
        <v>1221</v>
      </c>
      <c r="I28" s="28" t="s">
        <v>1219</v>
      </c>
      <c r="J28" s="6" t="s">
        <v>7403</v>
      </c>
      <c r="K28" s="221" t="n">
        <v>1</v>
      </c>
      <c r="L28" s="221" t="s">
        <v>6273</v>
      </c>
      <c r="M28" s="6" t="s">
        <v>7404</v>
      </c>
      <c r="N28" s="221" t="s">
        <v>6850</v>
      </c>
      <c r="O28" s="28" t="s">
        <v>6276</v>
      </c>
      <c r="P28" s="28" t="s">
        <v>604</v>
      </c>
      <c r="Q28" s="28" t="s">
        <v>7405</v>
      </c>
      <c r="R28" s="28" t="s">
        <v>604</v>
      </c>
      <c r="S28" s="28" t="s">
        <v>604</v>
      </c>
      <c r="T28" s="28" t="s">
        <v>604</v>
      </c>
      <c r="U28" s="28" t="s">
        <v>3488</v>
      </c>
      <c r="V28" s="6" t="s">
        <v>7416</v>
      </c>
      <c r="W28" s="6" t="s">
        <v>604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7417</v>
      </c>
      <c r="B29" s="6" t="s">
        <v>7418</v>
      </c>
      <c r="C29" s="223" t="n">
        <v>0.044</v>
      </c>
      <c r="D29" s="221"/>
      <c r="E29" s="221"/>
      <c r="F29" s="28" t="s">
        <v>791</v>
      </c>
      <c r="G29" s="221" t="s">
        <v>7409</v>
      </c>
      <c r="H29" s="28" t="s">
        <v>1221</v>
      </c>
      <c r="I29" s="28" t="s">
        <v>1219</v>
      </c>
      <c r="J29" s="6" t="s">
        <v>7403</v>
      </c>
      <c r="K29" s="221" t="n">
        <v>1</v>
      </c>
      <c r="L29" s="221" t="s">
        <v>6273</v>
      </c>
      <c r="M29" s="6" t="s">
        <v>7404</v>
      </c>
      <c r="N29" s="221" t="s">
        <v>6850</v>
      </c>
      <c r="O29" s="28" t="s">
        <v>6276</v>
      </c>
      <c r="P29" s="28" t="s">
        <v>604</v>
      </c>
      <c r="Q29" s="28" t="s">
        <v>7405</v>
      </c>
      <c r="R29" s="28" t="s">
        <v>604</v>
      </c>
      <c r="S29" s="28" t="s">
        <v>604</v>
      </c>
      <c r="T29" s="28" t="s">
        <v>604</v>
      </c>
      <c r="U29" s="28" t="s">
        <v>3488</v>
      </c>
      <c r="V29" s="6" t="s">
        <v>7419</v>
      </c>
      <c r="W29" s="6" t="s">
        <v>604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7420</v>
      </c>
      <c r="B30" s="6" t="s">
        <v>7421</v>
      </c>
      <c r="C30" s="223" t="n">
        <v>3.96</v>
      </c>
      <c r="D30" s="221"/>
      <c r="E30" s="221"/>
      <c r="F30" s="28" t="s">
        <v>791</v>
      </c>
      <c r="G30" s="221" t="s">
        <v>7409</v>
      </c>
      <c r="H30" s="28" t="s">
        <v>1221</v>
      </c>
      <c r="I30" s="28" t="s">
        <v>1219</v>
      </c>
      <c r="J30" s="6" t="s">
        <v>7403</v>
      </c>
      <c r="K30" s="221" t="n">
        <v>1</v>
      </c>
      <c r="L30" s="221" t="s">
        <v>6273</v>
      </c>
      <c r="M30" s="6" t="s">
        <v>7404</v>
      </c>
      <c r="N30" s="221" t="s">
        <v>6850</v>
      </c>
      <c r="O30" s="28" t="s">
        <v>6276</v>
      </c>
      <c r="P30" s="28" t="s">
        <v>604</v>
      </c>
      <c r="Q30" s="28" t="s">
        <v>7405</v>
      </c>
      <c r="R30" s="28" t="s">
        <v>604</v>
      </c>
      <c r="S30" s="28" t="s">
        <v>604</v>
      </c>
      <c r="T30" s="28" t="s">
        <v>604</v>
      </c>
      <c r="U30" s="28" t="s">
        <v>3488</v>
      </c>
      <c r="V30" s="6" t="s">
        <v>7422</v>
      </c>
      <c r="W30" s="6" t="s">
        <v>604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4897</v>
      </c>
      <c r="B31" s="6" t="s">
        <v>7423</v>
      </c>
      <c r="C31" s="223" t="n">
        <v>0.5</v>
      </c>
      <c r="D31" s="221"/>
      <c r="E31" s="221"/>
      <c r="F31" s="28" t="s">
        <v>93</v>
      </c>
      <c r="G31" s="28" t="s">
        <v>604</v>
      </c>
      <c r="H31" s="28" t="s">
        <v>1217</v>
      </c>
      <c r="I31" s="28" t="s">
        <v>1219</v>
      </c>
      <c r="J31" s="6" t="s">
        <v>7403</v>
      </c>
      <c r="K31" s="221" t="n">
        <v>1</v>
      </c>
      <c r="L31" s="221" t="s">
        <v>6273</v>
      </c>
      <c r="M31" s="6" t="s">
        <v>7404</v>
      </c>
      <c r="N31" s="221" t="s">
        <v>6850</v>
      </c>
      <c r="O31" s="28" t="s">
        <v>6276</v>
      </c>
      <c r="P31" s="28" t="s">
        <v>604</v>
      </c>
      <c r="Q31" s="28" t="s">
        <v>7405</v>
      </c>
      <c r="R31" s="28" t="s">
        <v>604</v>
      </c>
      <c r="S31" s="28" t="s">
        <v>604</v>
      </c>
      <c r="T31" s="28" t="s">
        <v>604</v>
      </c>
      <c r="U31" s="28" t="s">
        <v>3488</v>
      </c>
      <c r="V31" s="6" t="s">
        <v>7424</v>
      </c>
      <c r="W31" s="6" t="s">
        <v>604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7425</v>
      </c>
      <c r="B32" s="6" t="s">
        <v>7426</v>
      </c>
      <c r="C32" s="223" t="n">
        <v>35</v>
      </c>
      <c r="D32" s="221"/>
      <c r="E32" s="221"/>
      <c r="F32" s="28" t="s">
        <v>7427</v>
      </c>
      <c r="G32" s="221" t="s">
        <v>7428</v>
      </c>
      <c r="H32" s="28" t="s">
        <v>1217</v>
      </c>
      <c r="I32" s="28" t="s">
        <v>1219</v>
      </c>
      <c r="J32" s="6" t="s">
        <v>7403</v>
      </c>
      <c r="K32" s="221" t="n">
        <v>1</v>
      </c>
      <c r="L32" s="221" t="s">
        <v>6273</v>
      </c>
      <c r="M32" s="6" t="s">
        <v>7404</v>
      </c>
      <c r="N32" s="221" t="s">
        <v>6850</v>
      </c>
      <c r="O32" s="28" t="s">
        <v>6276</v>
      </c>
      <c r="P32" s="28" t="s">
        <v>604</v>
      </c>
      <c r="Q32" s="28" t="s">
        <v>7405</v>
      </c>
      <c r="R32" s="28" t="s">
        <v>604</v>
      </c>
      <c r="S32" s="28" t="s">
        <v>604</v>
      </c>
      <c r="T32" s="28" t="s">
        <v>604</v>
      </c>
      <c r="U32" s="28" t="s">
        <v>3488</v>
      </c>
      <c r="V32" s="6" t="s">
        <v>7429</v>
      </c>
      <c r="W32" s="19" t="s">
        <v>7430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7431</v>
      </c>
      <c r="B33" s="6" t="s">
        <v>7432</v>
      </c>
      <c r="C33" s="223" t="n">
        <v>1.4</v>
      </c>
      <c r="D33" s="221"/>
      <c r="E33" s="221"/>
      <c r="F33" s="28" t="s">
        <v>791</v>
      </c>
      <c r="G33" s="28" t="s">
        <v>604</v>
      </c>
      <c r="H33" s="28" t="s">
        <v>1223</v>
      </c>
      <c r="I33" s="28" t="s">
        <v>1219</v>
      </c>
      <c r="J33" s="6" t="s">
        <v>7433</v>
      </c>
      <c r="K33" s="221" t="n">
        <v>1</v>
      </c>
      <c r="L33" s="221" t="s">
        <v>6273</v>
      </c>
      <c r="M33" s="6" t="s">
        <v>7434</v>
      </c>
      <c r="N33" s="221" t="s">
        <v>6850</v>
      </c>
      <c r="O33" s="28" t="s">
        <v>6276</v>
      </c>
      <c r="P33" s="28" t="s">
        <v>604</v>
      </c>
      <c r="Q33" s="28" t="s">
        <v>7435</v>
      </c>
      <c r="R33" s="28" t="s">
        <v>604</v>
      </c>
      <c r="S33" s="28" t="s">
        <v>604</v>
      </c>
      <c r="T33" s="28" t="s">
        <v>604</v>
      </c>
      <c r="U33" s="28" t="s">
        <v>7436</v>
      </c>
      <c r="V33" s="6" t="s">
        <v>7437</v>
      </c>
      <c r="W33" s="6" t="s">
        <v>604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7438</v>
      </c>
      <c r="B34" s="6" t="s">
        <v>7439</v>
      </c>
      <c r="C34" s="223" t="n">
        <v>0.26</v>
      </c>
      <c r="D34" s="221"/>
      <c r="E34" s="221"/>
      <c r="F34" s="28" t="s">
        <v>791</v>
      </c>
      <c r="G34" s="28" t="s">
        <v>604</v>
      </c>
      <c r="H34" s="28" t="s">
        <v>1223</v>
      </c>
      <c r="I34" s="28" t="s">
        <v>1219</v>
      </c>
      <c r="J34" s="6" t="s">
        <v>7433</v>
      </c>
      <c r="K34" s="221" t="n">
        <v>1</v>
      </c>
      <c r="L34" s="221" t="s">
        <v>6273</v>
      </c>
      <c r="M34" s="6" t="s">
        <v>7434</v>
      </c>
      <c r="N34" s="221" t="s">
        <v>6850</v>
      </c>
      <c r="O34" s="28" t="s">
        <v>6276</v>
      </c>
      <c r="P34" s="28" t="s">
        <v>604</v>
      </c>
      <c r="Q34" s="28" t="s">
        <v>7435</v>
      </c>
      <c r="R34" s="28" t="s">
        <v>604</v>
      </c>
      <c r="S34" s="28" t="s">
        <v>604</v>
      </c>
      <c r="T34" s="28" t="s">
        <v>604</v>
      </c>
      <c r="U34" s="28" t="s">
        <v>7436</v>
      </c>
      <c r="V34" s="6" t="s">
        <v>7440</v>
      </c>
      <c r="W34" s="6" t="s">
        <v>604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7441</v>
      </c>
      <c r="B35" s="6" t="s">
        <v>7442</v>
      </c>
      <c r="C35" s="223" t="n">
        <v>4.4</v>
      </c>
      <c r="D35" s="221"/>
      <c r="E35" s="221"/>
      <c r="F35" s="28" t="s">
        <v>791</v>
      </c>
      <c r="G35" s="28" t="s">
        <v>604</v>
      </c>
      <c r="H35" s="28" t="s">
        <v>1223</v>
      </c>
      <c r="I35" s="28" t="s">
        <v>1219</v>
      </c>
      <c r="J35" s="6" t="s">
        <v>7433</v>
      </c>
      <c r="K35" s="221" t="n">
        <v>1</v>
      </c>
      <c r="L35" s="221" t="s">
        <v>6273</v>
      </c>
      <c r="M35" s="6" t="s">
        <v>7434</v>
      </c>
      <c r="N35" s="221" t="s">
        <v>6850</v>
      </c>
      <c r="O35" s="28" t="s">
        <v>6276</v>
      </c>
      <c r="P35" s="28" t="s">
        <v>604</v>
      </c>
      <c r="Q35" s="28" t="s">
        <v>7435</v>
      </c>
      <c r="R35" s="28" t="s">
        <v>604</v>
      </c>
      <c r="S35" s="28" t="s">
        <v>604</v>
      </c>
      <c r="T35" s="28" t="s">
        <v>604</v>
      </c>
      <c r="U35" s="28" t="s">
        <v>7436</v>
      </c>
      <c r="V35" s="6" t="s">
        <v>7443</v>
      </c>
      <c r="W35" s="6" t="s">
        <v>604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7444</v>
      </c>
      <c r="B36" s="6" t="s">
        <v>7445</v>
      </c>
      <c r="C36" s="223" t="n">
        <v>0.15</v>
      </c>
      <c r="D36" s="221"/>
      <c r="E36" s="221"/>
      <c r="F36" s="28" t="s">
        <v>791</v>
      </c>
      <c r="G36" s="28" t="s">
        <v>604</v>
      </c>
      <c r="H36" s="28" t="s">
        <v>1227</v>
      </c>
      <c r="I36" s="28" t="s">
        <v>1219</v>
      </c>
      <c r="J36" s="6" t="s">
        <v>7433</v>
      </c>
      <c r="K36" s="221" t="n">
        <v>1</v>
      </c>
      <c r="L36" s="221" t="s">
        <v>6273</v>
      </c>
      <c r="M36" s="6" t="s">
        <v>7434</v>
      </c>
      <c r="N36" s="221" t="s">
        <v>6850</v>
      </c>
      <c r="O36" s="28" t="s">
        <v>6276</v>
      </c>
      <c r="P36" s="28" t="s">
        <v>604</v>
      </c>
      <c r="Q36" s="28" t="s">
        <v>7435</v>
      </c>
      <c r="R36" s="28" t="s">
        <v>604</v>
      </c>
      <c r="S36" s="28" t="s">
        <v>604</v>
      </c>
      <c r="T36" s="28" t="s">
        <v>604</v>
      </c>
      <c r="U36" s="28" t="s">
        <v>7436</v>
      </c>
      <c r="V36" s="6" t="s">
        <v>7446</v>
      </c>
      <c r="W36" s="6" t="s">
        <v>604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7447</v>
      </c>
      <c r="B37" s="6" t="s">
        <v>7448</v>
      </c>
      <c r="C37" s="223" t="n">
        <v>0.03</v>
      </c>
      <c r="D37" s="221"/>
      <c r="E37" s="221"/>
      <c r="F37" s="28" t="s">
        <v>791</v>
      </c>
      <c r="G37" s="28" t="s">
        <v>604</v>
      </c>
      <c r="H37" s="28" t="s">
        <v>1227</v>
      </c>
      <c r="I37" s="28" t="s">
        <v>1219</v>
      </c>
      <c r="J37" s="6" t="s">
        <v>7433</v>
      </c>
      <c r="K37" s="221" t="n">
        <v>1</v>
      </c>
      <c r="L37" s="221" t="s">
        <v>6273</v>
      </c>
      <c r="M37" s="6" t="s">
        <v>7434</v>
      </c>
      <c r="N37" s="221" t="s">
        <v>6850</v>
      </c>
      <c r="O37" s="28" t="s">
        <v>6276</v>
      </c>
      <c r="P37" s="28" t="s">
        <v>604</v>
      </c>
      <c r="Q37" s="28" t="s">
        <v>7435</v>
      </c>
      <c r="R37" s="28" t="s">
        <v>604</v>
      </c>
      <c r="S37" s="28" t="s">
        <v>604</v>
      </c>
      <c r="T37" s="28" t="s">
        <v>604</v>
      </c>
      <c r="U37" s="28" t="s">
        <v>7436</v>
      </c>
      <c r="V37" s="6" t="s">
        <v>7449</v>
      </c>
      <c r="W37" s="6" t="s">
        <v>604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7450</v>
      </c>
      <c r="B38" s="6" t="s">
        <v>7451</v>
      </c>
      <c r="C38" s="223" t="n">
        <v>0.5</v>
      </c>
      <c r="D38" s="221"/>
      <c r="E38" s="221"/>
      <c r="F38" s="28" t="s">
        <v>791</v>
      </c>
      <c r="G38" s="28" t="s">
        <v>604</v>
      </c>
      <c r="H38" s="28" t="s">
        <v>1227</v>
      </c>
      <c r="I38" s="28" t="s">
        <v>1219</v>
      </c>
      <c r="J38" s="6" t="s">
        <v>7433</v>
      </c>
      <c r="K38" s="221" t="n">
        <v>1</v>
      </c>
      <c r="L38" s="221" t="s">
        <v>6273</v>
      </c>
      <c r="M38" s="6" t="s">
        <v>7434</v>
      </c>
      <c r="N38" s="221" t="s">
        <v>6850</v>
      </c>
      <c r="O38" s="28" t="s">
        <v>6276</v>
      </c>
      <c r="P38" s="28" t="s">
        <v>604</v>
      </c>
      <c r="Q38" s="28" t="s">
        <v>7435</v>
      </c>
      <c r="R38" s="28" t="s">
        <v>604</v>
      </c>
      <c r="S38" s="28" t="s">
        <v>604</v>
      </c>
      <c r="T38" s="28" t="s">
        <v>604</v>
      </c>
      <c r="U38" s="28" t="s">
        <v>7436</v>
      </c>
      <c r="V38" s="6" t="s">
        <v>7452</v>
      </c>
      <c r="W38" s="6" t="s">
        <v>604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7453</v>
      </c>
      <c r="B39" s="6" t="s">
        <v>7454</v>
      </c>
      <c r="C39" s="223" t="n">
        <v>3</v>
      </c>
      <c r="D39" s="221"/>
      <c r="E39" s="221"/>
      <c r="F39" s="28" t="s">
        <v>791</v>
      </c>
      <c r="G39" s="28" t="s">
        <v>604</v>
      </c>
      <c r="H39" s="28" t="s">
        <v>1233</v>
      </c>
      <c r="I39" s="28" t="s">
        <v>7382</v>
      </c>
      <c r="J39" s="6" t="s">
        <v>7455</v>
      </c>
      <c r="K39" s="221" t="n">
        <v>2</v>
      </c>
      <c r="L39" s="221" t="s">
        <v>6273</v>
      </c>
      <c r="M39" s="6" t="s">
        <v>7456</v>
      </c>
      <c r="N39" s="221" t="s">
        <v>6286</v>
      </c>
      <c r="O39" s="28" t="s">
        <v>6276</v>
      </c>
      <c r="P39" s="28" t="s">
        <v>604</v>
      </c>
      <c r="Q39" s="28" t="s">
        <v>7457</v>
      </c>
      <c r="R39" s="28" t="s">
        <v>604</v>
      </c>
      <c r="S39" s="28" t="s">
        <v>604</v>
      </c>
      <c r="T39" s="28" t="s">
        <v>604</v>
      </c>
      <c r="U39" s="28" t="s">
        <v>7458</v>
      </c>
      <c r="V39" s="6" t="s">
        <v>7459</v>
      </c>
      <c r="W39" s="6" t="s">
        <v>604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7460</v>
      </c>
      <c r="B40" s="6" t="s">
        <v>7461</v>
      </c>
      <c r="C40" s="223" t="n">
        <v>0.3</v>
      </c>
      <c r="D40" s="221"/>
      <c r="E40" s="221"/>
      <c r="F40" s="28" t="s">
        <v>791</v>
      </c>
      <c r="G40" s="28" t="s">
        <v>604</v>
      </c>
      <c r="H40" s="28" t="s">
        <v>1233</v>
      </c>
      <c r="I40" s="28" t="s">
        <v>7382</v>
      </c>
      <c r="J40" s="6" t="s">
        <v>7455</v>
      </c>
      <c r="K40" s="221" t="n">
        <v>2</v>
      </c>
      <c r="L40" s="221" t="s">
        <v>6273</v>
      </c>
      <c r="M40" s="6" t="s">
        <v>7456</v>
      </c>
      <c r="N40" s="221" t="s">
        <v>6286</v>
      </c>
      <c r="O40" s="28" t="s">
        <v>6276</v>
      </c>
      <c r="P40" s="28" t="s">
        <v>604</v>
      </c>
      <c r="Q40" s="28" t="s">
        <v>7457</v>
      </c>
      <c r="R40" s="28" t="s">
        <v>604</v>
      </c>
      <c r="S40" s="28" t="s">
        <v>604</v>
      </c>
      <c r="T40" s="28" t="s">
        <v>604</v>
      </c>
      <c r="U40" s="28" t="s">
        <v>7458</v>
      </c>
      <c r="V40" s="6" t="s">
        <v>7462</v>
      </c>
      <c r="W40" s="6" t="s">
        <v>604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7463</v>
      </c>
      <c r="B41" s="6" t="s">
        <v>7464</v>
      </c>
      <c r="C41" s="223" t="n">
        <v>15</v>
      </c>
      <c r="D41" s="221"/>
      <c r="E41" s="221"/>
      <c r="F41" s="28" t="s">
        <v>791</v>
      </c>
      <c r="G41" s="28" t="s">
        <v>604</v>
      </c>
      <c r="H41" s="28" t="s">
        <v>1233</v>
      </c>
      <c r="I41" s="28" t="s">
        <v>7382</v>
      </c>
      <c r="J41" s="6" t="s">
        <v>7455</v>
      </c>
      <c r="K41" s="221" t="n">
        <v>2</v>
      </c>
      <c r="L41" s="221" t="s">
        <v>6273</v>
      </c>
      <c r="M41" s="6" t="s">
        <v>7456</v>
      </c>
      <c r="N41" s="221" t="s">
        <v>6286</v>
      </c>
      <c r="O41" s="28" t="s">
        <v>6276</v>
      </c>
      <c r="P41" s="28" t="s">
        <v>604</v>
      </c>
      <c r="Q41" s="28" t="s">
        <v>7457</v>
      </c>
      <c r="R41" s="28" t="s">
        <v>604</v>
      </c>
      <c r="S41" s="28" t="s">
        <v>604</v>
      </c>
      <c r="T41" s="28" t="s">
        <v>604</v>
      </c>
      <c r="U41" s="28" t="s">
        <v>7458</v>
      </c>
      <c r="V41" s="6" t="s">
        <v>7465</v>
      </c>
      <c r="W41" s="6" t="s">
        <v>604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7466</v>
      </c>
      <c r="B42" s="6" t="s">
        <v>7467</v>
      </c>
      <c r="C42" s="223" t="n">
        <v>2</v>
      </c>
      <c r="D42" s="221"/>
      <c r="E42" s="221"/>
      <c r="F42" s="28" t="s">
        <v>791</v>
      </c>
      <c r="G42" s="221" t="s">
        <v>7468</v>
      </c>
      <c r="H42" s="28" t="s">
        <v>1229</v>
      </c>
      <c r="I42" s="28" t="s">
        <v>1207</v>
      </c>
      <c r="J42" s="6" t="s">
        <v>7455</v>
      </c>
      <c r="K42" s="221" t="n">
        <v>2</v>
      </c>
      <c r="L42" s="221" t="s">
        <v>6273</v>
      </c>
      <c r="M42" s="6" t="s">
        <v>7456</v>
      </c>
      <c r="N42" s="221" t="s">
        <v>6286</v>
      </c>
      <c r="O42" s="28" t="s">
        <v>6276</v>
      </c>
      <c r="P42" s="28" t="s">
        <v>604</v>
      </c>
      <c r="Q42" s="28" t="s">
        <v>7457</v>
      </c>
      <c r="R42" s="28" t="s">
        <v>604</v>
      </c>
      <c r="S42" s="28" t="s">
        <v>604</v>
      </c>
      <c r="T42" s="28" t="s">
        <v>604</v>
      </c>
      <c r="U42" s="28" t="s">
        <v>7458</v>
      </c>
      <c r="V42" s="6" t="s">
        <v>7469</v>
      </c>
      <c r="W42" s="6" t="s">
        <v>604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7470</v>
      </c>
      <c r="B43" s="6" t="s">
        <v>7471</v>
      </c>
      <c r="C43" s="223" t="n">
        <v>0.25</v>
      </c>
      <c r="D43" s="221"/>
      <c r="E43" s="221"/>
      <c r="F43" s="28" t="s">
        <v>791</v>
      </c>
      <c r="G43" s="221" t="s">
        <v>7468</v>
      </c>
      <c r="H43" s="28" t="s">
        <v>1229</v>
      </c>
      <c r="I43" s="28" t="s">
        <v>1207</v>
      </c>
      <c r="J43" s="6" t="s">
        <v>7455</v>
      </c>
      <c r="K43" s="221" t="n">
        <v>2</v>
      </c>
      <c r="L43" s="221" t="s">
        <v>6273</v>
      </c>
      <c r="M43" s="6" t="s">
        <v>7456</v>
      </c>
      <c r="N43" s="221" t="s">
        <v>6286</v>
      </c>
      <c r="O43" s="28" t="s">
        <v>6276</v>
      </c>
      <c r="P43" s="28" t="s">
        <v>604</v>
      </c>
      <c r="Q43" s="28" t="s">
        <v>7457</v>
      </c>
      <c r="R43" s="28" t="s">
        <v>604</v>
      </c>
      <c r="S43" s="28" t="s">
        <v>604</v>
      </c>
      <c r="T43" s="28" t="s">
        <v>604</v>
      </c>
      <c r="U43" s="28" t="s">
        <v>7458</v>
      </c>
      <c r="V43" s="6" t="s">
        <v>7472</v>
      </c>
      <c r="W43" s="6" t="s">
        <v>604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7473</v>
      </c>
      <c r="B44" s="6" t="s">
        <v>7474</v>
      </c>
      <c r="C44" s="223" t="n">
        <v>6</v>
      </c>
      <c r="D44" s="221"/>
      <c r="E44" s="221"/>
      <c r="F44" s="28" t="s">
        <v>791</v>
      </c>
      <c r="G44" s="221" t="s">
        <v>7468</v>
      </c>
      <c r="H44" s="28" t="s">
        <v>1229</v>
      </c>
      <c r="I44" s="28" t="s">
        <v>1207</v>
      </c>
      <c r="J44" s="6" t="s">
        <v>7455</v>
      </c>
      <c r="K44" s="221" t="n">
        <v>2</v>
      </c>
      <c r="L44" s="221" t="s">
        <v>6273</v>
      </c>
      <c r="M44" s="6" t="s">
        <v>7456</v>
      </c>
      <c r="N44" s="221" t="s">
        <v>6286</v>
      </c>
      <c r="O44" s="28" t="s">
        <v>6276</v>
      </c>
      <c r="P44" s="28" t="s">
        <v>604</v>
      </c>
      <c r="Q44" s="28" t="s">
        <v>7457</v>
      </c>
      <c r="R44" s="28" t="s">
        <v>604</v>
      </c>
      <c r="S44" s="28" t="s">
        <v>604</v>
      </c>
      <c r="T44" s="28" t="s">
        <v>604</v>
      </c>
      <c r="U44" s="28" t="s">
        <v>7458</v>
      </c>
      <c r="V44" s="6" t="s">
        <v>7475</v>
      </c>
      <c r="W44" s="6" t="s">
        <v>604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7476</v>
      </c>
      <c r="B45" s="6" t="s">
        <v>7477</v>
      </c>
      <c r="C45" s="223" t="n">
        <v>2.5</v>
      </c>
      <c r="D45" s="221"/>
      <c r="E45" s="221"/>
      <c r="F45" s="28" t="s">
        <v>791</v>
      </c>
      <c r="G45" s="221" t="s">
        <v>7478</v>
      </c>
      <c r="H45" s="28" t="s">
        <v>1229</v>
      </c>
      <c r="I45" s="28" t="s">
        <v>1207</v>
      </c>
      <c r="J45" s="6" t="s">
        <v>7455</v>
      </c>
      <c r="K45" s="221" t="n">
        <v>2</v>
      </c>
      <c r="L45" s="221" t="s">
        <v>6273</v>
      </c>
      <c r="M45" s="6" t="s">
        <v>7456</v>
      </c>
      <c r="N45" s="221" t="s">
        <v>6286</v>
      </c>
      <c r="O45" s="28" t="s">
        <v>6322</v>
      </c>
      <c r="P45" s="28" t="s">
        <v>604</v>
      </c>
      <c r="Q45" s="28" t="s">
        <v>7457</v>
      </c>
      <c r="R45" s="28" t="s">
        <v>604</v>
      </c>
      <c r="S45" s="28" t="s">
        <v>604</v>
      </c>
      <c r="T45" s="28" t="s">
        <v>604</v>
      </c>
      <c r="U45" s="28" t="s">
        <v>7458</v>
      </c>
      <c r="V45" s="6" t="s">
        <v>604</v>
      </c>
      <c r="W45" s="19" t="s">
        <v>7479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7480</v>
      </c>
      <c r="B46" s="6" t="s">
        <v>7481</v>
      </c>
      <c r="C46" s="223" t="n">
        <v>7.5</v>
      </c>
      <c r="D46" s="221"/>
      <c r="E46" s="221"/>
      <c r="F46" s="28" t="s">
        <v>791</v>
      </c>
      <c r="G46" s="221" t="s">
        <v>7478</v>
      </c>
      <c r="H46" s="28" t="s">
        <v>1229</v>
      </c>
      <c r="I46" s="28" t="s">
        <v>1207</v>
      </c>
      <c r="J46" s="6" t="s">
        <v>7455</v>
      </c>
      <c r="K46" s="221" t="n">
        <v>2</v>
      </c>
      <c r="L46" s="221" t="s">
        <v>6273</v>
      </c>
      <c r="M46" s="6" t="s">
        <v>7456</v>
      </c>
      <c r="N46" s="221" t="s">
        <v>6286</v>
      </c>
      <c r="O46" s="28" t="s">
        <v>6322</v>
      </c>
      <c r="P46" s="28" t="s">
        <v>604</v>
      </c>
      <c r="Q46" s="28" t="s">
        <v>7457</v>
      </c>
      <c r="R46" s="28" t="s">
        <v>604</v>
      </c>
      <c r="S46" s="28" t="s">
        <v>604</v>
      </c>
      <c r="T46" s="28" t="s">
        <v>604</v>
      </c>
      <c r="U46" s="28" t="s">
        <v>7458</v>
      </c>
      <c r="V46" s="6" t="s">
        <v>604</v>
      </c>
      <c r="W46" s="19" t="s">
        <v>7479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7482</v>
      </c>
      <c r="B47" s="6" t="s">
        <v>7483</v>
      </c>
      <c r="C47" s="223" t="n">
        <v>0.3</v>
      </c>
      <c r="D47" s="221"/>
      <c r="E47" s="221"/>
      <c r="F47" s="28" t="s">
        <v>791</v>
      </c>
      <c r="G47" s="28" t="s">
        <v>7484</v>
      </c>
      <c r="H47" s="28" t="s">
        <v>1238</v>
      </c>
      <c r="I47" s="28" t="s">
        <v>1210</v>
      </c>
      <c r="J47" s="6" t="s">
        <v>7455</v>
      </c>
      <c r="K47" s="221" t="n">
        <v>2</v>
      </c>
      <c r="L47" s="221" t="s">
        <v>6273</v>
      </c>
      <c r="M47" s="6" t="s">
        <v>7456</v>
      </c>
      <c r="N47" s="221" t="s">
        <v>6286</v>
      </c>
      <c r="O47" s="28" t="s">
        <v>6276</v>
      </c>
      <c r="P47" s="28" t="s">
        <v>604</v>
      </c>
      <c r="Q47" s="28" t="s">
        <v>7457</v>
      </c>
      <c r="R47" s="28" t="s">
        <v>604</v>
      </c>
      <c r="S47" s="28" t="s">
        <v>604</v>
      </c>
      <c r="T47" s="28" t="s">
        <v>604</v>
      </c>
      <c r="U47" s="28" t="s">
        <v>7458</v>
      </c>
      <c r="V47" s="6" t="s">
        <v>7485</v>
      </c>
      <c r="W47" s="6" t="s">
        <v>604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7486</v>
      </c>
      <c r="B48" s="6" t="s">
        <v>7487</v>
      </c>
      <c r="C48" s="223" t="n">
        <v>1.2</v>
      </c>
      <c r="D48" s="221"/>
      <c r="E48" s="221"/>
      <c r="F48" s="28" t="s">
        <v>791</v>
      </c>
      <c r="G48" s="28" t="s">
        <v>7484</v>
      </c>
      <c r="H48" s="28" t="s">
        <v>1238</v>
      </c>
      <c r="I48" s="28" t="s">
        <v>1210</v>
      </c>
      <c r="J48" s="6" t="s">
        <v>7455</v>
      </c>
      <c r="K48" s="221" t="n">
        <v>2</v>
      </c>
      <c r="L48" s="221" t="s">
        <v>6273</v>
      </c>
      <c r="M48" s="6" t="s">
        <v>7456</v>
      </c>
      <c r="N48" s="221" t="s">
        <v>6286</v>
      </c>
      <c r="O48" s="28" t="s">
        <v>6276</v>
      </c>
      <c r="P48" s="28" t="s">
        <v>604</v>
      </c>
      <c r="Q48" s="28" t="s">
        <v>7457</v>
      </c>
      <c r="R48" s="28" t="s">
        <v>604</v>
      </c>
      <c r="S48" s="28" t="s">
        <v>604</v>
      </c>
      <c r="T48" s="28" t="s">
        <v>604</v>
      </c>
      <c r="U48" s="28" t="s">
        <v>7458</v>
      </c>
      <c r="V48" s="6" t="s">
        <v>7488</v>
      </c>
      <c r="W48" s="6" t="s">
        <v>604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7489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H4" s="81" t="s">
        <v>6266</v>
      </c>
    </row>
    <row r="5" customFormat="false" ht="29.25" hidden="false" customHeight="true" outlineLevel="0" collapsed="false">
      <c r="A5" s="28" t="s">
        <v>7490</v>
      </c>
      <c r="B5" s="6" t="s">
        <v>7491</v>
      </c>
      <c r="C5" s="223" t="n">
        <v>53</v>
      </c>
      <c r="D5" s="221"/>
      <c r="E5" s="221"/>
      <c r="F5" s="221" t="s">
        <v>1605</v>
      </c>
      <c r="G5" s="28" t="s">
        <v>1203</v>
      </c>
      <c r="H5" s="28" t="s">
        <v>1202</v>
      </c>
      <c r="I5" s="28" t="s">
        <v>1207</v>
      </c>
      <c r="J5" s="6" t="s">
        <v>7492</v>
      </c>
      <c r="K5" s="221" t="n">
        <v>2</v>
      </c>
      <c r="L5" s="221" t="s">
        <v>6380</v>
      </c>
      <c r="M5" s="6" t="s">
        <v>7493</v>
      </c>
      <c r="N5" s="221" t="s">
        <v>6286</v>
      </c>
      <c r="O5" s="28" t="s">
        <v>6276</v>
      </c>
      <c r="P5" s="28" t="s">
        <v>604</v>
      </c>
      <c r="Q5" s="28" t="s">
        <v>7494</v>
      </c>
      <c r="R5" s="28" t="s">
        <v>604</v>
      </c>
      <c r="S5" s="28" t="s">
        <v>604</v>
      </c>
      <c r="T5" s="28" t="s">
        <v>604</v>
      </c>
      <c r="U5" s="28" t="s">
        <v>7495</v>
      </c>
      <c r="V5" s="6" t="s">
        <v>7496</v>
      </c>
      <c r="W5" s="6" t="s">
        <v>604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7497</v>
      </c>
      <c r="B6" s="6" t="s">
        <v>7498</v>
      </c>
      <c r="C6" s="223" t="n">
        <v>53</v>
      </c>
      <c r="D6" s="221"/>
      <c r="E6" s="221"/>
      <c r="F6" s="221" t="s">
        <v>1605</v>
      </c>
      <c r="G6" s="28" t="s">
        <v>1203</v>
      </c>
      <c r="H6" s="28" t="s">
        <v>1205</v>
      </c>
      <c r="I6" s="28" t="s">
        <v>1207</v>
      </c>
      <c r="J6" s="6" t="s">
        <v>7492</v>
      </c>
      <c r="K6" s="221" t="n">
        <v>2</v>
      </c>
      <c r="L6" s="221" t="s">
        <v>6380</v>
      </c>
      <c r="M6" s="6" t="s">
        <v>7493</v>
      </c>
      <c r="N6" s="221" t="s">
        <v>6286</v>
      </c>
      <c r="O6" s="28" t="s">
        <v>6276</v>
      </c>
      <c r="P6" s="28" t="s">
        <v>604</v>
      </c>
      <c r="Q6" s="28" t="s">
        <v>7494</v>
      </c>
      <c r="R6" s="28" t="s">
        <v>604</v>
      </c>
      <c r="S6" s="28" t="s">
        <v>604</v>
      </c>
      <c r="T6" s="28" t="s">
        <v>604</v>
      </c>
      <c r="U6" s="28" t="s">
        <v>7495</v>
      </c>
      <c r="V6" s="6" t="s">
        <v>7499</v>
      </c>
      <c r="W6" s="6" t="s">
        <v>604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7500</v>
      </c>
      <c r="B7" s="6" t="s">
        <v>7501</v>
      </c>
      <c r="C7" s="223" t="n">
        <v>51</v>
      </c>
      <c r="D7" s="221"/>
      <c r="E7" s="221"/>
      <c r="F7" s="221" t="s">
        <v>1605</v>
      </c>
      <c r="G7" s="28" t="s">
        <v>1203</v>
      </c>
      <c r="H7" s="28" t="s">
        <v>1209</v>
      </c>
      <c r="I7" s="28" t="s">
        <v>1207</v>
      </c>
      <c r="J7" s="6" t="s">
        <v>7492</v>
      </c>
      <c r="K7" s="221" t="n">
        <v>2</v>
      </c>
      <c r="L7" s="221" t="s">
        <v>6380</v>
      </c>
      <c r="M7" s="6" t="s">
        <v>7493</v>
      </c>
      <c r="N7" s="221" t="s">
        <v>6286</v>
      </c>
      <c r="O7" s="28" t="s">
        <v>6276</v>
      </c>
      <c r="P7" s="28" t="s">
        <v>604</v>
      </c>
      <c r="Q7" s="28" t="s">
        <v>7494</v>
      </c>
      <c r="R7" s="28" t="s">
        <v>604</v>
      </c>
      <c r="S7" s="28" t="s">
        <v>604</v>
      </c>
      <c r="T7" s="28" t="s">
        <v>604</v>
      </c>
      <c r="U7" s="28" t="s">
        <v>7495</v>
      </c>
      <c r="V7" s="6" t="s">
        <v>7502</v>
      </c>
      <c r="W7" s="6" t="s">
        <v>604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7503</v>
      </c>
      <c r="B8" s="6" t="s">
        <v>7504</v>
      </c>
      <c r="C8" s="223" t="n">
        <v>47</v>
      </c>
      <c r="D8" s="221"/>
      <c r="E8" s="221"/>
      <c r="F8" s="221" t="s">
        <v>1605</v>
      </c>
      <c r="G8" s="28" t="s">
        <v>1203</v>
      </c>
      <c r="H8" s="28" t="s">
        <v>7119</v>
      </c>
      <c r="I8" s="28" t="s">
        <v>1207</v>
      </c>
      <c r="J8" s="6" t="s">
        <v>7492</v>
      </c>
      <c r="K8" s="221" t="n">
        <v>2</v>
      </c>
      <c r="L8" s="221" t="s">
        <v>6380</v>
      </c>
      <c r="M8" s="6" t="s">
        <v>7493</v>
      </c>
      <c r="N8" s="221" t="s">
        <v>6286</v>
      </c>
      <c r="O8" s="28" t="s">
        <v>6276</v>
      </c>
      <c r="P8" s="28" t="s">
        <v>604</v>
      </c>
      <c r="Q8" s="28" t="s">
        <v>7494</v>
      </c>
      <c r="R8" s="28" t="s">
        <v>604</v>
      </c>
      <c r="S8" s="28" t="s">
        <v>604</v>
      </c>
      <c r="T8" s="28" t="s">
        <v>604</v>
      </c>
      <c r="U8" s="28" t="s">
        <v>7495</v>
      </c>
      <c r="V8" s="6" t="s">
        <v>604</v>
      </c>
      <c r="W8" s="6" t="s">
        <v>604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7505</v>
      </c>
      <c r="B9" s="6" t="s">
        <v>7506</v>
      </c>
      <c r="C9" s="223" t="n">
        <v>42</v>
      </c>
      <c r="D9" s="221"/>
      <c r="E9" s="221"/>
      <c r="F9" s="221" t="s">
        <v>1605</v>
      </c>
      <c r="G9" s="28" t="s">
        <v>1203</v>
      </c>
      <c r="H9" s="28" t="s">
        <v>1227</v>
      </c>
      <c r="I9" s="28" t="s">
        <v>1207</v>
      </c>
      <c r="J9" s="6" t="s">
        <v>7492</v>
      </c>
      <c r="K9" s="221" t="n">
        <v>2</v>
      </c>
      <c r="L9" s="221" t="s">
        <v>6380</v>
      </c>
      <c r="M9" s="6" t="s">
        <v>7493</v>
      </c>
      <c r="N9" s="221" t="s">
        <v>6286</v>
      </c>
      <c r="O9" s="28" t="s">
        <v>6276</v>
      </c>
      <c r="P9" s="28" t="s">
        <v>604</v>
      </c>
      <c r="Q9" s="28" t="s">
        <v>7494</v>
      </c>
      <c r="R9" s="28" t="s">
        <v>604</v>
      </c>
      <c r="S9" s="28" t="s">
        <v>604</v>
      </c>
      <c r="T9" s="28" t="s">
        <v>604</v>
      </c>
      <c r="U9" s="28" t="s">
        <v>7495</v>
      </c>
      <c r="V9" s="6" t="s">
        <v>7507</v>
      </c>
      <c r="W9" s="6" t="s">
        <v>604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4922</v>
      </c>
      <c r="B10" s="6" t="s">
        <v>7508</v>
      </c>
      <c r="C10" s="223" t="n">
        <v>40</v>
      </c>
      <c r="D10" s="221"/>
      <c r="E10" s="221"/>
      <c r="F10" s="221" t="s">
        <v>1605</v>
      </c>
      <c r="G10" s="28" t="s">
        <v>1203</v>
      </c>
      <c r="H10" s="28" t="s">
        <v>7509</v>
      </c>
      <c r="I10" s="28" t="s">
        <v>1207</v>
      </c>
      <c r="J10" s="6" t="s">
        <v>7492</v>
      </c>
      <c r="K10" s="221" t="n">
        <v>2</v>
      </c>
      <c r="L10" s="221" t="s">
        <v>6380</v>
      </c>
      <c r="M10" s="6" t="s">
        <v>7493</v>
      </c>
      <c r="N10" s="221" t="s">
        <v>6286</v>
      </c>
      <c r="O10" s="28" t="s">
        <v>6276</v>
      </c>
      <c r="P10" s="28" t="s">
        <v>604</v>
      </c>
      <c r="Q10" s="28" t="s">
        <v>7494</v>
      </c>
      <c r="R10" s="28" t="s">
        <v>604</v>
      </c>
      <c r="S10" s="28" t="s">
        <v>604</v>
      </c>
      <c r="T10" s="28" t="s">
        <v>604</v>
      </c>
      <c r="U10" s="28" t="s">
        <v>7495</v>
      </c>
      <c r="V10" s="6" t="s">
        <v>7510</v>
      </c>
      <c r="W10" s="19" t="s">
        <v>7511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4915</v>
      </c>
      <c r="B11" s="6" t="s">
        <v>7512</v>
      </c>
      <c r="C11" s="223" t="n">
        <v>36</v>
      </c>
      <c r="D11" s="221"/>
      <c r="E11" s="221"/>
      <c r="F11" s="221" t="s">
        <v>1605</v>
      </c>
      <c r="G11" s="28" t="s">
        <v>1203</v>
      </c>
      <c r="H11" s="28" t="s">
        <v>7513</v>
      </c>
      <c r="I11" s="28" t="s">
        <v>1207</v>
      </c>
      <c r="J11" s="6" t="s">
        <v>7492</v>
      </c>
      <c r="K11" s="221" t="n">
        <v>2</v>
      </c>
      <c r="L11" s="221" t="s">
        <v>6380</v>
      </c>
      <c r="M11" s="6" t="s">
        <v>7493</v>
      </c>
      <c r="N11" s="221" t="s">
        <v>6286</v>
      </c>
      <c r="O11" s="28" t="s">
        <v>6276</v>
      </c>
      <c r="P11" s="28" t="s">
        <v>604</v>
      </c>
      <c r="Q11" s="28" t="s">
        <v>7494</v>
      </c>
      <c r="R11" s="28" t="s">
        <v>604</v>
      </c>
      <c r="S11" s="28" t="s">
        <v>604</v>
      </c>
      <c r="T11" s="28" t="s">
        <v>604</v>
      </c>
      <c r="U11" s="28" t="s">
        <v>7495</v>
      </c>
      <c r="V11" s="6" t="s">
        <v>7514</v>
      </c>
      <c r="W11" s="19" t="s">
        <v>7515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7516</v>
      </c>
      <c r="B12" s="6" t="s">
        <v>7517</v>
      </c>
      <c r="C12" s="223" t="n">
        <v>48</v>
      </c>
      <c r="D12" s="221"/>
      <c r="E12" s="221"/>
      <c r="F12" s="221" t="s">
        <v>1605</v>
      </c>
      <c r="G12" s="28" t="s">
        <v>1197</v>
      </c>
      <c r="H12" s="28" t="s">
        <v>1200</v>
      </c>
      <c r="I12" s="28" t="s">
        <v>1207</v>
      </c>
      <c r="J12" s="6" t="s">
        <v>7518</v>
      </c>
      <c r="K12" s="221" t="n">
        <v>1</v>
      </c>
      <c r="L12" s="221" t="s">
        <v>6380</v>
      </c>
      <c r="M12" s="6" t="s">
        <v>7519</v>
      </c>
      <c r="N12" s="221" t="s">
        <v>6275</v>
      </c>
      <c r="O12" s="28" t="s">
        <v>6276</v>
      </c>
      <c r="P12" s="28" t="s">
        <v>604</v>
      </c>
      <c r="Q12" s="28" t="s">
        <v>7520</v>
      </c>
      <c r="R12" s="28" t="s">
        <v>604</v>
      </c>
      <c r="S12" s="28" t="s">
        <v>5889</v>
      </c>
      <c r="T12" s="28" t="s">
        <v>604</v>
      </c>
      <c r="U12" s="28" t="s">
        <v>7521</v>
      </c>
      <c r="V12" s="6" t="s">
        <v>7522</v>
      </c>
      <c r="W12" s="19" t="s">
        <v>7523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7524</v>
      </c>
      <c r="B13" s="6" t="s">
        <v>7525</v>
      </c>
      <c r="C13" s="223" t="n">
        <v>37</v>
      </c>
      <c r="D13" s="221"/>
      <c r="E13" s="221"/>
      <c r="F13" s="221" t="s">
        <v>1605</v>
      </c>
      <c r="G13" s="28" t="s">
        <v>1197</v>
      </c>
      <c r="H13" s="28" t="s">
        <v>1194</v>
      </c>
      <c r="I13" s="28" t="s">
        <v>1207</v>
      </c>
      <c r="J13" s="6" t="s">
        <v>7518</v>
      </c>
      <c r="K13" s="221" t="n">
        <v>3</v>
      </c>
      <c r="L13" s="221" t="s">
        <v>6380</v>
      </c>
      <c r="M13" s="6" t="s">
        <v>7519</v>
      </c>
      <c r="N13" s="221" t="s">
        <v>7082</v>
      </c>
      <c r="O13" s="28" t="s">
        <v>6276</v>
      </c>
      <c r="P13" s="28" t="s">
        <v>604</v>
      </c>
      <c r="Q13" s="28" t="s">
        <v>7526</v>
      </c>
      <c r="R13" s="28" t="s">
        <v>604</v>
      </c>
      <c r="S13" s="28" t="s">
        <v>604</v>
      </c>
      <c r="T13" s="28" t="s">
        <v>604</v>
      </c>
      <c r="U13" s="28" t="s">
        <v>7521</v>
      </c>
      <c r="V13" s="6" t="s">
        <v>7527</v>
      </c>
      <c r="W13" s="6" t="s">
        <v>604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7528</v>
      </c>
      <c r="B14" s="6" t="s">
        <v>7529</v>
      </c>
      <c r="C14" s="223" t="n">
        <v>39</v>
      </c>
      <c r="D14" s="221"/>
      <c r="E14" s="221"/>
      <c r="F14" s="221" t="s">
        <v>1605</v>
      </c>
      <c r="G14" s="28" t="s">
        <v>1197</v>
      </c>
      <c r="H14" s="28" t="s">
        <v>1216</v>
      </c>
      <c r="I14" s="28" t="s">
        <v>1207</v>
      </c>
      <c r="J14" s="6" t="s">
        <v>7518</v>
      </c>
      <c r="K14" s="221" t="n">
        <v>3</v>
      </c>
      <c r="L14" s="221" t="s">
        <v>6380</v>
      </c>
      <c r="M14" s="6" t="s">
        <v>7519</v>
      </c>
      <c r="N14" s="221" t="s">
        <v>7082</v>
      </c>
      <c r="O14" s="28" t="s">
        <v>6276</v>
      </c>
      <c r="P14" s="28" t="s">
        <v>604</v>
      </c>
      <c r="Q14" s="28" t="s">
        <v>7526</v>
      </c>
      <c r="R14" s="28" t="s">
        <v>604</v>
      </c>
      <c r="S14" s="28" t="s">
        <v>604</v>
      </c>
      <c r="T14" s="28" t="s">
        <v>604</v>
      </c>
      <c r="U14" s="28" t="s">
        <v>7521</v>
      </c>
      <c r="V14" s="6" t="s">
        <v>7530</v>
      </c>
      <c r="W14" s="6" t="s">
        <v>604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7531</v>
      </c>
      <c r="B15" s="6" t="s">
        <v>7532</v>
      </c>
      <c r="C15" s="223" t="n">
        <v>45</v>
      </c>
      <c r="D15" s="221"/>
      <c r="E15" s="221"/>
      <c r="F15" s="221" t="s">
        <v>1605</v>
      </c>
      <c r="G15" s="28" t="s">
        <v>7533</v>
      </c>
      <c r="H15" s="28" t="s">
        <v>1223</v>
      </c>
      <c r="I15" s="28" t="s">
        <v>1207</v>
      </c>
      <c r="J15" s="6" t="s">
        <v>7518</v>
      </c>
      <c r="K15" s="221" t="n">
        <v>1</v>
      </c>
      <c r="L15" s="221" t="s">
        <v>6380</v>
      </c>
      <c r="M15" s="6" t="s">
        <v>7519</v>
      </c>
      <c r="N15" s="221" t="s">
        <v>6275</v>
      </c>
      <c r="O15" s="28" t="s">
        <v>6276</v>
      </c>
      <c r="P15" s="28" t="s">
        <v>604</v>
      </c>
      <c r="Q15" s="28" t="s">
        <v>7534</v>
      </c>
      <c r="R15" s="28" t="s">
        <v>604</v>
      </c>
      <c r="S15" s="28" t="s">
        <v>5889</v>
      </c>
      <c r="T15" s="28" t="s">
        <v>604</v>
      </c>
      <c r="U15" s="28" t="s">
        <v>7521</v>
      </c>
      <c r="V15" s="6" t="s">
        <v>7535</v>
      </c>
      <c r="W15" s="6" t="s">
        <v>7536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5028</v>
      </c>
      <c r="B16" s="6" t="s">
        <v>7537</v>
      </c>
      <c r="C16" s="223" t="n">
        <v>3.5667</v>
      </c>
      <c r="D16" s="221"/>
      <c r="E16" s="221"/>
      <c r="F16" s="221" t="s">
        <v>7538</v>
      </c>
      <c r="G16" s="28" t="s">
        <v>7539</v>
      </c>
      <c r="H16" s="28" t="s">
        <v>1913</v>
      </c>
      <c r="I16" s="28" t="s">
        <v>6283</v>
      </c>
      <c r="J16" s="6" t="s">
        <v>7540</v>
      </c>
      <c r="K16" s="221" t="n">
        <v>2</v>
      </c>
      <c r="L16" s="221" t="s">
        <v>6380</v>
      </c>
      <c r="M16" s="6" t="s">
        <v>7541</v>
      </c>
      <c r="N16" s="221" t="s">
        <v>6286</v>
      </c>
      <c r="O16" s="28" t="s">
        <v>6276</v>
      </c>
      <c r="P16" s="28" t="s">
        <v>604</v>
      </c>
      <c r="Q16" s="28" t="s">
        <v>7542</v>
      </c>
      <c r="R16" s="28" t="s">
        <v>604</v>
      </c>
      <c r="S16" s="28" t="s">
        <v>604</v>
      </c>
      <c r="T16" s="28" t="s">
        <v>604</v>
      </c>
      <c r="U16" s="28" t="s">
        <v>1915</v>
      </c>
      <c r="V16" s="6" t="s">
        <v>7543</v>
      </c>
      <c r="W16" s="6" t="s">
        <v>7544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7545</v>
      </c>
      <c r="B17" s="6" t="s">
        <v>7546</v>
      </c>
      <c r="C17" s="223" t="n">
        <v>0.5333</v>
      </c>
      <c r="D17" s="221"/>
      <c r="E17" s="221"/>
      <c r="F17" s="221" t="s">
        <v>7538</v>
      </c>
      <c r="G17" s="28" t="s">
        <v>7539</v>
      </c>
      <c r="H17" s="28" t="s">
        <v>1913</v>
      </c>
      <c r="I17" s="28" t="s">
        <v>6283</v>
      </c>
      <c r="J17" s="6" t="s">
        <v>7540</v>
      </c>
      <c r="K17" s="221" t="n">
        <v>2</v>
      </c>
      <c r="L17" s="221" t="s">
        <v>6380</v>
      </c>
      <c r="M17" s="6" t="s">
        <v>7541</v>
      </c>
      <c r="N17" s="221" t="s">
        <v>6286</v>
      </c>
      <c r="O17" s="28" t="s">
        <v>6276</v>
      </c>
      <c r="P17" s="28" t="s">
        <v>604</v>
      </c>
      <c r="Q17" s="28" t="s">
        <v>7542</v>
      </c>
      <c r="R17" s="28" t="s">
        <v>604</v>
      </c>
      <c r="S17" s="28" t="s">
        <v>604</v>
      </c>
      <c r="T17" s="28" t="s">
        <v>604</v>
      </c>
      <c r="U17" s="28" t="s">
        <v>1915</v>
      </c>
      <c r="V17" s="6" t="s">
        <v>7547</v>
      </c>
      <c r="W17" s="6" t="s">
        <v>7548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7549</v>
      </c>
      <c r="B18" s="6" t="s">
        <v>7550</v>
      </c>
      <c r="C18" s="223" t="n">
        <v>6.5667</v>
      </c>
      <c r="D18" s="221"/>
      <c r="E18" s="221"/>
      <c r="F18" s="221" t="s">
        <v>7538</v>
      </c>
      <c r="G18" s="28" t="s">
        <v>7551</v>
      </c>
      <c r="H18" s="28" t="s">
        <v>7552</v>
      </c>
      <c r="I18" s="28" t="s">
        <v>6283</v>
      </c>
      <c r="J18" s="6" t="s">
        <v>7540</v>
      </c>
      <c r="K18" s="221" t="n">
        <v>2</v>
      </c>
      <c r="L18" s="221" t="s">
        <v>6380</v>
      </c>
      <c r="M18" s="6" t="s">
        <v>7541</v>
      </c>
      <c r="N18" s="221" t="s">
        <v>6286</v>
      </c>
      <c r="O18" s="28" t="s">
        <v>6276</v>
      </c>
      <c r="P18" s="28" t="s">
        <v>604</v>
      </c>
      <c r="Q18" s="28" t="s">
        <v>7542</v>
      </c>
      <c r="R18" s="28" t="s">
        <v>604</v>
      </c>
      <c r="S18" s="28" t="s">
        <v>604</v>
      </c>
      <c r="T18" s="28" t="s">
        <v>604</v>
      </c>
      <c r="U18" s="28" t="s">
        <v>1915</v>
      </c>
      <c r="V18" s="6" t="s">
        <v>7553</v>
      </c>
      <c r="W18" s="6" t="s">
        <v>604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7554</v>
      </c>
      <c r="B19" s="6" t="s">
        <v>7555</v>
      </c>
      <c r="C19" s="223" t="n">
        <v>0.9167</v>
      </c>
      <c r="D19" s="221"/>
      <c r="E19" s="221"/>
      <c r="F19" s="221" t="s">
        <v>7538</v>
      </c>
      <c r="G19" s="28" t="s">
        <v>7551</v>
      </c>
      <c r="H19" s="28" t="s">
        <v>7552</v>
      </c>
      <c r="I19" s="28" t="s">
        <v>6283</v>
      </c>
      <c r="J19" s="6" t="s">
        <v>7540</v>
      </c>
      <c r="K19" s="221" t="n">
        <v>2</v>
      </c>
      <c r="L19" s="221" t="s">
        <v>6380</v>
      </c>
      <c r="M19" s="6" t="s">
        <v>7541</v>
      </c>
      <c r="N19" s="221" t="s">
        <v>6286</v>
      </c>
      <c r="O19" s="28" t="s">
        <v>6276</v>
      </c>
      <c r="P19" s="28" t="s">
        <v>604</v>
      </c>
      <c r="Q19" s="28" t="s">
        <v>7542</v>
      </c>
      <c r="R19" s="28" t="s">
        <v>604</v>
      </c>
      <c r="S19" s="28" t="s">
        <v>604</v>
      </c>
      <c r="T19" s="28" t="s">
        <v>604</v>
      </c>
      <c r="U19" s="28" t="s">
        <v>1915</v>
      </c>
      <c r="V19" s="6" t="s">
        <v>7556</v>
      </c>
      <c r="W19" s="6" t="s">
        <v>604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7557</v>
      </c>
      <c r="B20" s="6" t="s">
        <v>7558</v>
      </c>
      <c r="C20" s="223" t="n">
        <v>5.7</v>
      </c>
      <c r="D20" s="221"/>
      <c r="E20" s="221"/>
      <c r="F20" s="221" t="s">
        <v>7538</v>
      </c>
      <c r="G20" s="28" t="s">
        <v>7551</v>
      </c>
      <c r="H20" s="28" t="s">
        <v>7559</v>
      </c>
      <c r="I20" s="28" t="s">
        <v>6283</v>
      </c>
      <c r="J20" s="6" t="s">
        <v>7540</v>
      </c>
      <c r="K20" s="221" t="n">
        <v>2</v>
      </c>
      <c r="L20" s="221" t="s">
        <v>6380</v>
      </c>
      <c r="M20" s="6" t="s">
        <v>7541</v>
      </c>
      <c r="N20" s="221" t="s">
        <v>6286</v>
      </c>
      <c r="O20" s="28" t="s">
        <v>6276</v>
      </c>
      <c r="P20" s="28" t="s">
        <v>604</v>
      </c>
      <c r="Q20" s="28" t="s">
        <v>7542</v>
      </c>
      <c r="R20" s="28" t="s">
        <v>604</v>
      </c>
      <c r="S20" s="28" t="s">
        <v>604</v>
      </c>
      <c r="T20" s="28" t="s">
        <v>604</v>
      </c>
      <c r="U20" s="28" t="s">
        <v>1915</v>
      </c>
      <c r="V20" s="6" t="s">
        <v>7560</v>
      </c>
      <c r="W20" s="6" t="s">
        <v>604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7561</v>
      </c>
      <c r="B21" s="6" t="s">
        <v>7562</v>
      </c>
      <c r="C21" s="223" t="n">
        <v>0.9</v>
      </c>
      <c r="D21" s="221"/>
      <c r="E21" s="221"/>
      <c r="F21" s="221" t="s">
        <v>7538</v>
      </c>
      <c r="G21" s="28" t="s">
        <v>7551</v>
      </c>
      <c r="H21" s="28" t="s">
        <v>7559</v>
      </c>
      <c r="I21" s="28" t="s">
        <v>6283</v>
      </c>
      <c r="J21" s="6" t="s">
        <v>7540</v>
      </c>
      <c r="K21" s="221" t="n">
        <v>2</v>
      </c>
      <c r="L21" s="221" t="s">
        <v>6380</v>
      </c>
      <c r="M21" s="6" t="s">
        <v>7541</v>
      </c>
      <c r="N21" s="221" t="s">
        <v>6286</v>
      </c>
      <c r="O21" s="28" t="s">
        <v>6276</v>
      </c>
      <c r="P21" s="28" t="s">
        <v>604</v>
      </c>
      <c r="Q21" s="28" t="s">
        <v>7542</v>
      </c>
      <c r="R21" s="28" t="s">
        <v>604</v>
      </c>
      <c r="S21" s="28" t="s">
        <v>604</v>
      </c>
      <c r="T21" s="28" t="s">
        <v>604</v>
      </c>
      <c r="U21" s="28" t="s">
        <v>1915</v>
      </c>
      <c r="V21" s="6" t="s">
        <v>7563</v>
      </c>
      <c r="W21" s="6" t="s">
        <v>604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7564</v>
      </c>
      <c r="B22" s="6" t="s">
        <v>7565</v>
      </c>
      <c r="C22" s="223" t="n">
        <v>5.8333</v>
      </c>
      <c r="D22" s="221"/>
      <c r="E22" s="221"/>
      <c r="F22" s="221" t="s">
        <v>7538</v>
      </c>
      <c r="G22" s="28" t="s">
        <v>7551</v>
      </c>
      <c r="H22" s="28" t="s">
        <v>1918</v>
      </c>
      <c r="I22" s="28" t="s">
        <v>6283</v>
      </c>
      <c r="J22" s="6" t="s">
        <v>7540</v>
      </c>
      <c r="K22" s="221" t="n">
        <v>2</v>
      </c>
      <c r="L22" s="221" t="s">
        <v>6380</v>
      </c>
      <c r="M22" s="6" t="s">
        <v>7541</v>
      </c>
      <c r="N22" s="221" t="s">
        <v>6286</v>
      </c>
      <c r="O22" s="28" t="s">
        <v>6276</v>
      </c>
      <c r="P22" s="28" t="s">
        <v>604</v>
      </c>
      <c r="Q22" s="28" t="s">
        <v>7542</v>
      </c>
      <c r="R22" s="28" t="s">
        <v>604</v>
      </c>
      <c r="S22" s="28" t="s">
        <v>604</v>
      </c>
      <c r="T22" s="28" t="s">
        <v>604</v>
      </c>
      <c r="U22" s="28" t="s">
        <v>1915</v>
      </c>
      <c r="V22" s="6" t="s">
        <v>7566</v>
      </c>
      <c r="W22" s="6" t="s">
        <v>604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7567</v>
      </c>
      <c r="B23" s="6" t="s">
        <v>7568</v>
      </c>
      <c r="C23" s="223" t="n">
        <v>1.5</v>
      </c>
      <c r="D23" s="221"/>
      <c r="E23" s="221"/>
      <c r="F23" s="221" t="s">
        <v>7538</v>
      </c>
      <c r="G23" s="28" t="s">
        <v>7551</v>
      </c>
      <c r="H23" s="28" t="s">
        <v>1918</v>
      </c>
      <c r="I23" s="28" t="s">
        <v>6283</v>
      </c>
      <c r="J23" s="6" t="s">
        <v>7540</v>
      </c>
      <c r="K23" s="221" t="n">
        <v>2</v>
      </c>
      <c r="L23" s="221" t="s">
        <v>6380</v>
      </c>
      <c r="M23" s="6" t="s">
        <v>7541</v>
      </c>
      <c r="N23" s="221" t="s">
        <v>6286</v>
      </c>
      <c r="O23" s="28" t="s">
        <v>6276</v>
      </c>
      <c r="P23" s="28" t="s">
        <v>604</v>
      </c>
      <c r="Q23" s="28" t="s">
        <v>7542</v>
      </c>
      <c r="R23" s="28" t="s">
        <v>604</v>
      </c>
      <c r="S23" s="28" t="s">
        <v>604</v>
      </c>
      <c r="T23" s="28" t="s">
        <v>604</v>
      </c>
      <c r="U23" s="28" t="s">
        <v>1915</v>
      </c>
      <c r="V23" s="6" t="s">
        <v>7569</v>
      </c>
      <c r="W23" s="6" t="s">
        <v>604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5013</v>
      </c>
      <c r="B24" s="6" t="s">
        <v>7570</v>
      </c>
      <c r="C24" s="223" t="n">
        <v>11.3</v>
      </c>
      <c r="D24" s="221"/>
      <c r="E24" s="221"/>
      <c r="F24" s="221" t="s">
        <v>7538</v>
      </c>
      <c r="G24" s="28" t="s">
        <v>7551</v>
      </c>
      <c r="H24" s="28" t="s">
        <v>7119</v>
      </c>
      <c r="I24" s="28" t="s">
        <v>6283</v>
      </c>
      <c r="J24" s="6" t="s">
        <v>7540</v>
      </c>
      <c r="K24" s="221" t="n">
        <v>2</v>
      </c>
      <c r="L24" s="221" t="s">
        <v>6380</v>
      </c>
      <c r="M24" s="6" t="s">
        <v>7541</v>
      </c>
      <c r="N24" s="221" t="s">
        <v>6286</v>
      </c>
      <c r="O24" s="28" t="s">
        <v>6276</v>
      </c>
      <c r="P24" s="28" t="s">
        <v>604</v>
      </c>
      <c r="Q24" s="28" t="s">
        <v>7542</v>
      </c>
      <c r="R24" s="28" t="s">
        <v>604</v>
      </c>
      <c r="S24" s="28" t="s">
        <v>604</v>
      </c>
      <c r="T24" s="28" t="s">
        <v>604</v>
      </c>
      <c r="U24" s="28" t="s">
        <v>1915</v>
      </c>
      <c r="V24" s="6" t="s">
        <v>604</v>
      </c>
      <c r="W24" s="6" t="s">
        <v>7571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5022</v>
      </c>
      <c r="B25" s="6" t="s">
        <v>7572</v>
      </c>
      <c r="C25" s="223" t="n">
        <v>17.4</v>
      </c>
      <c r="D25" s="221"/>
      <c r="E25" s="221"/>
      <c r="F25" s="221" t="s">
        <v>7538</v>
      </c>
      <c r="G25" s="28" t="s">
        <v>7573</v>
      </c>
      <c r="H25" s="28" t="s">
        <v>7574</v>
      </c>
      <c r="I25" s="28" t="s">
        <v>6283</v>
      </c>
      <c r="J25" s="6" t="s">
        <v>7540</v>
      </c>
      <c r="K25" s="221" t="n">
        <v>2</v>
      </c>
      <c r="L25" s="221" t="s">
        <v>6380</v>
      </c>
      <c r="M25" s="6" t="s">
        <v>7541</v>
      </c>
      <c r="N25" s="221" t="s">
        <v>6286</v>
      </c>
      <c r="O25" s="28" t="s">
        <v>6276</v>
      </c>
      <c r="P25" s="28" t="s">
        <v>604</v>
      </c>
      <c r="Q25" s="28" t="s">
        <v>7542</v>
      </c>
      <c r="R25" s="28" t="s">
        <v>604</v>
      </c>
      <c r="S25" s="28" t="s">
        <v>604</v>
      </c>
      <c r="T25" s="28" t="s">
        <v>604</v>
      </c>
      <c r="U25" s="28" t="s">
        <v>1915</v>
      </c>
      <c r="V25" s="6" t="s">
        <v>604</v>
      </c>
      <c r="W25" s="6" t="s">
        <v>604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7575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H4" s="81" t="s">
        <v>6266</v>
      </c>
    </row>
    <row r="5" customFormat="false" ht="15" hidden="false" customHeight="true" outlineLevel="0" collapsed="false">
      <c r="A5" s="28" t="s">
        <v>4457</v>
      </c>
      <c r="B5" s="6" t="s">
        <v>7576</v>
      </c>
      <c r="C5" s="223" t="n">
        <v>4</v>
      </c>
      <c r="D5" s="221"/>
      <c r="E5" s="221"/>
      <c r="F5" s="28" t="s">
        <v>93</v>
      </c>
      <c r="G5" s="221" t="s">
        <v>7577</v>
      </c>
      <c r="H5" s="28" t="s">
        <v>7578</v>
      </c>
      <c r="I5" s="28" t="s">
        <v>6865</v>
      </c>
      <c r="J5" s="6" t="s">
        <v>7579</v>
      </c>
      <c r="K5" s="221" t="n">
        <v>2</v>
      </c>
      <c r="L5" s="221" t="s">
        <v>6273</v>
      </c>
      <c r="M5" s="6" t="s">
        <v>7580</v>
      </c>
      <c r="N5" s="221" t="s">
        <v>6286</v>
      </c>
      <c r="O5" s="28" t="s">
        <v>6276</v>
      </c>
      <c r="P5" s="28" t="s">
        <v>604</v>
      </c>
      <c r="Q5" s="28" t="s">
        <v>7581</v>
      </c>
      <c r="R5" s="28" t="s">
        <v>604</v>
      </c>
      <c r="S5" s="28" t="s">
        <v>604</v>
      </c>
      <c r="T5" s="28" t="s">
        <v>604</v>
      </c>
      <c r="U5" s="28" t="s">
        <v>7582</v>
      </c>
      <c r="V5" s="6" t="s">
        <v>7583</v>
      </c>
      <c r="W5" s="6" t="s">
        <v>604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4460</v>
      </c>
      <c r="B6" s="6" t="s">
        <v>7584</v>
      </c>
      <c r="C6" s="223" t="n">
        <v>15</v>
      </c>
      <c r="D6" s="221"/>
      <c r="E6" s="221"/>
      <c r="F6" s="28" t="s">
        <v>93</v>
      </c>
      <c r="G6" s="221" t="s">
        <v>6361</v>
      </c>
      <c r="H6" s="28" t="s">
        <v>7578</v>
      </c>
      <c r="I6" s="28" t="s">
        <v>6865</v>
      </c>
      <c r="J6" s="6" t="s">
        <v>7579</v>
      </c>
      <c r="K6" s="221" t="n">
        <v>2</v>
      </c>
      <c r="L6" s="221" t="s">
        <v>6273</v>
      </c>
      <c r="M6" s="6" t="s">
        <v>7580</v>
      </c>
      <c r="N6" s="221" t="s">
        <v>6286</v>
      </c>
      <c r="O6" s="28" t="s">
        <v>6276</v>
      </c>
      <c r="P6" s="28" t="s">
        <v>604</v>
      </c>
      <c r="Q6" s="28" t="s">
        <v>7581</v>
      </c>
      <c r="R6" s="28" t="s">
        <v>604</v>
      </c>
      <c r="S6" s="28" t="s">
        <v>604</v>
      </c>
      <c r="T6" s="28" t="s">
        <v>604</v>
      </c>
      <c r="U6" s="28" t="s">
        <v>7582</v>
      </c>
      <c r="V6" s="6" t="s">
        <v>7585</v>
      </c>
      <c r="W6" s="6" t="s">
        <v>7586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4968</v>
      </c>
      <c r="B7" s="6" t="s">
        <v>7587</v>
      </c>
      <c r="C7" s="223" t="n">
        <v>0.627</v>
      </c>
      <c r="D7" s="221"/>
      <c r="E7" s="221"/>
      <c r="F7" s="28" t="s">
        <v>89</v>
      </c>
      <c r="G7" s="28" t="s">
        <v>7588</v>
      </c>
      <c r="H7" s="28" t="s">
        <v>1202</v>
      </c>
      <c r="I7" s="28" t="s">
        <v>1207</v>
      </c>
      <c r="J7" s="6" t="s">
        <v>7589</v>
      </c>
      <c r="K7" s="221" t="n">
        <v>2</v>
      </c>
      <c r="L7" s="221" t="s">
        <v>6273</v>
      </c>
      <c r="M7" s="6" t="s">
        <v>7590</v>
      </c>
      <c r="N7" s="221" t="s">
        <v>6286</v>
      </c>
      <c r="O7" s="28" t="s">
        <v>6276</v>
      </c>
      <c r="P7" s="28" t="s">
        <v>604</v>
      </c>
      <c r="Q7" s="28" t="s">
        <v>7591</v>
      </c>
      <c r="R7" s="28" t="s">
        <v>604</v>
      </c>
      <c r="S7" s="28" t="s">
        <v>604</v>
      </c>
      <c r="T7" s="28" t="s">
        <v>604</v>
      </c>
      <c r="U7" s="28" t="s">
        <v>1896</v>
      </c>
      <c r="V7" s="6" t="s">
        <v>7592</v>
      </c>
      <c r="W7" s="6" t="s">
        <v>604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7593</v>
      </c>
      <c r="B8" s="6" t="s">
        <v>7594</v>
      </c>
      <c r="C8" s="223" t="n">
        <v>26098</v>
      </c>
      <c r="D8" s="221"/>
      <c r="E8" s="221"/>
      <c r="F8" s="28" t="s">
        <v>419</v>
      </c>
      <c r="G8" s="221" t="s">
        <v>115</v>
      </c>
      <c r="H8" s="28" t="s">
        <v>1202</v>
      </c>
      <c r="I8" s="28" t="s">
        <v>1207</v>
      </c>
      <c r="J8" s="6" t="s">
        <v>7589</v>
      </c>
      <c r="K8" s="221" t="n">
        <v>2</v>
      </c>
      <c r="L8" s="221" t="s">
        <v>6273</v>
      </c>
      <c r="M8" s="6" t="s">
        <v>7590</v>
      </c>
      <c r="N8" s="221" t="s">
        <v>6286</v>
      </c>
      <c r="O8" s="28" t="s">
        <v>6276</v>
      </c>
      <c r="P8" s="28" t="s">
        <v>604</v>
      </c>
      <c r="Q8" s="28" t="s">
        <v>7591</v>
      </c>
      <c r="R8" s="28" t="s">
        <v>604</v>
      </c>
      <c r="S8" s="28" t="s">
        <v>604</v>
      </c>
      <c r="T8" s="28" t="s">
        <v>604</v>
      </c>
      <c r="U8" s="28" t="s">
        <v>1896</v>
      </c>
      <c r="V8" s="6" t="s">
        <v>7595</v>
      </c>
      <c r="W8" s="6" t="s">
        <v>604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7596</v>
      </c>
      <c r="B9" s="6" t="s">
        <v>7597</v>
      </c>
      <c r="C9" s="223" t="n">
        <v>0.986</v>
      </c>
      <c r="D9" s="221"/>
      <c r="E9" s="221"/>
      <c r="F9" s="28" t="s">
        <v>89</v>
      </c>
      <c r="G9" s="221" t="s">
        <v>115</v>
      </c>
      <c r="H9" s="28" t="s">
        <v>1202</v>
      </c>
      <c r="I9" s="28" t="s">
        <v>1207</v>
      </c>
      <c r="J9" s="6" t="s">
        <v>7589</v>
      </c>
      <c r="K9" s="221" t="n">
        <v>2</v>
      </c>
      <c r="L9" s="221" t="s">
        <v>6273</v>
      </c>
      <c r="M9" s="6" t="s">
        <v>7590</v>
      </c>
      <c r="N9" s="221" t="s">
        <v>6286</v>
      </c>
      <c r="O9" s="28" t="s">
        <v>6276</v>
      </c>
      <c r="P9" s="28" t="s">
        <v>604</v>
      </c>
      <c r="Q9" s="28" t="s">
        <v>7591</v>
      </c>
      <c r="R9" s="28" t="s">
        <v>604</v>
      </c>
      <c r="S9" s="28" t="s">
        <v>604</v>
      </c>
      <c r="T9" s="28" t="s">
        <v>604</v>
      </c>
      <c r="U9" s="28" t="s">
        <v>1896</v>
      </c>
      <c r="V9" s="6" t="s">
        <v>7598</v>
      </c>
      <c r="W9" s="6" t="s">
        <v>604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7599</v>
      </c>
      <c r="B10" s="6" t="s">
        <v>7600</v>
      </c>
      <c r="C10" s="223" t="n">
        <v>17332</v>
      </c>
      <c r="D10" s="221"/>
      <c r="E10" s="221"/>
      <c r="F10" s="28" t="s">
        <v>419</v>
      </c>
      <c r="G10" s="221" t="s">
        <v>115</v>
      </c>
      <c r="H10" s="28" t="s">
        <v>1202</v>
      </c>
      <c r="I10" s="28" t="s">
        <v>1207</v>
      </c>
      <c r="J10" s="6" t="s">
        <v>7589</v>
      </c>
      <c r="K10" s="221" t="n">
        <v>2</v>
      </c>
      <c r="L10" s="221" t="s">
        <v>6273</v>
      </c>
      <c r="M10" s="6" t="s">
        <v>7590</v>
      </c>
      <c r="N10" s="221" t="s">
        <v>6286</v>
      </c>
      <c r="O10" s="28" t="s">
        <v>6276</v>
      </c>
      <c r="P10" s="28" t="s">
        <v>604</v>
      </c>
      <c r="Q10" s="28" t="s">
        <v>7591</v>
      </c>
      <c r="R10" s="28" t="s">
        <v>604</v>
      </c>
      <c r="S10" s="28" t="s">
        <v>604</v>
      </c>
      <c r="T10" s="28" t="s">
        <v>604</v>
      </c>
      <c r="U10" s="28" t="s">
        <v>1896</v>
      </c>
      <c r="V10" s="6" t="s">
        <v>7601</v>
      </c>
      <c r="W10" s="6" t="s">
        <v>604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7602</v>
      </c>
      <c r="B11" s="6" t="s">
        <v>7603</v>
      </c>
      <c r="C11" s="223" t="n">
        <v>0.999</v>
      </c>
      <c r="D11" s="221"/>
      <c r="E11" s="221"/>
      <c r="F11" s="28" t="s">
        <v>89</v>
      </c>
      <c r="G11" s="28" t="s">
        <v>7604</v>
      </c>
      <c r="H11" s="28" t="s">
        <v>1202</v>
      </c>
      <c r="I11" s="28" t="s">
        <v>1207</v>
      </c>
      <c r="J11" s="6" t="s">
        <v>7589</v>
      </c>
      <c r="K11" s="221" t="n">
        <v>2</v>
      </c>
      <c r="L11" s="221" t="s">
        <v>6273</v>
      </c>
      <c r="M11" s="6" t="s">
        <v>7590</v>
      </c>
      <c r="N11" s="221" t="s">
        <v>6286</v>
      </c>
      <c r="O11" s="28" t="s">
        <v>6276</v>
      </c>
      <c r="P11" s="28" t="s">
        <v>604</v>
      </c>
      <c r="Q11" s="28" t="s">
        <v>7591</v>
      </c>
      <c r="R11" s="28" t="s">
        <v>604</v>
      </c>
      <c r="S11" s="28" t="s">
        <v>604</v>
      </c>
      <c r="T11" s="28" t="s">
        <v>604</v>
      </c>
      <c r="U11" s="28" t="s">
        <v>1896</v>
      </c>
      <c r="V11" s="6" t="s">
        <v>7605</v>
      </c>
      <c r="W11" s="6" t="s">
        <v>604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7606</v>
      </c>
      <c r="B12" s="6" t="s">
        <v>7607</v>
      </c>
      <c r="C12" s="223" t="n">
        <v>18817</v>
      </c>
      <c r="D12" s="221"/>
      <c r="E12" s="221"/>
      <c r="F12" s="28" t="s">
        <v>419</v>
      </c>
      <c r="G12" s="221" t="s">
        <v>115</v>
      </c>
      <c r="H12" s="28" t="s">
        <v>1202</v>
      </c>
      <c r="I12" s="28" t="s">
        <v>1207</v>
      </c>
      <c r="J12" s="6" t="s">
        <v>7589</v>
      </c>
      <c r="K12" s="221" t="n">
        <v>2</v>
      </c>
      <c r="L12" s="221" t="s">
        <v>6273</v>
      </c>
      <c r="M12" s="6" t="s">
        <v>7590</v>
      </c>
      <c r="N12" s="221" t="s">
        <v>6286</v>
      </c>
      <c r="O12" s="28" t="s">
        <v>6276</v>
      </c>
      <c r="P12" s="28" t="s">
        <v>604</v>
      </c>
      <c r="Q12" s="28" t="s">
        <v>7591</v>
      </c>
      <c r="R12" s="28" t="s">
        <v>604</v>
      </c>
      <c r="S12" s="28" t="s">
        <v>604</v>
      </c>
      <c r="T12" s="28" t="s">
        <v>604</v>
      </c>
      <c r="U12" s="28" t="s">
        <v>1896</v>
      </c>
      <c r="V12" s="6" t="s">
        <v>7608</v>
      </c>
      <c r="W12" s="19" t="s">
        <v>7609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7610</v>
      </c>
      <c r="B13" s="6" t="s">
        <v>7611</v>
      </c>
      <c r="C13" s="223" t="n">
        <v>19302</v>
      </c>
      <c r="D13" s="221"/>
      <c r="E13" s="221"/>
      <c r="F13" s="28" t="s">
        <v>419</v>
      </c>
      <c r="G13" s="221" t="s">
        <v>115</v>
      </c>
      <c r="H13" s="28" t="s">
        <v>1202</v>
      </c>
      <c r="I13" s="28" t="s">
        <v>1207</v>
      </c>
      <c r="J13" s="6" t="s">
        <v>7589</v>
      </c>
      <c r="K13" s="221" t="n">
        <v>2</v>
      </c>
      <c r="L13" s="221" t="s">
        <v>6273</v>
      </c>
      <c r="M13" s="6" t="s">
        <v>7590</v>
      </c>
      <c r="N13" s="221" t="s">
        <v>6286</v>
      </c>
      <c r="O13" s="28" t="s">
        <v>6322</v>
      </c>
      <c r="P13" s="28" t="s">
        <v>604</v>
      </c>
      <c r="Q13" s="28" t="s">
        <v>7591</v>
      </c>
      <c r="R13" s="28" t="s">
        <v>604</v>
      </c>
      <c r="S13" s="28" t="s">
        <v>604</v>
      </c>
      <c r="T13" s="28" t="s">
        <v>604</v>
      </c>
      <c r="U13" s="28" t="s">
        <v>1896</v>
      </c>
      <c r="V13" s="6" t="s">
        <v>604</v>
      </c>
      <c r="W13" s="19" t="s">
        <v>7612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7613</v>
      </c>
      <c r="B14" s="6" t="s">
        <v>7614</v>
      </c>
      <c r="C14" s="223" t="n">
        <v>0.51</v>
      </c>
      <c r="D14" s="221"/>
      <c r="E14" s="221"/>
      <c r="F14" s="28" t="s">
        <v>93</v>
      </c>
      <c r="G14" s="221" t="s">
        <v>7615</v>
      </c>
      <c r="H14" s="28" t="s">
        <v>1202</v>
      </c>
      <c r="I14" s="28" t="s">
        <v>1207</v>
      </c>
      <c r="J14" s="6" t="s">
        <v>7589</v>
      </c>
      <c r="K14" s="221" t="n">
        <v>2</v>
      </c>
      <c r="L14" s="221" t="s">
        <v>6273</v>
      </c>
      <c r="M14" s="6" t="s">
        <v>7590</v>
      </c>
      <c r="N14" s="221" t="s">
        <v>6286</v>
      </c>
      <c r="O14" s="28" t="s">
        <v>6276</v>
      </c>
      <c r="P14" s="28" t="s">
        <v>604</v>
      </c>
      <c r="Q14" s="28" t="s">
        <v>7591</v>
      </c>
      <c r="R14" s="28" t="s">
        <v>604</v>
      </c>
      <c r="S14" s="28" t="s">
        <v>604</v>
      </c>
      <c r="T14" s="28" t="s">
        <v>604</v>
      </c>
      <c r="U14" s="28" t="s">
        <v>1896</v>
      </c>
      <c r="V14" s="6" t="s">
        <v>7616</v>
      </c>
      <c r="W14" s="6" t="s">
        <v>604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7617</v>
      </c>
      <c r="B15" s="6" t="s">
        <v>7618</v>
      </c>
      <c r="C15" s="223" t="n">
        <v>3.66</v>
      </c>
      <c r="D15" s="221"/>
      <c r="E15" s="221"/>
      <c r="F15" s="28" t="s">
        <v>93</v>
      </c>
      <c r="G15" s="28" t="s">
        <v>604</v>
      </c>
      <c r="H15" s="28" t="s">
        <v>1202</v>
      </c>
      <c r="I15" s="28" t="s">
        <v>1207</v>
      </c>
      <c r="J15" s="6" t="s">
        <v>7589</v>
      </c>
      <c r="K15" s="221" t="n">
        <v>2</v>
      </c>
      <c r="L15" s="221" t="s">
        <v>6273</v>
      </c>
      <c r="M15" s="6" t="s">
        <v>7590</v>
      </c>
      <c r="N15" s="221" t="s">
        <v>6286</v>
      </c>
      <c r="O15" s="28" t="s">
        <v>6276</v>
      </c>
      <c r="P15" s="28" t="s">
        <v>604</v>
      </c>
      <c r="Q15" s="28" t="s">
        <v>7591</v>
      </c>
      <c r="R15" s="28" t="s">
        <v>604</v>
      </c>
      <c r="S15" s="28" t="s">
        <v>604</v>
      </c>
      <c r="T15" s="28" t="s">
        <v>604</v>
      </c>
      <c r="U15" s="28" t="s">
        <v>1896</v>
      </c>
      <c r="V15" s="6" t="s">
        <v>604</v>
      </c>
      <c r="W15" s="6" t="s">
        <v>604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7619</v>
      </c>
      <c r="B16" s="6" t="s">
        <v>7620</v>
      </c>
      <c r="C16" s="223" t="n">
        <v>0.302</v>
      </c>
      <c r="D16" s="221"/>
      <c r="E16" s="221"/>
      <c r="F16" s="28" t="s">
        <v>89</v>
      </c>
      <c r="G16" s="28" t="s">
        <v>7621</v>
      </c>
      <c r="H16" s="28" t="s">
        <v>1209</v>
      </c>
      <c r="I16" s="28" t="s">
        <v>1207</v>
      </c>
      <c r="J16" s="6" t="s">
        <v>7589</v>
      </c>
      <c r="K16" s="221" t="n">
        <v>2</v>
      </c>
      <c r="L16" s="221" t="s">
        <v>6273</v>
      </c>
      <c r="M16" s="6" t="s">
        <v>7590</v>
      </c>
      <c r="N16" s="221" t="s">
        <v>6286</v>
      </c>
      <c r="O16" s="28" t="s">
        <v>6276</v>
      </c>
      <c r="P16" s="28" t="s">
        <v>604</v>
      </c>
      <c r="Q16" s="28" t="s">
        <v>7591</v>
      </c>
      <c r="R16" s="28" t="s">
        <v>604</v>
      </c>
      <c r="S16" s="28" t="s">
        <v>604</v>
      </c>
      <c r="T16" s="28" t="s">
        <v>604</v>
      </c>
      <c r="U16" s="28" t="s">
        <v>1896</v>
      </c>
      <c r="V16" s="6" t="s">
        <v>7622</v>
      </c>
      <c r="W16" s="6" t="s">
        <v>604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7623</v>
      </c>
      <c r="B17" s="6" t="s">
        <v>7624</v>
      </c>
      <c r="C17" s="223" t="n">
        <v>4.72</v>
      </c>
      <c r="D17" s="221"/>
      <c r="E17" s="221"/>
      <c r="F17" s="28" t="s">
        <v>7625</v>
      </c>
      <c r="G17" s="28" t="s">
        <v>7626</v>
      </c>
      <c r="H17" s="28" t="s">
        <v>1202</v>
      </c>
      <c r="I17" s="28" t="s">
        <v>1207</v>
      </c>
      <c r="J17" s="6" t="s">
        <v>7627</v>
      </c>
      <c r="K17" s="221" t="n">
        <v>2</v>
      </c>
      <c r="L17" s="221" t="s">
        <v>6380</v>
      </c>
      <c r="M17" s="6" t="s">
        <v>7628</v>
      </c>
      <c r="N17" s="221" t="s">
        <v>6286</v>
      </c>
      <c r="O17" s="28" t="s">
        <v>6276</v>
      </c>
      <c r="P17" s="28" t="s">
        <v>604</v>
      </c>
      <c r="Q17" s="28" t="s">
        <v>7629</v>
      </c>
      <c r="R17" s="28" t="s">
        <v>604</v>
      </c>
      <c r="S17" s="28" t="s">
        <v>604</v>
      </c>
      <c r="T17" s="28" t="s">
        <v>604</v>
      </c>
      <c r="U17" s="28" t="s">
        <v>7630</v>
      </c>
      <c r="V17" s="6" t="s">
        <v>604</v>
      </c>
      <c r="W17" s="19" t="s">
        <v>7631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7632</v>
      </c>
      <c r="B18" s="6" t="s">
        <v>7633</v>
      </c>
      <c r="C18" s="223" t="n">
        <v>9.18</v>
      </c>
      <c r="D18" s="221"/>
      <c r="E18" s="221"/>
      <c r="F18" s="28" t="s">
        <v>7625</v>
      </c>
      <c r="G18" s="28" t="s">
        <v>7626</v>
      </c>
      <c r="H18" s="28" t="s">
        <v>1205</v>
      </c>
      <c r="I18" s="28" t="s">
        <v>1207</v>
      </c>
      <c r="J18" s="6" t="s">
        <v>7627</v>
      </c>
      <c r="K18" s="221" t="n">
        <v>2</v>
      </c>
      <c r="L18" s="221" t="s">
        <v>6380</v>
      </c>
      <c r="M18" s="6" t="s">
        <v>7628</v>
      </c>
      <c r="N18" s="221" t="s">
        <v>6286</v>
      </c>
      <c r="O18" s="28" t="s">
        <v>6276</v>
      </c>
      <c r="P18" s="28" t="s">
        <v>604</v>
      </c>
      <c r="Q18" s="28" t="s">
        <v>7629</v>
      </c>
      <c r="R18" s="28" t="s">
        <v>604</v>
      </c>
      <c r="S18" s="28" t="s">
        <v>604</v>
      </c>
      <c r="T18" s="28" t="s">
        <v>604</v>
      </c>
      <c r="U18" s="28" t="s">
        <v>7630</v>
      </c>
      <c r="V18" s="6" t="s">
        <v>604</v>
      </c>
      <c r="W18" s="19" t="s">
        <v>7631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7634</v>
      </c>
      <c r="B19" s="6" t="s">
        <v>7635</v>
      </c>
      <c r="C19" s="223" t="n">
        <v>1</v>
      </c>
      <c r="D19" s="221"/>
      <c r="E19" s="221"/>
      <c r="F19" s="28" t="s">
        <v>89</v>
      </c>
      <c r="G19" s="221" t="s">
        <v>7636</v>
      </c>
      <c r="H19" s="28" t="s">
        <v>1209</v>
      </c>
      <c r="I19" s="28" t="s">
        <v>1207</v>
      </c>
      <c r="J19" s="6" t="s">
        <v>7637</v>
      </c>
      <c r="K19" s="221" t="n">
        <v>2</v>
      </c>
      <c r="L19" s="221" t="s">
        <v>6273</v>
      </c>
      <c r="M19" s="6" t="s">
        <v>7638</v>
      </c>
      <c r="N19" s="221" t="s">
        <v>6286</v>
      </c>
      <c r="O19" s="28" t="s">
        <v>6276</v>
      </c>
      <c r="P19" s="28" t="s">
        <v>604</v>
      </c>
      <c r="Q19" s="28" t="s">
        <v>7639</v>
      </c>
      <c r="R19" s="28" t="s">
        <v>604</v>
      </c>
      <c r="S19" s="28" t="s">
        <v>604</v>
      </c>
      <c r="T19" s="28" t="s">
        <v>604</v>
      </c>
      <c r="U19" s="28" t="s">
        <v>7640</v>
      </c>
      <c r="V19" s="6" t="s">
        <v>7641</v>
      </c>
      <c r="W19" s="19" t="s">
        <v>7642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7643</v>
      </c>
    </row>
    <row r="2" customFormat="false" ht="15" hidden="false" customHeight="true" outlineLevel="0" collapsed="false">
      <c r="A2" s="230" t="s">
        <v>6247</v>
      </c>
    </row>
    <row r="3" customFormat="false" ht="15" hidden="false" customHeight="true" outlineLevel="0" collapsed="false">
      <c r="A3" s="230" t="s">
        <v>6248</v>
      </c>
    </row>
    <row r="4" customFormat="false" ht="43.5" hidden="false" customHeight="true" outlineLevel="0" collapsed="false">
      <c r="A4" s="82" t="s">
        <v>6249</v>
      </c>
      <c r="B4" s="219" t="s">
        <v>2286</v>
      </c>
      <c r="C4" s="219" t="s">
        <v>6250</v>
      </c>
      <c r="D4" s="219" t="s">
        <v>1133</v>
      </c>
      <c r="E4" s="219" t="s">
        <v>1134</v>
      </c>
      <c r="F4" s="219" t="s">
        <v>73</v>
      </c>
      <c r="G4" s="219" t="s">
        <v>456</v>
      </c>
      <c r="H4" s="219" t="s">
        <v>6251</v>
      </c>
      <c r="I4" s="219" t="s">
        <v>5588</v>
      </c>
      <c r="J4" s="219" t="s">
        <v>5591</v>
      </c>
      <c r="K4" s="219" t="s">
        <v>5762</v>
      </c>
      <c r="L4" s="219" t="s">
        <v>6252</v>
      </c>
      <c r="M4" s="219" t="s">
        <v>6253</v>
      </c>
      <c r="N4" s="219" t="s">
        <v>6254</v>
      </c>
      <c r="O4" s="219" t="s">
        <v>591</v>
      </c>
      <c r="P4" s="219" t="s">
        <v>6255</v>
      </c>
      <c r="Q4" s="82" t="s">
        <v>6256</v>
      </c>
      <c r="R4" s="219" t="s">
        <v>6257</v>
      </c>
      <c r="S4" s="219" t="s">
        <v>6258</v>
      </c>
      <c r="T4" s="82" t="s">
        <v>6259</v>
      </c>
      <c r="U4" s="219" t="s">
        <v>6260</v>
      </c>
      <c r="V4" s="219" t="s">
        <v>6261</v>
      </c>
      <c r="W4" s="219" t="s">
        <v>6262</v>
      </c>
      <c r="X4" s="219" t="s">
        <v>6263</v>
      </c>
      <c r="Y4" s="219" t="s">
        <v>6264</v>
      </c>
      <c r="Z4" s="219" t="s">
        <v>6265</v>
      </c>
      <c r="AH4" s="81" t="s">
        <v>6266</v>
      </c>
    </row>
    <row r="5" customFormat="false" ht="29.25" hidden="false" customHeight="true" outlineLevel="0" collapsed="false">
      <c r="A5" s="28" t="s">
        <v>2808</v>
      </c>
      <c r="B5" s="19" t="s">
        <v>7644</v>
      </c>
      <c r="C5" s="223" t="n">
        <v>0.096</v>
      </c>
      <c r="D5" s="221"/>
      <c r="E5" s="221"/>
      <c r="F5" s="28" t="s">
        <v>89</v>
      </c>
      <c r="G5" s="221" t="s">
        <v>7645</v>
      </c>
      <c r="H5" s="28" t="s">
        <v>1195</v>
      </c>
      <c r="I5" s="28" t="s">
        <v>6313</v>
      </c>
      <c r="J5" s="6" t="s">
        <v>7646</v>
      </c>
      <c r="K5" s="221" t="n">
        <v>1</v>
      </c>
      <c r="L5" s="221" t="s">
        <v>6380</v>
      </c>
      <c r="M5" s="6" t="s">
        <v>7647</v>
      </c>
      <c r="N5" s="221" t="s">
        <v>6868</v>
      </c>
      <c r="O5" s="28" t="s">
        <v>6276</v>
      </c>
      <c r="P5" s="28" t="s">
        <v>604</v>
      </c>
      <c r="Q5" s="28" t="s">
        <v>7648</v>
      </c>
      <c r="R5" s="28" t="s">
        <v>604</v>
      </c>
      <c r="S5" s="28" t="s">
        <v>604</v>
      </c>
      <c r="T5" s="28" t="s">
        <v>604</v>
      </c>
      <c r="U5" s="28" t="s">
        <v>7649</v>
      </c>
      <c r="V5" s="6" t="s">
        <v>7650</v>
      </c>
      <c r="W5" s="19" t="s">
        <v>7651</v>
      </c>
      <c r="X5" s="30" t="n">
        <f aca="false">IF($O5="Active",SUMPRODUCT(($AH$5:$AH$126=$AH5)*1),0)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7652</v>
      </c>
      <c r="B6" s="19" t="s">
        <v>7653</v>
      </c>
      <c r="C6" s="223" t="n">
        <v>0.226</v>
      </c>
      <c r="D6" s="221"/>
      <c r="E6" s="221"/>
      <c r="F6" s="28" t="s">
        <v>89</v>
      </c>
      <c r="G6" s="221" t="s">
        <v>115</v>
      </c>
      <c r="H6" s="28" t="s">
        <v>1239</v>
      </c>
      <c r="I6" s="28" t="s">
        <v>6313</v>
      </c>
      <c r="J6" s="6" t="s">
        <v>7646</v>
      </c>
      <c r="K6" s="221" t="n">
        <v>1</v>
      </c>
      <c r="L6" s="221" t="s">
        <v>6380</v>
      </c>
      <c r="M6" s="6" t="s">
        <v>7647</v>
      </c>
      <c r="N6" s="221" t="s">
        <v>6868</v>
      </c>
      <c r="O6" s="28" t="s">
        <v>6276</v>
      </c>
      <c r="P6" s="28" t="s">
        <v>604</v>
      </c>
      <c r="Q6" s="28" t="s">
        <v>7648</v>
      </c>
      <c r="R6" s="28" t="s">
        <v>604</v>
      </c>
      <c r="S6" s="28" t="s">
        <v>604</v>
      </c>
      <c r="T6" s="28" t="s">
        <v>604</v>
      </c>
      <c r="U6" s="28" t="s">
        <v>7649</v>
      </c>
      <c r="V6" s="6" t="s">
        <v>7650</v>
      </c>
      <c r="W6" s="6" t="s">
        <v>604</v>
      </c>
      <c r="X6" s="30" t="n">
        <f aca="false">IF($O6="Active",SUMPRODUCT(($AH$5:$AH$126=$AH6)*1),0)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7654</v>
      </c>
      <c r="B7" s="19" t="s">
        <v>7655</v>
      </c>
      <c r="C7" s="223" t="n">
        <v>0.123</v>
      </c>
      <c r="D7" s="221"/>
      <c r="E7" s="221"/>
      <c r="F7" s="28" t="s">
        <v>89</v>
      </c>
      <c r="G7" s="221" t="s">
        <v>115</v>
      </c>
      <c r="H7" s="28" t="s">
        <v>1224</v>
      </c>
      <c r="I7" s="28" t="s">
        <v>6313</v>
      </c>
      <c r="J7" s="6" t="s">
        <v>7646</v>
      </c>
      <c r="K7" s="221" t="n">
        <v>1</v>
      </c>
      <c r="L7" s="221" t="s">
        <v>6380</v>
      </c>
      <c r="M7" s="6" t="s">
        <v>7647</v>
      </c>
      <c r="N7" s="221" t="s">
        <v>6868</v>
      </c>
      <c r="O7" s="28" t="s">
        <v>6276</v>
      </c>
      <c r="P7" s="28" t="s">
        <v>604</v>
      </c>
      <c r="Q7" s="28" t="s">
        <v>7648</v>
      </c>
      <c r="R7" s="28" t="s">
        <v>604</v>
      </c>
      <c r="S7" s="28" t="s">
        <v>604</v>
      </c>
      <c r="T7" s="28" t="s">
        <v>604</v>
      </c>
      <c r="U7" s="28" t="s">
        <v>7649</v>
      </c>
      <c r="V7" s="6" t="s">
        <v>604</v>
      </c>
      <c r="W7" s="6" t="s">
        <v>604</v>
      </c>
      <c r="X7" s="30" t="n">
        <f aca="false">IF($O7="Active",SUMPRODUCT(($AH$5:$AH$126=$AH7)*1),0)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4824</v>
      </c>
      <c r="B8" s="6" t="s">
        <v>7656</v>
      </c>
      <c r="C8" s="223" t="n">
        <v>8.4</v>
      </c>
      <c r="D8" s="221"/>
      <c r="E8" s="221"/>
      <c r="F8" s="28" t="s">
        <v>863</v>
      </c>
      <c r="G8" s="221" t="s">
        <v>7657</v>
      </c>
      <c r="H8" s="28" t="s">
        <v>1195</v>
      </c>
      <c r="I8" s="28" t="s">
        <v>6877</v>
      </c>
      <c r="J8" s="6" t="s">
        <v>7658</v>
      </c>
      <c r="K8" s="221" t="n">
        <v>2</v>
      </c>
      <c r="L8" s="221" t="s">
        <v>6273</v>
      </c>
      <c r="M8" s="6" t="s">
        <v>7659</v>
      </c>
      <c r="N8" s="221" t="s">
        <v>6286</v>
      </c>
      <c r="O8" s="28" t="s">
        <v>6276</v>
      </c>
      <c r="P8" s="28" t="s">
        <v>604</v>
      </c>
      <c r="Q8" s="28" t="s">
        <v>7660</v>
      </c>
      <c r="R8" s="28" t="s">
        <v>604</v>
      </c>
      <c r="S8" s="28" t="s">
        <v>604</v>
      </c>
      <c r="T8" s="28" t="s">
        <v>604</v>
      </c>
      <c r="U8" s="28" t="s">
        <v>7661</v>
      </c>
      <c r="V8" s="6" t="s">
        <v>7662</v>
      </c>
      <c r="W8" s="19" t="s">
        <v>7663</v>
      </c>
      <c r="X8" s="30" t="n">
        <f aca="false">IF($O8="Active",SUMPRODUCT(($AH$5:$AH$126=$AH8)*1),0)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2914</v>
      </c>
      <c r="B9" s="6" t="s">
        <v>7664</v>
      </c>
      <c r="C9" s="223" t="n">
        <v>3.9</v>
      </c>
      <c r="D9" s="221"/>
      <c r="E9" s="221"/>
      <c r="F9" s="28" t="s">
        <v>863</v>
      </c>
      <c r="G9" s="221" t="s">
        <v>7665</v>
      </c>
      <c r="H9" s="28" t="s">
        <v>1195</v>
      </c>
      <c r="I9" s="28" t="s">
        <v>6877</v>
      </c>
      <c r="J9" s="6" t="s">
        <v>7658</v>
      </c>
      <c r="K9" s="221" t="n">
        <v>2</v>
      </c>
      <c r="L9" s="221" t="s">
        <v>6273</v>
      </c>
      <c r="M9" s="6" t="s">
        <v>7659</v>
      </c>
      <c r="N9" s="221" t="s">
        <v>6286</v>
      </c>
      <c r="O9" s="28" t="s">
        <v>6276</v>
      </c>
      <c r="P9" s="28" t="s">
        <v>604</v>
      </c>
      <c r="Q9" s="28" t="s">
        <v>7660</v>
      </c>
      <c r="R9" s="28" t="s">
        <v>604</v>
      </c>
      <c r="S9" s="28" t="s">
        <v>604</v>
      </c>
      <c r="T9" s="28" t="s">
        <v>604</v>
      </c>
      <c r="U9" s="28" t="s">
        <v>7661</v>
      </c>
      <c r="V9" s="6" t="s">
        <v>7666</v>
      </c>
      <c r="W9" s="19" t="s">
        <v>7667</v>
      </c>
      <c r="X9" s="30" t="n">
        <f aca="false">IF($O9="Active",SUMPRODUCT(($AH$5:$AH$126=$AH9)*1),0)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2854</v>
      </c>
      <c r="B10" s="6" t="s">
        <v>7668</v>
      </c>
      <c r="C10" s="223" t="n">
        <v>12</v>
      </c>
      <c r="D10" s="221"/>
      <c r="E10" s="221"/>
      <c r="F10" s="28" t="s">
        <v>863</v>
      </c>
      <c r="G10" s="221" t="s">
        <v>7669</v>
      </c>
      <c r="H10" s="28" t="s">
        <v>1195</v>
      </c>
      <c r="I10" s="28" t="s">
        <v>6877</v>
      </c>
      <c r="J10" s="6" t="s">
        <v>7658</v>
      </c>
      <c r="K10" s="221" t="n">
        <v>2</v>
      </c>
      <c r="L10" s="221" t="s">
        <v>6273</v>
      </c>
      <c r="M10" s="6" t="s">
        <v>7659</v>
      </c>
      <c r="N10" s="221" t="s">
        <v>6286</v>
      </c>
      <c r="O10" s="28" t="s">
        <v>6276</v>
      </c>
      <c r="P10" s="28" t="s">
        <v>604</v>
      </c>
      <c r="Q10" s="28" t="s">
        <v>7660</v>
      </c>
      <c r="R10" s="28" t="s">
        <v>604</v>
      </c>
      <c r="S10" s="28" t="s">
        <v>604</v>
      </c>
      <c r="T10" s="28" t="s">
        <v>604</v>
      </c>
      <c r="U10" s="28" t="s">
        <v>7661</v>
      </c>
      <c r="V10" s="6" t="s">
        <v>7662</v>
      </c>
      <c r="W10" s="6" t="s">
        <v>604</v>
      </c>
      <c r="X10" s="30" t="n">
        <f aca="false">IF($O10="Active",SUMPRODUCT(($AH$5:$AH$126=$AH10)*1),0)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2818</v>
      </c>
      <c r="B11" s="6" t="s">
        <v>7670</v>
      </c>
      <c r="C11" s="223" t="n">
        <v>13.07</v>
      </c>
      <c r="D11" s="221"/>
      <c r="E11" s="221"/>
      <c r="F11" s="28" t="s">
        <v>863</v>
      </c>
      <c r="G11" s="221" t="s">
        <v>7665</v>
      </c>
      <c r="H11" s="28" t="s">
        <v>1195</v>
      </c>
      <c r="I11" s="28" t="s">
        <v>6877</v>
      </c>
      <c r="J11" s="6" t="s">
        <v>7658</v>
      </c>
      <c r="K11" s="221" t="n">
        <v>2</v>
      </c>
      <c r="L11" s="221" t="s">
        <v>6273</v>
      </c>
      <c r="M11" s="6" t="s">
        <v>7659</v>
      </c>
      <c r="N11" s="221" t="s">
        <v>6286</v>
      </c>
      <c r="O11" s="28" t="s">
        <v>6276</v>
      </c>
      <c r="P11" s="28" t="s">
        <v>604</v>
      </c>
      <c r="Q11" s="28" t="s">
        <v>7660</v>
      </c>
      <c r="R11" s="28" t="s">
        <v>604</v>
      </c>
      <c r="S11" s="28" t="s">
        <v>604</v>
      </c>
      <c r="T11" s="28" t="s">
        <v>604</v>
      </c>
      <c r="U11" s="28" t="s">
        <v>7661</v>
      </c>
      <c r="V11" s="6" t="s">
        <v>7671</v>
      </c>
      <c r="W11" s="6" t="s">
        <v>7672</v>
      </c>
      <c r="X11" s="30" t="n">
        <f aca="false">IF($O11="Active",SUMPRODUCT(($AH$5:$AH$126=$AH11)*1),0)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7673</v>
      </c>
      <c r="B12" s="6" t="s">
        <v>7674</v>
      </c>
      <c r="C12" s="223" t="n">
        <v>0.6</v>
      </c>
      <c r="D12" s="221"/>
      <c r="E12" s="221"/>
      <c r="F12" s="28" t="s">
        <v>81</v>
      </c>
      <c r="G12" s="28" t="s">
        <v>7675</v>
      </c>
      <c r="H12" s="28" t="s">
        <v>1195</v>
      </c>
      <c r="I12" s="28" t="s">
        <v>7676</v>
      </c>
      <c r="J12" s="6" t="s">
        <v>7658</v>
      </c>
      <c r="K12" s="221" t="n">
        <v>2</v>
      </c>
      <c r="L12" s="221" t="s">
        <v>6273</v>
      </c>
      <c r="M12" s="6" t="s">
        <v>7659</v>
      </c>
      <c r="N12" s="221" t="s">
        <v>6286</v>
      </c>
      <c r="O12" s="28" t="s">
        <v>6276</v>
      </c>
      <c r="P12" s="28" t="s">
        <v>604</v>
      </c>
      <c r="Q12" s="28" t="s">
        <v>7660</v>
      </c>
      <c r="R12" s="28" t="s">
        <v>604</v>
      </c>
      <c r="S12" s="28" t="s">
        <v>604</v>
      </c>
      <c r="T12" s="28" t="s">
        <v>604</v>
      </c>
      <c r="U12" s="28" t="s">
        <v>7661</v>
      </c>
      <c r="V12" s="6" t="s">
        <v>7671</v>
      </c>
      <c r="W12" s="6" t="s">
        <v>604</v>
      </c>
      <c r="X12" s="30" t="n">
        <f aca="false">IF($O12="Active",SUMPRODUCT(($AH$5:$AH$126=$AH12)*1),0)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7677</v>
      </c>
      <c r="B13" s="6" t="s">
        <v>7678</v>
      </c>
      <c r="C13" s="223" t="n">
        <v>1.9</v>
      </c>
      <c r="D13" s="221"/>
      <c r="E13" s="221"/>
      <c r="F13" s="28" t="s">
        <v>81</v>
      </c>
      <c r="G13" s="221" t="s">
        <v>7679</v>
      </c>
      <c r="H13" s="28" t="s">
        <v>1195</v>
      </c>
      <c r="I13" s="28" t="s">
        <v>6877</v>
      </c>
      <c r="J13" s="6" t="s">
        <v>7658</v>
      </c>
      <c r="K13" s="221" t="n">
        <v>2</v>
      </c>
      <c r="L13" s="221" t="s">
        <v>6273</v>
      </c>
      <c r="M13" s="6" t="s">
        <v>7659</v>
      </c>
      <c r="N13" s="221" t="s">
        <v>6286</v>
      </c>
      <c r="O13" s="28" t="s">
        <v>6276</v>
      </c>
      <c r="P13" s="28" t="s">
        <v>604</v>
      </c>
      <c r="Q13" s="28" t="s">
        <v>7660</v>
      </c>
      <c r="R13" s="28" t="s">
        <v>604</v>
      </c>
      <c r="S13" s="28" t="s">
        <v>604</v>
      </c>
      <c r="T13" s="28" t="s">
        <v>604</v>
      </c>
      <c r="U13" s="28" t="s">
        <v>7661</v>
      </c>
      <c r="V13" s="6" t="s">
        <v>7671</v>
      </c>
      <c r="W13" s="6" t="s">
        <v>7680</v>
      </c>
      <c r="X13" s="30" t="n">
        <f aca="false">IF($O13="Active",SUMPRODUCT(($AH$5:$AH$126=$AH13)*1),0)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5317</v>
      </c>
      <c r="B14" s="6" t="s">
        <v>7681</v>
      </c>
      <c r="C14" s="223" t="n">
        <v>6</v>
      </c>
      <c r="D14" s="221"/>
      <c r="E14" s="221"/>
      <c r="F14" s="28" t="s">
        <v>7682</v>
      </c>
      <c r="G14" s="221" t="s">
        <v>7683</v>
      </c>
      <c r="H14" s="28" t="s">
        <v>1195</v>
      </c>
      <c r="I14" s="28" t="s">
        <v>7684</v>
      </c>
      <c r="J14" s="6" t="s">
        <v>7685</v>
      </c>
      <c r="K14" s="221" t="n">
        <v>2</v>
      </c>
      <c r="L14" s="221" t="s">
        <v>6273</v>
      </c>
      <c r="M14" s="6" t="s">
        <v>7686</v>
      </c>
      <c r="N14" s="221" t="s">
        <v>6286</v>
      </c>
      <c r="O14" s="28" t="s">
        <v>6276</v>
      </c>
      <c r="P14" s="28" t="s">
        <v>604</v>
      </c>
      <c r="Q14" s="28" t="s">
        <v>7687</v>
      </c>
      <c r="R14" s="28" t="s">
        <v>604</v>
      </c>
      <c r="S14" s="28" t="s">
        <v>604</v>
      </c>
      <c r="T14" s="28" t="s">
        <v>604</v>
      </c>
      <c r="U14" s="28" t="s">
        <v>7688</v>
      </c>
      <c r="V14" s="6" t="s">
        <v>7689</v>
      </c>
      <c r="W14" s="6" t="s">
        <v>7690</v>
      </c>
      <c r="X14" s="30" t="n">
        <f aca="false">IF($O14="Active",SUMPRODUCT(($AH$5:$AH$126=$AH14)*1),0)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5517</v>
      </c>
      <c r="B15" s="6" t="s">
        <v>7681</v>
      </c>
      <c r="C15" s="223" t="n">
        <v>15</v>
      </c>
      <c r="D15" s="221"/>
      <c r="E15" s="221"/>
      <c r="F15" s="28" t="s">
        <v>7682</v>
      </c>
      <c r="G15" s="221" t="s">
        <v>7691</v>
      </c>
      <c r="H15" s="28" t="s">
        <v>1195</v>
      </c>
      <c r="I15" s="28" t="s">
        <v>7692</v>
      </c>
      <c r="J15" s="6" t="s">
        <v>7693</v>
      </c>
      <c r="K15" s="221" t="n">
        <v>1</v>
      </c>
      <c r="L15" s="221" t="s">
        <v>6273</v>
      </c>
      <c r="M15" s="6" t="s">
        <v>7694</v>
      </c>
      <c r="N15" s="221" t="s">
        <v>6275</v>
      </c>
      <c r="O15" s="28" t="s">
        <v>6276</v>
      </c>
      <c r="P15" s="28" t="s">
        <v>604</v>
      </c>
      <c r="Q15" s="28" t="s">
        <v>7695</v>
      </c>
      <c r="R15" s="28" t="s">
        <v>604</v>
      </c>
      <c r="S15" s="28" t="s">
        <v>5889</v>
      </c>
      <c r="T15" s="28" t="s">
        <v>604</v>
      </c>
      <c r="U15" s="28" t="s">
        <v>7688</v>
      </c>
      <c r="V15" s="19" t="s">
        <v>7696</v>
      </c>
      <c r="W15" s="6" t="s">
        <v>7697</v>
      </c>
      <c r="X15" s="30" t="n">
        <f aca="false">IF($O15="Active",SUMPRODUCT(($AH$5:$AH$126=$AH15)*1),0)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5324</v>
      </c>
      <c r="B16" s="6" t="s">
        <v>7698</v>
      </c>
      <c r="C16" s="223" t="n">
        <v>2.5</v>
      </c>
      <c r="D16" s="221"/>
      <c r="E16" s="221"/>
      <c r="F16" s="28" t="s">
        <v>1504</v>
      </c>
      <c r="G16" s="221" t="s">
        <v>7699</v>
      </c>
      <c r="H16" s="28" t="s">
        <v>1195</v>
      </c>
      <c r="I16" s="28" t="s">
        <v>7700</v>
      </c>
      <c r="J16" s="6" t="s">
        <v>7701</v>
      </c>
      <c r="K16" s="221" t="n">
        <v>2</v>
      </c>
      <c r="L16" s="221" t="s">
        <v>6273</v>
      </c>
      <c r="M16" s="6" t="s">
        <v>7686</v>
      </c>
      <c r="N16" s="221" t="s">
        <v>6286</v>
      </c>
      <c r="O16" s="28" t="s">
        <v>6276</v>
      </c>
      <c r="P16" s="28" t="s">
        <v>604</v>
      </c>
      <c r="Q16" s="28" t="s">
        <v>7702</v>
      </c>
      <c r="R16" s="28" t="s">
        <v>604</v>
      </c>
      <c r="S16" s="28" t="s">
        <v>604</v>
      </c>
      <c r="T16" s="28" t="s">
        <v>604</v>
      </c>
      <c r="U16" s="28" t="s">
        <v>7688</v>
      </c>
      <c r="V16" s="6" t="s">
        <v>7703</v>
      </c>
      <c r="W16" s="6" t="s">
        <v>7704</v>
      </c>
      <c r="X16" s="30" t="n">
        <f aca="false">IF($O16="Active",SUMPRODUCT(($AH$5:$AH$126=$AH16)*1),0)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2921</v>
      </c>
      <c r="B17" s="19" t="s">
        <v>7705</v>
      </c>
      <c r="C17" s="221"/>
      <c r="D17" s="223" t="n">
        <v>10</v>
      </c>
      <c r="E17" s="223" t="n">
        <v>100</v>
      </c>
      <c r="F17" s="28" t="s">
        <v>1292</v>
      </c>
      <c r="G17" s="221" t="s">
        <v>7706</v>
      </c>
      <c r="H17" s="28" t="s">
        <v>7707</v>
      </c>
      <c r="I17" s="28" t="s">
        <v>6877</v>
      </c>
      <c r="J17" s="6" t="s">
        <v>7708</v>
      </c>
      <c r="K17" s="221" t="n">
        <v>1</v>
      </c>
      <c r="L17" s="221" t="s">
        <v>6380</v>
      </c>
      <c r="M17" s="6" t="s">
        <v>7709</v>
      </c>
      <c r="N17" s="221" t="s">
        <v>6275</v>
      </c>
      <c r="O17" s="28" t="s">
        <v>6276</v>
      </c>
      <c r="P17" s="28" t="s">
        <v>604</v>
      </c>
      <c r="Q17" s="28" t="s">
        <v>7710</v>
      </c>
      <c r="R17" s="28" t="s">
        <v>604</v>
      </c>
      <c r="S17" s="28" t="s">
        <v>5889</v>
      </c>
      <c r="T17" s="28" t="s">
        <v>604</v>
      </c>
      <c r="U17" s="28" t="s">
        <v>7688</v>
      </c>
      <c r="V17" s="6" t="s">
        <v>7711</v>
      </c>
      <c r="W17" s="19" t="s">
        <v>7712</v>
      </c>
      <c r="X17" s="30" t="n">
        <f aca="false">IF($O17="Active",SUMPRODUCT(($AH$5:$AH$126=$AH17)*1),0)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7713</v>
      </c>
      <c r="B18" s="6" t="s">
        <v>7714</v>
      </c>
      <c r="C18" s="223" t="n">
        <v>6000</v>
      </c>
      <c r="D18" s="195"/>
      <c r="E18" s="195"/>
      <c r="F18" s="28" t="s">
        <v>7715</v>
      </c>
      <c r="G18" s="195" t="s">
        <v>7716</v>
      </c>
      <c r="H18" s="28" t="s">
        <v>7717</v>
      </c>
      <c r="I18" s="28" t="s">
        <v>7718</v>
      </c>
      <c r="J18" s="6" t="s">
        <v>7719</v>
      </c>
      <c r="K18" s="195" t="n">
        <v>1</v>
      </c>
      <c r="L18" s="195" t="s">
        <v>6273</v>
      </c>
      <c r="M18" s="6" t="s">
        <v>7720</v>
      </c>
      <c r="N18" s="195" t="s">
        <v>6275</v>
      </c>
      <c r="O18" s="28" t="s">
        <v>6276</v>
      </c>
      <c r="P18" s="28" t="s">
        <v>604</v>
      </c>
      <c r="Q18" s="28" t="s">
        <v>7721</v>
      </c>
      <c r="R18" s="28" t="s">
        <v>604</v>
      </c>
      <c r="S18" s="28" t="s">
        <v>604</v>
      </c>
      <c r="T18" s="28" t="s">
        <v>604</v>
      </c>
      <c r="U18" s="28" t="s">
        <v>6991</v>
      </c>
      <c r="V18" s="6" t="s">
        <v>604</v>
      </c>
      <c r="W18" s="6" t="s">
        <v>7722</v>
      </c>
      <c r="X18" s="30" t="n">
        <f aca="false">IF($O18="Active",SUMPRODUCT(($AH$5:$AH$126=$AH18)*1),0)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7723</v>
      </c>
      <c r="B19" s="6" t="s">
        <v>7724</v>
      </c>
      <c r="C19" s="223" t="n">
        <v>400</v>
      </c>
      <c r="D19" s="195"/>
      <c r="E19" s="195"/>
      <c r="F19" s="28" t="s">
        <v>7715</v>
      </c>
      <c r="G19" s="195" t="s">
        <v>7725</v>
      </c>
      <c r="H19" s="28" t="s">
        <v>7717</v>
      </c>
      <c r="I19" s="28" t="s">
        <v>7718</v>
      </c>
      <c r="J19" s="6" t="s">
        <v>7719</v>
      </c>
      <c r="K19" s="195" t="n">
        <v>1</v>
      </c>
      <c r="L19" s="195" t="s">
        <v>6273</v>
      </c>
      <c r="M19" s="6" t="s">
        <v>7720</v>
      </c>
      <c r="N19" s="195" t="s">
        <v>6275</v>
      </c>
      <c r="O19" s="28" t="s">
        <v>6276</v>
      </c>
      <c r="P19" s="28" t="s">
        <v>604</v>
      </c>
      <c r="Q19" s="28" t="s">
        <v>7721</v>
      </c>
      <c r="R19" s="28" t="s">
        <v>604</v>
      </c>
      <c r="S19" s="28" t="s">
        <v>604</v>
      </c>
      <c r="T19" s="28" t="s">
        <v>604</v>
      </c>
      <c r="U19" s="28" t="s">
        <v>6991</v>
      </c>
      <c r="V19" s="6" t="s">
        <v>604</v>
      </c>
      <c r="W19" s="6" t="s">
        <v>7726</v>
      </c>
      <c r="X19" s="30" t="n">
        <f aca="false">IF($O19="Active",SUMPRODUCT(($AH$5:$AH$126=$AH19)*1),0)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7727</v>
      </c>
      <c r="B20" s="6" t="s">
        <v>7728</v>
      </c>
      <c r="C20" s="223" t="n">
        <v>3.5</v>
      </c>
      <c r="D20" s="223" t="n">
        <v>3</v>
      </c>
      <c r="E20" s="223" t="n">
        <v>4</v>
      </c>
      <c r="F20" s="195" t="s">
        <v>7729</v>
      </c>
      <c r="G20" s="195" t="s">
        <v>7730</v>
      </c>
      <c r="H20" s="28" t="s">
        <v>7717</v>
      </c>
      <c r="I20" s="28" t="s">
        <v>7718</v>
      </c>
      <c r="J20" s="6" t="s">
        <v>7719</v>
      </c>
      <c r="K20" s="195" t="n">
        <v>1</v>
      </c>
      <c r="L20" s="195" t="s">
        <v>6273</v>
      </c>
      <c r="M20" s="6" t="s">
        <v>7720</v>
      </c>
      <c r="N20" s="195" t="s">
        <v>6275</v>
      </c>
      <c r="O20" s="28" t="s">
        <v>6276</v>
      </c>
      <c r="P20" s="28" t="s">
        <v>604</v>
      </c>
      <c r="Q20" s="28" t="s">
        <v>7721</v>
      </c>
      <c r="R20" s="28" t="s">
        <v>604</v>
      </c>
      <c r="S20" s="28" t="s">
        <v>604</v>
      </c>
      <c r="T20" s="28" t="s">
        <v>604</v>
      </c>
      <c r="U20" s="28" t="s">
        <v>6991</v>
      </c>
      <c r="V20" s="6" t="s">
        <v>604</v>
      </c>
      <c r="W20" s="6" t="s">
        <v>7731</v>
      </c>
      <c r="X20" s="30" t="n">
        <f aca="false">IF($O20="Active",SUMPRODUCT(($AH$5:$AH$126=$AH20)*1),0)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7732</v>
      </c>
      <c r="B21" s="6" t="s">
        <v>7733</v>
      </c>
      <c r="C21" s="223" t="n">
        <v>0.5</v>
      </c>
      <c r="D21" s="223" t="n">
        <v>0.5</v>
      </c>
      <c r="E21" s="195"/>
      <c r="F21" s="28" t="s">
        <v>89</v>
      </c>
      <c r="G21" s="195" t="s">
        <v>7734</v>
      </c>
      <c r="H21" s="28" t="s">
        <v>7717</v>
      </c>
      <c r="I21" s="28" t="s">
        <v>7718</v>
      </c>
      <c r="J21" s="6" t="s">
        <v>7719</v>
      </c>
      <c r="K21" s="195" t="n">
        <v>1</v>
      </c>
      <c r="L21" s="195" t="s">
        <v>6273</v>
      </c>
      <c r="M21" s="6" t="s">
        <v>7720</v>
      </c>
      <c r="N21" s="195" t="s">
        <v>6275</v>
      </c>
      <c r="O21" s="28" t="s">
        <v>6276</v>
      </c>
      <c r="P21" s="28" t="s">
        <v>604</v>
      </c>
      <c r="Q21" s="28" t="s">
        <v>7721</v>
      </c>
      <c r="R21" s="28" t="s">
        <v>604</v>
      </c>
      <c r="S21" s="28" t="s">
        <v>604</v>
      </c>
      <c r="T21" s="28" t="s">
        <v>604</v>
      </c>
      <c r="U21" s="28" t="s">
        <v>6991</v>
      </c>
      <c r="V21" s="6" t="s">
        <v>604</v>
      </c>
      <c r="W21" s="6" t="s">
        <v>7735</v>
      </c>
      <c r="X21" s="30" t="n">
        <f aca="false">IF($O21="Active",SUMPRODUCT(($AH$5:$AH$126=$AH21)*1),0)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2905</v>
      </c>
      <c r="B22" s="6" t="s">
        <v>7736</v>
      </c>
      <c r="C22" s="223" t="n">
        <v>12.6</v>
      </c>
      <c r="D22" s="223" t="n">
        <v>12.3</v>
      </c>
      <c r="E22" s="223" t="n">
        <v>13</v>
      </c>
      <c r="F22" s="28" t="s">
        <v>863</v>
      </c>
      <c r="G22" s="28" t="s">
        <v>7737</v>
      </c>
      <c r="H22" s="28" t="s">
        <v>1195</v>
      </c>
      <c r="I22" s="28" t="s">
        <v>6877</v>
      </c>
      <c r="J22" s="6" t="s">
        <v>7738</v>
      </c>
      <c r="K22" s="195" t="n">
        <v>2</v>
      </c>
      <c r="L22" s="195" t="s">
        <v>6273</v>
      </c>
      <c r="M22" s="6" t="s">
        <v>7739</v>
      </c>
      <c r="N22" s="195" t="s">
        <v>7740</v>
      </c>
      <c r="O22" s="28" t="s">
        <v>6276</v>
      </c>
      <c r="P22" s="28" t="s">
        <v>604</v>
      </c>
      <c r="Q22" s="28" t="s">
        <v>7741</v>
      </c>
      <c r="R22" s="28" t="s">
        <v>604</v>
      </c>
      <c r="S22" s="28" t="s">
        <v>604</v>
      </c>
      <c r="T22" s="28" t="s">
        <v>604</v>
      </c>
      <c r="U22" s="28" t="s">
        <v>7742</v>
      </c>
      <c r="V22" s="6" t="s">
        <v>7743</v>
      </c>
      <c r="W22" s="6" t="s">
        <v>7744</v>
      </c>
      <c r="X22" s="30" t="n">
        <f aca="false">IF($O22="Active",SUMPRODUCT(($AH$5:$AH$126=$AH22)*1),0)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1274</v>
      </c>
      <c r="B23" s="6" t="s">
        <v>7745</v>
      </c>
      <c r="C23" s="223" t="n">
        <v>50</v>
      </c>
      <c r="D23" s="195"/>
      <c r="E23" s="195"/>
      <c r="F23" s="195" t="s">
        <v>1266</v>
      </c>
      <c r="G23" s="195" t="s">
        <v>7746</v>
      </c>
      <c r="H23" s="28" t="s">
        <v>7747</v>
      </c>
      <c r="I23" s="28" t="s">
        <v>7748</v>
      </c>
      <c r="J23" s="6" t="s">
        <v>7749</v>
      </c>
      <c r="K23" s="195" t="n">
        <v>1</v>
      </c>
      <c r="L23" s="195" t="s">
        <v>6273</v>
      </c>
      <c r="M23" s="6" t="s">
        <v>7750</v>
      </c>
      <c r="N23" s="195" t="s">
        <v>6275</v>
      </c>
      <c r="O23" s="28" t="s">
        <v>6276</v>
      </c>
      <c r="P23" s="28" t="s">
        <v>604</v>
      </c>
      <c r="Q23" s="28" t="s">
        <v>7751</v>
      </c>
      <c r="R23" s="28" t="s">
        <v>604</v>
      </c>
      <c r="S23" s="28" t="s">
        <v>604</v>
      </c>
      <c r="T23" s="28" t="s">
        <v>604</v>
      </c>
      <c r="U23" s="28" t="s">
        <v>7752</v>
      </c>
      <c r="V23" s="6" t="s">
        <v>7753</v>
      </c>
      <c r="W23" s="6" t="s">
        <v>7754</v>
      </c>
      <c r="X23" s="30" t="n">
        <f aca="false">IF($O23="Active",SUMPRODUCT(($AH$5:$AH$126=$AH23)*1),0)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7755</v>
      </c>
      <c r="B24" s="6" t="s">
        <v>7756</v>
      </c>
      <c r="C24" s="223" t="n">
        <v>9</v>
      </c>
      <c r="D24" s="195"/>
      <c r="E24" s="195"/>
      <c r="F24" s="195" t="s">
        <v>1266</v>
      </c>
      <c r="G24" s="195" t="s">
        <v>7757</v>
      </c>
      <c r="H24" s="28" t="s">
        <v>7747</v>
      </c>
      <c r="I24" s="28" t="s">
        <v>7748</v>
      </c>
      <c r="J24" s="6" t="s">
        <v>7749</v>
      </c>
      <c r="K24" s="195" t="n">
        <v>1</v>
      </c>
      <c r="L24" s="195" t="s">
        <v>6273</v>
      </c>
      <c r="M24" s="6" t="s">
        <v>7750</v>
      </c>
      <c r="N24" s="195" t="s">
        <v>6275</v>
      </c>
      <c r="O24" s="28" t="s">
        <v>6276</v>
      </c>
      <c r="P24" s="28" t="s">
        <v>604</v>
      </c>
      <c r="Q24" s="28" t="s">
        <v>7751</v>
      </c>
      <c r="R24" s="28" t="s">
        <v>604</v>
      </c>
      <c r="S24" s="28" t="s">
        <v>604</v>
      </c>
      <c r="T24" s="28" t="s">
        <v>604</v>
      </c>
      <c r="U24" s="28" t="s">
        <v>7752</v>
      </c>
      <c r="V24" s="225" t="s">
        <v>7758</v>
      </c>
      <c r="W24" s="6" t="s">
        <v>7759</v>
      </c>
      <c r="X24" s="30" t="n">
        <f aca="false">IF($O24="Active",SUMPRODUCT(($AH$5:$AH$126=$AH24)*1),0)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7760</v>
      </c>
      <c r="B25" s="6" t="s">
        <v>7761</v>
      </c>
      <c r="C25" s="223" t="n">
        <v>1.6</v>
      </c>
      <c r="D25" s="195"/>
      <c r="E25" s="195"/>
      <c r="F25" s="195" t="s">
        <v>1266</v>
      </c>
      <c r="G25" s="195" t="s">
        <v>7762</v>
      </c>
      <c r="H25" s="28" t="s">
        <v>7763</v>
      </c>
      <c r="I25" s="28" t="s">
        <v>7748</v>
      </c>
      <c r="J25" s="6" t="s">
        <v>7749</v>
      </c>
      <c r="K25" s="195" t="n">
        <v>1</v>
      </c>
      <c r="L25" s="195" t="s">
        <v>6273</v>
      </c>
      <c r="M25" s="6" t="s">
        <v>7750</v>
      </c>
      <c r="N25" s="195" t="s">
        <v>6275</v>
      </c>
      <c r="O25" s="28" t="s">
        <v>6276</v>
      </c>
      <c r="P25" s="28" t="s">
        <v>604</v>
      </c>
      <c r="Q25" s="28" t="s">
        <v>7751</v>
      </c>
      <c r="R25" s="28" t="s">
        <v>604</v>
      </c>
      <c r="S25" s="28" t="s">
        <v>604</v>
      </c>
      <c r="T25" s="28" t="s">
        <v>604</v>
      </c>
      <c r="U25" s="28" t="s">
        <v>7752</v>
      </c>
      <c r="V25" s="225" t="s">
        <v>7758</v>
      </c>
      <c r="W25" s="6" t="s">
        <v>7764</v>
      </c>
      <c r="X25" s="30" t="n">
        <f aca="false">IF($O25="Active",SUMPRODUCT(($AH$5:$AH$126=$AH25)*1),0)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7765</v>
      </c>
      <c r="B26" s="6" t="s">
        <v>7766</v>
      </c>
      <c r="C26" s="223" t="n">
        <v>2</v>
      </c>
      <c r="D26" s="195"/>
      <c r="E26" s="195"/>
      <c r="F26" s="28" t="s">
        <v>7767</v>
      </c>
      <c r="G26" s="195" t="s">
        <v>7768</v>
      </c>
      <c r="H26" s="28" t="s">
        <v>1195</v>
      </c>
      <c r="I26" s="28" t="s">
        <v>7692</v>
      </c>
      <c r="J26" s="6" t="s">
        <v>7769</v>
      </c>
      <c r="K26" s="195" t="n">
        <v>1</v>
      </c>
      <c r="L26" s="195" t="s">
        <v>6273</v>
      </c>
      <c r="M26" s="6" t="s">
        <v>7750</v>
      </c>
      <c r="N26" s="195" t="s">
        <v>6275</v>
      </c>
      <c r="O26" s="28" t="s">
        <v>6276</v>
      </c>
      <c r="P26" s="28" t="s">
        <v>604</v>
      </c>
      <c r="Q26" s="28" t="s">
        <v>7770</v>
      </c>
      <c r="R26" s="28" t="s">
        <v>604</v>
      </c>
      <c r="S26" s="28" t="s">
        <v>604</v>
      </c>
      <c r="T26" s="28" t="s">
        <v>604</v>
      </c>
      <c r="U26" s="28" t="s">
        <v>7752</v>
      </c>
      <c r="V26" s="225" t="s">
        <v>7758</v>
      </c>
      <c r="W26" s="6" t="s">
        <v>7771</v>
      </c>
      <c r="X26" s="30" t="n">
        <f aca="false">IF($O26="Active",SUMPRODUCT(($AH$5:$AH$126=$AH26)*1),0)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5505</v>
      </c>
      <c r="B27" s="6" t="s">
        <v>7772</v>
      </c>
      <c r="C27" s="223" t="n">
        <v>0.4</v>
      </c>
      <c r="D27" s="195"/>
      <c r="E27" s="195"/>
      <c r="F27" s="28" t="s">
        <v>89</v>
      </c>
      <c r="G27" s="195" t="s">
        <v>7773</v>
      </c>
      <c r="H27" s="28" t="s">
        <v>1195</v>
      </c>
      <c r="I27" s="28" t="s">
        <v>7692</v>
      </c>
      <c r="J27" s="6" t="s">
        <v>7769</v>
      </c>
      <c r="K27" s="195" t="n">
        <v>1</v>
      </c>
      <c r="L27" s="195" t="s">
        <v>6273</v>
      </c>
      <c r="M27" s="6" t="s">
        <v>7750</v>
      </c>
      <c r="N27" s="195" t="s">
        <v>6275</v>
      </c>
      <c r="O27" s="28" t="s">
        <v>6276</v>
      </c>
      <c r="P27" s="28" t="s">
        <v>604</v>
      </c>
      <c r="Q27" s="28" t="s">
        <v>7770</v>
      </c>
      <c r="R27" s="28" t="s">
        <v>604</v>
      </c>
      <c r="S27" s="28" t="s">
        <v>604</v>
      </c>
      <c r="T27" s="28" t="s">
        <v>604</v>
      </c>
      <c r="U27" s="28" t="s">
        <v>7752</v>
      </c>
      <c r="V27" s="225" t="s">
        <v>7758</v>
      </c>
      <c r="W27" s="6" t="s">
        <v>7774</v>
      </c>
      <c r="X27" s="30" t="n">
        <f aca="false">IF($O27="Active",SUMPRODUCT(($AH$5:$AH$126=$AH27)*1),0)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1267</v>
      </c>
      <c r="B28" s="6" t="s">
        <v>7745</v>
      </c>
      <c r="C28" s="223" t="n">
        <v>15.5</v>
      </c>
      <c r="D28" s="195"/>
      <c r="E28" s="195"/>
      <c r="F28" s="195" t="s">
        <v>1266</v>
      </c>
      <c r="G28" s="195" t="s">
        <v>7775</v>
      </c>
      <c r="H28" s="28" t="s">
        <v>7747</v>
      </c>
      <c r="I28" s="28" t="s">
        <v>7776</v>
      </c>
      <c r="J28" s="6" t="s">
        <v>7777</v>
      </c>
      <c r="K28" s="195" t="n">
        <v>2</v>
      </c>
      <c r="L28" s="195" t="s">
        <v>6273</v>
      </c>
      <c r="M28" s="6" t="s">
        <v>7778</v>
      </c>
      <c r="N28" s="195" t="s">
        <v>6286</v>
      </c>
      <c r="O28" s="28" t="s">
        <v>6276</v>
      </c>
      <c r="P28" s="28" t="s">
        <v>604</v>
      </c>
      <c r="Q28" s="28" t="s">
        <v>7779</v>
      </c>
      <c r="R28" s="28" t="s">
        <v>604</v>
      </c>
      <c r="S28" s="28" t="s">
        <v>604</v>
      </c>
      <c r="T28" s="28" t="s">
        <v>604</v>
      </c>
      <c r="U28" s="28" t="s">
        <v>7752</v>
      </c>
      <c r="V28" s="6" t="s">
        <v>7780</v>
      </c>
      <c r="W28" s="6" t="s">
        <v>7781</v>
      </c>
      <c r="X28" s="30" t="n">
        <f aca="false">IF($O28="Active",SUMPRODUCT(($AH$5:$AH$126=$AH28)*1),0)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1269</v>
      </c>
      <c r="B29" s="6" t="s">
        <v>7745</v>
      </c>
      <c r="C29" s="223" t="n">
        <v>20</v>
      </c>
      <c r="D29" s="195"/>
      <c r="E29" s="195"/>
      <c r="F29" s="195" t="s">
        <v>1266</v>
      </c>
      <c r="G29" s="195" t="s">
        <v>7782</v>
      </c>
      <c r="H29" s="28" t="s">
        <v>7747</v>
      </c>
      <c r="I29" s="28" t="s">
        <v>7776</v>
      </c>
      <c r="J29" s="6" t="s">
        <v>7783</v>
      </c>
      <c r="K29" s="195" t="n">
        <v>2</v>
      </c>
      <c r="L29" s="195" t="s">
        <v>6273</v>
      </c>
      <c r="M29" s="6" t="s">
        <v>7778</v>
      </c>
      <c r="N29" s="195" t="s">
        <v>6286</v>
      </c>
      <c r="O29" s="28" t="s">
        <v>6276</v>
      </c>
      <c r="P29" s="28" t="s">
        <v>604</v>
      </c>
      <c r="Q29" s="28" t="s">
        <v>7779</v>
      </c>
      <c r="R29" s="28" t="s">
        <v>604</v>
      </c>
      <c r="S29" s="28" t="s">
        <v>604</v>
      </c>
      <c r="T29" s="28" t="s">
        <v>604</v>
      </c>
      <c r="U29" s="28" t="s">
        <v>7752</v>
      </c>
      <c r="V29" s="6" t="s">
        <v>7784</v>
      </c>
      <c r="W29" s="6" t="s">
        <v>7785</v>
      </c>
      <c r="X29" s="30" t="n">
        <f aca="false">IF($O29="Active",SUMPRODUCT(($AH$5:$AH$126=$AH29)*1),0)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1271</v>
      </c>
      <c r="B30" s="6" t="s">
        <v>7745</v>
      </c>
      <c r="C30" s="223" t="n">
        <v>35</v>
      </c>
      <c r="D30" s="195"/>
      <c r="E30" s="195"/>
      <c r="F30" s="195" t="s">
        <v>1266</v>
      </c>
      <c r="G30" s="195" t="s">
        <v>7786</v>
      </c>
      <c r="H30" s="28" t="s">
        <v>7747</v>
      </c>
      <c r="I30" s="28" t="s">
        <v>7787</v>
      </c>
      <c r="J30" s="6" t="s">
        <v>7788</v>
      </c>
      <c r="K30" s="195" t="n">
        <v>2</v>
      </c>
      <c r="L30" s="195" t="s">
        <v>6273</v>
      </c>
      <c r="M30" s="6" t="s">
        <v>7789</v>
      </c>
      <c r="N30" s="195" t="s">
        <v>6286</v>
      </c>
      <c r="O30" s="28" t="s">
        <v>6276</v>
      </c>
      <c r="P30" s="28" t="s">
        <v>604</v>
      </c>
      <c r="Q30" s="28" t="s">
        <v>7790</v>
      </c>
      <c r="R30" s="28" t="s">
        <v>604</v>
      </c>
      <c r="S30" s="28" t="s">
        <v>604</v>
      </c>
      <c r="T30" s="28" t="s">
        <v>604</v>
      </c>
      <c r="U30" s="28" t="s">
        <v>7752</v>
      </c>
      <c r="V30" s="6" t="s">
        <v>7784</v>
      </c>
      <c r="W30" s="6" t="s">
        <v>7791</v>
      </c>
      <c r="X30" s="30" t="n">
        <f aca="false">IF($O30="Active",SUMPRODUCT(($AH$5:$AH$126=$AH30)*1),0)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7792</v>
      </c>
      <c r="B31" s="6" t="s">
        <v>7756</v>
      </c>
      <c r="C31" s="223" t="n">
        <v>2</v>
      </c>
      <c r="D31" s="195"/>
      <c r="E31" s="195"/>
      <c r="F31" s="195" t="s">
        <v>1266</v>
      </c>
      <c r="G31" s="195" t="s">
        <v>7793</v>
      </c>
      <c r="H31" s="28" t="s">
        <v>7747</v>
      </c>
      <c r="I31" s="28" t="s">
        <v>7794</v>
      </c>
      <c r="J31" s="6" t="s">
        <v>7795</v>
      </c>
      <c r="K31" s="195" t="n">
        <v>2</v>
      </c>
      <c r="L31" s="195" t="s">
        <v>6273</v>
      </c>
      <c r="M31" s="6" t="s">
        <v>7796</v>
      </c>
      <c r="N31" s="195" t="s">
        <v>6286</v>
      </c>
      <c r="O31" s="28" t="s">
        <v>6276</v>
      </c>
      <c r="P31" s="28" t="s">
        <v>604</v>
      </c>
      <c r="Q31" s="28" t="s">
        <v>7797</v>
      </c>
      <c r="R31" s="28" t="s">
        <v>604</v>
      </c>
      <c r="S31" s="28" t="s">
        <v>604</v>
      </c>
      <c r="T31" s="28" t="s">
        <v>604</v>
      </c>
      <c r="U31" s="28" t="s">
        <v>7752</v>
      </c>
      <c r="V31" s="225" t="s">
        <v>7758</v>
      </c>
      <c r="W31" s="6" t="s">
        <v>7798</v>
      </c>
      <c r="X31" s="30" t="n">
        <f aca="false">IF($O31="Active",SUMPRODUCT(($AH$5:$AH$126=$AH31)*1),0)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7799</v>
      </c>
      <c r="B32" s="6" t="s">
        <v>7756</v>
      </c>
      <c r="C32" s="223" t="n">
        <v>3</v>
      </c>
      <c r="D32" s="195"/>
      <c r="E32" s="195"/>
      <c r="F32" s="195" t="s">
        <v>1266</v>
      </c>
      <c r="G32" s="195" t="s">
        <v>7800</v>
      </c>
      <c r="H32" s="28" t="s">
        <v>7747</v>
      </c>
      <c r="I32" s="28" t="s">
        <v>7801</v>
      </c>
      <c r="J32" s="6" t="s">
        <v>7802</v>
      </c>
      <c r="K32" s="195" t="n">
        <v>2</v>
      </c>
      <c r="L32" s="195" t="s">
        <v>6273</v>
      </c>
      <c r="M32" s="6" t="s">
        <v>7803</v>
      </c>
      <c r="N32" s="195" t="s">
        <v>6286</v>
      </c>
      <c r="O32" s="28" t="s">
        <v>6276</v>
      </c>
      <c r="P32" s="28" t="s">
        <v>604</v>
      </c>
      <c r="Q32" s="28" t="s">
        <v>7797</v>
      </c>
      <c r="R32" s="28" t="s">
        <v>604</v>
      </c>
      <c r="S32" s="28" t="s">
        <v>604</v>
      </c>
      <c r="T32" s="28" t="s">
        <v>604</v>
      </c>
      <c r="U32" s="28" t="s">
        <v>7752</v>
      </c>
      <c r="V32" s="225" t="s">
        <v>7758</v>
      </c>
      <c r="W32" s="6" t="s">
        <v>7804</v>
      </c>
      <c r="X32" s="30" t="n">
        <f aca="false">IF($O32="Active",SUMPRODUCT(($AH$5:$AH$126=$AH32)*1),0)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7805</v>
      </c>
      <c r="B33" s="6" t="s">
        <v>7756</v>
      </c>
      <c r="C33" s="223" t="n">
        <v>5</v>
      </c>
      <c r="D33" s="195"/>
      <c r="E33" s="195"/>
      <c r="F33" s="195" t="s">
        <v>1266</v>
      </c>
      <c r="G33" s="195" t="s">
        <v>7806</v>
      </c>
      <c r="H33" s="28" t="s">
        <v>7747</v>
      </c>
      <c r="I33" s="28" t="s">
        <v>6687</v>
      </c>
      <c r="J33" s="6" t="s">
        <v>7807</v>
      </c>
      <c r="K33" s="195" t="n">
        <v>2</v>
      </c>
      <c r="L33" s="195" t="s">
        <v>6273</v>
      </c>
      <c r="M33" s="6" t="s">
        <v>7808</v>
      </c>
      <c r="N33" s="195" t="s">
        <v>6286</v>
      </c>
      <c r="O33" s="28" t="s">
        <v>6276</v>
      </c>
      <c r="P33" s="28" t="s">
        <v>604</v>
      </c>
      <c r="Q33" s="28" t="s">
        <v>7797</v>
      </c>
      <c r="R33" s="28" t="s">
        <v>604</v>
      </c>
      <c r="S33" s="28" t="s">
        <v>604</v>
      </c>
      <c r="T33" s="28" t="s">
        <v>604</v>
      </c>
      <c r="U33" s="28" t="s">
        <v>7752</v>
      </c>
      <c r="V33" s="225" t="s">
        <v>7758</v>
      </c>
      <c r="W33" s="6" t="s">
        <v>7809</v>
      </c>
      <c r="X33" s="30" t="n">
        <f aca="false">IF($O33="Active",SUMPRODUCT(($AH$5:$AH$126=$AH33)*1),0)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7810</v>
      </c>
      <c r="B34" s="6" t="s">
        <v>7811</v>
      </c>
      <c r="C34" s="223" t="n">
        <v>7</v>
      </c>
      <c r="D34" s="195"/>
      <c r="E34" s="195"/>
      <c r="F34" s="195" t="s">
        <v>1266</v>
      </c>
      <c r="G34" s="195" t="s">
        <v>7812</v>
      </c>
      <c r="H34" s="28" t="s">
        <v>7747</v>
      </c>
      <c r="I34" s="28" t="s">
        <v>7813</v>
      </c>
      <c r="J34" s="6" t="s">
        <v>7814</v>
      </c>
      <c r="K34" s="195" t="n">
        <v>1</v>
      </c>
      <c r="L34" s="195" t="s">
        <v>6273</v>
      </c>
      <c r="M34" s="6" t="s">
        <v>7750</v>
      </c>
      <c r="N34" s="195" t="s">
        <v>6275</v>
      </c>
      <c r="O34" s="28" t="s">
        <v>6276</v>
      </c>
      <c r="P34" s="28" t="s">
        <v>604</v>
      </c>
      <c r="Q34" s="28" t="s">
        <v>7797</v>
      </c>
      <c r="R34" s="28" t="s">
        <v>604</v>
      </c>
      <c r="S34" s="28" t="s">
        <v>604</v>
      </c>
      <c r="T34" s="28" t="s">
        <v>604</v>
      </c>
      <c r="U34" s="28" t="s">
        <v>7752</v>
      </c>
      <c r="V34" s="225" t="s">
        <v>7758</v>
      </c>
      <c r="W34" s="6" t="s">
        <v>7815</v>
      </c>
      <c r="X34" s="30" t="n">
        <f aca="false">IF($O34="Active",SUMPRODUCT(($AH$5:$AH$126=$AH34)*1),0)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7816</v>
      </c>
      <c r="B35" s="6" t="s">
        <v>7817</v>
      </c>
      <c r="C35" s="223" t="n">
        <v>4</v>
      </c>
      <c r="D35" s="195"/>
      <c r="E35" s="195"/>
      <c r="F35" s="195" t="s">
        <v>1266</v>
      </c>
      <c r="G35" s="195" t="s">
        <v>7818</v>
      </c>
      <c r="H35" s="28" t="s">
        <v>7819</v>
      </c>
      <c r="I35" s="28" t="s">
        <v>7684</v>
      </c>
      <c r="J35" s="6" t="s">
        <v>7820</v>
      </c>
      <c r="K35" s="195" t="n">
        <v>2</v>
      </c>
      <c r="L35" s="195" t="s">
        <v>6273</v>
      </c>
      <c r="M35" s="6" t="s">
        <v>7821</v>
      </c>
      <c r="N35" s="195" t="s">
        <v>6286</v>
      </c>
      <c r="O35" s="28" t="s">
        <v>6276</v>
      </c>
      <c r="P35" s="28" t="s">
        <v>604</v>
      </c>
      <c r="Q35" s="28" t="s">
        <v>7822</v>
      </c>
      <c r="R35" s="28" t="s">
        <v>604</v>
      </c>
      <c r="S35" s="28" t="s">
        <v>604</v>
      </c>
      <c r="T35" s="28" t="s">
        <v>604</v>
      </c>
      <c r="U35" s="28" t="s">
        <v>7752</v>
      </c>
      <c r="V35" s="225" t="s">
        <v>7823</v>
      </c>
      <c r="W35" s="6" t="s">
        <v>7824</v>
      </c>
      <c r="X35" s="30" t="n">
        <f aca="false">IF($O35="Active",SUMPRODUCT(($AH$5:$AH$126=$AH35)*1),0)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7825</v>
      </c>
      <c r="B36" s="6" t="s">
        <v>7826</v>
      </c>
      <c r="C36" s="223" t="n">
        <v>300000</v>
      </c>
      <c r="D36" s="195"/>
      <c r="E36" s="195"/>
      <c r="F36" s="195" t="s">
        <v>7827</v>
      </c>
      <c r="G36" s="195" t="s">
        <v>7828</v>
      </c>
      <c r="H36" s="28" t="s">
        <v>1206</v>
      </c>
      <c r="I36" s="28" t="s">
        <v>7829</v>
      </c>
      <c r="J36" s="6" t="s">
        <v>7830</v>
      </c>
      <c r="K36" s="195" t="n">
        <v>1</v>
      </c>
      <c r="L36" s="195" t="s">
        <v>6273</v>
      </c>
      <c r="M36" s="6" t="s">
        <v>7831</v>
      </c>
      <c r="N36" s="195" t="s">
        <v>6275</v>
      </c>
      <c r="O36" s="28" t="s">
        <v>6276</v>
      </c>
      <c r="P36" s="28" t="s">
        <v>604</v>
      </c>
      <c r="Q36" s="28" t="s">
        <v>7832</v>
      </c>
      <c r="R36" s="28" t="s">
        <v>604</v>
      </c>
      <c r="S36" s="28" t="s">
        <v>604</v>
      </c>
      <c r="T36" s="28" t="s">
        <v>604</v>
      </c>
      <c r="U36" s="28" t="s">
        <v>7752</v>
      </c>
      <c r="V36" s="225" t="s">
        <v>7833</v>
      </c>
      <c r="W36" s="6" t="s">
        <v>7834</v>
      </c>
      <c r="X36" s="30" t="n">
        <f aca="false">IF($O36="Active",SUMPRODUCT(($AH$5:$AH$126=$AH36)*1),0)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7835</v>
      </c>
      <c r="B37" s="6" t="s">
        <v>7836</v>
      </c>
      <c r="C37" s="223" t="n">
        <v>500</v>
      </c>
      <c r="D37" s="195"/>
      <c r="E37" s="195"/>
      <c r="F37" s="195" t="s">
        <v>7827</v>
      </c>
      <c r="G37" s="195" t="s">
        <v>7837</v>
      </c>
      <c r="H37" s="28" t="s">
        <v>1206</v>
      </c>
      <c r="I37" s="28" t="s">
        <v>7838</v>
      </c>
      <c r="J37" s="6" t="s">
        <v>7839</v>
      </c>
      <c r="K37" s="195" t="n">
        <v>1</v>
      </c>
      <c r="L37" s="195" t="s">
        <v>6273</v>
      </c>
      <c r="M37" s="6" t="s">
        <v>7831</v>
      </c>
      <c r="N37" s="195" t="s">
        <v>6275</v>
      </c>
      <c r="O37" s="28" t="s">
        <v>6276</v>
      </c>
      <c r="P37" s="28" t="s">
        <v>604</v>
      </c>
      <c r="Q37" s="28" t="s">
        <v>7832</v>
      </c>
      <c r="R37" s="28" t="s">
        <v>604</v>
      </c>
      <c r="S37" s="28" t="s">
        <v>604</v>
      </c>
      <c r="T37" s="28" t="s">
        <v>604</v>
      </c>
      <c r="U37" s="28" t="s">
        <v>7752</v>
      </c>
      <c r="V37" s="225" t="s">
        <v>7840</v>
      </c>
      <c r="W37" s="6" t="s">
        <v>7841</v>
      </c>
      <c r="X37" s="30" t="n">
        <f aca="false">IF($O37="Active",SUMPRODUCT(($AH$5:$AH$126=$AH37)*1),0)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1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7842</v>
      </c>
      <c r="B38" s="6" t="s">
        <v>7843</v>
      </c>
      <c r="C38" s="223" t="n">
        <v>3.8</v>
      </c>
      <c r="D38" s="195"/>
      <c r="E38" s="195"/>
      <c r="F38" s="28" t="s">
        <v>863</v>
      </c>
      <c r="G38" s="28" t="s">
        <v>7844</v>
      </c>
      <c r="H38" s="28" t="s">
        <v>1206</v>
      </c>
      <c r="I38" s="28" t="s">
        <v>7279</v>
      </c>
      <c r="J38" s="6" t="s">
        <v>7845</v>
      </c>
      <c r="K38" s="195" t="n">
        <v>2</v>
      </c>
      <c r="L38" s="195" t="s">
        <v>6273</v>
      </c>
      <c r="M38" s="6" t="s">
        <v>7846</v>
      </c>
      <c r="N38" s="195" t="s">
        <v>6286</v>
      </c>
      <c r="O38" s="28" t="s">
        <v>6276</v>
      </c>
      <c r="P38" s="28" t="s">
        <v>604</v>
      </c>
      <c r="Q38" s="28" t="s">
        <v>7847</v>
      </c>
      <c r="R38" s="28" t="s">
        <v>604</v>
      </c>
      <c r="S38" s="28" t="s">
        <v>604</v>
      </c>
      <c r="T38" s="28" t="s">
        <v>604</v>
      </c>
      <c r="U38" s="28" t="s">
        <v>7752</v>
      </c>
      <c r="V38" s="225" t="s">
        <v>7848</v>
      </c>
      <c r="W38" s="6" t="s">
        <v>7849</v>
      </c>
      <c r="X38" s="30" t="n">
        <f aca="false">IF($O38="Active",SUMPRODUCT(($AH$5:$AH$126=$AH38)*1),0)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7850</v>
      </c>
      <c r="B39" s="6" t="s">
        <v>7851</v>
      </c>
      <c r="C39" s="223" t="n">
        <v>0.789</v>
      </c>
      <c r="D39" s="195"/>
      <c r="E39" s="195"/>
      <c r="F39" s="28" t="s">
        <v>863</v>
      </c>
      <c r="G39" s="28" t="s">
        <v>7852</v>
      </c>
      <c r="H39" s="28" t="s">
        <v>1206</v>
      </c>
      <c r="I39" s="28" t="s">
        <v>7279</v>
      </c>
      <c r="J39" s="6" t="s">
        <v>7845</v>
      </c>
      <c r="K39" s="195" t="n">
        <v>2</v>
      </c>
      <c r="L39" s="195" t="s">
        <v>6273</v>
      </c>
      <c r="M39" s="6" t="s">
        <v>7846</v>
      </c>
      <c r="N39" s="195" t="s">
        <v>6286</v>
      </c>
      <c r="O39" s="28" t="s">
        <v>6276</v>
      </c>
      <c r="P39" s="28" t="s">
        <v>604</v>
      </c>
      <c r="Q39" s="28" t="s">
        <v>7847</v>
      </c>
      <c r="R39" s="28" t="s">
        <v>604</v>
      </c>
      <c r="S39" s="28" t="s">
        <v>604</v>
      </c>
      <c r="T39" s="28" t="s">
        <v>604</v>
      </c>
      <c r="U39" s="28" t="s">
        <v>7752</v>
      </c>
      <c r="V39" s="225" t="s">
        <v>7853</v>
      </c>
      <c r="W39" s="6" t="s">
        <v>7849</v>
      </c>
      <c r="X39" s="30" t="n">
        <f aca="false">IF($O39="Active",SUMPRODUCT(($AH$5:$AH$126=$AH39)*1),0)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7854</v>
      </c>
      <c r="B40" s="6" t="s">
        <v>7855</v>
      </c>
      <c r="C40" s="223" t="n">
        <v>2.16</v>
      </c>
      <c r="D40" s="195"/>
      <c r="E40" s="195"/>
      <c r="F40" s="28" t="s">
        <v>863</v>
      </c>
      <c r="G40" s="28" t="s">
        <v>7856</v>
      </c>
      <c r="H40" s="28" t="s">
        <v>1206</v>
      </c>
      <c r="I40" s="28" t="s">
        <v>7279</v>
      </c>
      <c r="J40" s="6" t="s">
        <v>7845</v>
      </c>
      <c r="K40" s="195" t="n">
        <v>2</v>
      </c>
      <c r="L40" s="195" t="s">
        <v>6273</v>
      </c>
      <c r="M40" s="6" t="s">
        <v>7846</v>
      </c>
      <c r="N40" s="195" t="s">
        <v>6286</v>
      </c>
      <c r="O40" s="28" t="s">
        <v>6276</v>
      </c>
      <c r="P40" s="28" t="s">
        <v>604</v>
      </c>
      <c r="Q40" s="28" t="s">
        <v>7847</v>
      </c>
      <c r="R40" s="28" t="s">
        <v>604</v>
      </c>
      <c r="S40" s="28" t="s">
        <v>604</v>
      </c>
      <c r="T40" s="28" t="s">
        <v>604</v>
      </c>
      <c r="U40" s="28" t="s">
        <v>7752</v>
      </c>
      <c r="V40" s="225" t="s">
        <v>7853</v>
      </c>
      <c r="W40" s="6" t="s">
        <v>7849</v>
      </c>
      <c r="X40" s="30" t="n">
        <f aca="false">IF($O40="Active",SUMPRODUCT(($AH$5:$AH$126=$AH40)*1),0)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7857</v>
      </c>
      <c r="B41" s="6" t="s">
        <v>7858</v>
      </c>
      <c r="C41" s="223" t="n">
        <v>0.351</v>
      </c>
      <c r="D41" s="195"/>
      <c r="E41" s="195"/>
      <c r="F41" s="28" t="s">
        <v>863</v>
      </c>
      <c r="G41" s="28" t="s">
        <v>7859</v>
      </c>
      <c r="H41" s="28" t="s">
        <v>1206</v>
      </c>
      <c r="I41" s="28" t="s">
        <v>7279</v>
      </c>
      <c r="J41" s="6" t="s">
        <v>7860</v>
      </c>
      <c r="K41" s="195" t="n">
        <v>2</v>
      </c>
      <c r="L41" s="195" t="s">
        <v>6273</v>
      </c>
      <c r="M41" s="6" t="s">
        <v>7846</v>
      </c>
      <c r="N41" s="195" t="s">
        <v>6286</v>
      </c>
      <c r="O41" s="28" t="s">
        <v>6276</v>
      </c>
      <c r="P41" s="28" t="s">
        <v>604</v>
      </c>
      <c r="Q41" s="28" t="s">
        <v>7847</v>
      </c>
      <c r="R41" s="28" t="s">
        <v>604</v>
      </c>
      <c r="S41" s="28" t="s">
        <v>604</v>
      </c>
      <c r="T41" s="28" t="s">
        <v>604</v>
      </c>
      <c r="U41" s="28" t="s">
        <v>7752</v>
      </c>
      <c r="V41" s="225" t="s">
        <v>7861</v>
      </c>
      <c r="W41" s="6" t="s">
        <v>7849</v>
      </c>
      <c r="X41" s="30" t="n">
        <f aca="false">IF($O41="Active",SUMPRODUCT(($AH$5:$AH$126=$AH41)*1),0)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7862</v>
      </c>
      <c r="B42" s="6" t="s">
        <v>7863</v>
      </c>
      <c r="C42" s="223" t="n">
        <v>0.75</v>
      </c>
      <c r="D42" s="195"/>
      <c r="E42" s="195"/>
      <c r="F42" s="28" t="s">
        <v>89</v>
      </c>
      <c r="G42" s="195" t="s">
        <v>7864</v>
      </c>
      <c r="H42" s="28" t="s">
        <v>1195</v>
      </c>
      <c r="I42" s="28" t="s">
        <v>7865</v>
      </c>
      <c r="J42" s="6" t="s">
        <v>7866</v>
      </c>
      <c r="K42" s="195" t="n">
        <v>2</v>
      </c>
      <c r="L42" s="195" t="s">
        <v>6273</v>
      </c>
      <c r="M42" s="6" t="s">
        <v>7867</v>
      </c>
      <c r="N42" s="195" t="s">
        <v>6286</v>
      </c>
      <c r="O42" s="28" t="s">
        <v>6276</v>
      </c>
      <c r="P42" s="28" t="s">
        <v>604</v>
      </c>
      <c r="Q42" s="28" t="s">
        <v>7868</v>
      </c>
      <c r="R42" s="28" t="s">
        <v>604</v>
      </c>
      <c r="S42" s="28" t="s">
        <v>604</v>
      </c>
      <c r="T42" s="28" t="s">
        <v>604</v>
      </c>
      <c r="U42" s="28" t="s">
        <v>7752</v>
      </c>
      <c r="V42" s="225" t="s">
        <v>7758</v>
      </c>
      <c r="W42" s="6" t="s">
        <v>7869</v>
      </c>
      <c r="X42" s="30" t="n">
        <f aca="false">IF($O42="Active",SUMPRODUCT(($AH$5:$AH$126=$AH42)*1),0)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5422</v>
      </c>
      <c r="B43" s="6" t="s">
        <v>7863</v>
      </c>
      <c r="C43" s="223" t="n">
        <v>0.7</v>
      </c>
      <c r="D43" s="195"/>
      <c r="E43" s="195"/>
      <c r="F43" s="28" t="s">
        <v>89</v>
      </c>
      <c r="G43" s="28" t="s">
        <v>7870</v>
      </c>
      <c r="H43" s="28" t="s">
        <v>1195</v>
      </c>
      <c r="I43" s="28" t="s">
        <v>7871</v>
      </c>
      <c r="J43" s="6" t="s">
        <v>7872</v>
      </c>
      <c r="K43" s="195" t="n">
        <v>2</v>
      </c>
      <c r="L43" s="195" t="s">
        <v>6273</v>
      </c>
      <c r="M43" s="6" t="s">
        <v>7778</v>
      </c>
      <c r="N43" s="195" t="s">
        <v>6286</v>
      </c>
      <c r="O43" s="28" t="s">
        <v>6276</v>
      </c>
      <c r="P43" s="28" t="s">
        <v>604</v>
      </c>
      <c r="Q43" s="28" t="s">
        <v>7868</v>
      </c>
      <c r="R43" s="28" t="s">
        <v>604</v>
      </c>
      <c r="S43" s="28" t="s">
        <v>604</v>
      </c>
      <c r="T43" s="28" t="s">
        <v>604</v>
      </c>
      <c r="U43" s="28" t="s">
        <v>7752</v>
      </c>
      <c r="V43" s="6" t="s">
        <v>7873</v>
      </c>
      <c r="W43" s="6" t="s">
        <v>7874</v>
      </c>
      <c r="X43" s="30" t="n">
        <f aca="false">IF($O43="Active",SUMPRODUCT(($AH$5:$AH$126=$AH43)*1),0)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7875</v>
      </c>
      <c r="B44" s="6" t="s">
        <v>7876</v>
      </c>
      <c r="C44" s="223" t="n">
        <v>2.7</v>
      </c>
      <c r="D44" s="195"/>
      <c r="E44" s="195"/>
      <c r="F44" s="28" t="s">
        <v>863</v>
      </c>
      <c r="G44" s="28" t="s">
        <v>7877</v>
      </c>
      <c r="H44" s="28" t="s">
        <v>1195</v>
      </c>
      <c r="I44" s="28" t="s">
        <v>7878</v>
      </c>
      <c r="J44" s="6" t="s">
        <v>7879</v>
      </c>
      <c r="K44" s="195" t="n">
        <v>2</v>
      </c>
      <c r="L44" s="195" t="s">
        <v>6273</v>
      </c>
      <c r="M44" s="6" t="s">
        <v>7880</v>
      </c>
      <c r="N44" s="195" t="s">
        <v>6286</v>
      </c>
      <c r="O44" s="28" t="s">
        <v>6276</v>
      </c>
      <c r="P44" s="28" t="s">
        <v>604</v>
      </c>
      <c r="Q44" s="28" t="s">
        <v>7868</v>
      </c>
      <c r="R44" s="28" t="s">
        <v>604</v>
      </c>
      <c r="S44" s="28" t="s">
        <v>604</v>
      </c>
      <c r="T44" s="28" t="s">
        <v>604</v>
      </c>
      <c r="U44" s="28" t="s">
        <v>7752</v>
      </c>
      <c r="V44" s="225" t="s">
        <v>7758</v>
      </c>
      <c r="W44" s="6" t="s">
        <v>7881</v>
      </c>
      <c r="X44" s="30" t="n">
        <f aca="false">IF($O44="Active",SUMPRODUCT(($AH$5:$AH$126=$AH44)*1),0)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7882</v>
      </c>
      <c r="B45" s="6" t="s">
        <v>7883</v>
      </c>
      <c r="C45" s="223" t="n">
        <v>8</v>
      </c>
      <c r="D45" s="195"/>
      <c r="E45" s="195"/>
      <c r="F45" s="28" t="s">
        <v>863</v>
      </c>
      <c r="G45" s="28" t="s">
        <v>7884</v>
      </c>
      <c r="H45" s="28" t="s">
        <v>1195</v>
      </c>
      <c r="I45" s="28" t="s">
        <v>7885</v>
      </c>
      <c r="J45" s="6" t="s">
        <v>7886</v>
      </c>
      <c r="K45" s="195" t="n">
        <v>2</v>
      </c>
      <c r="L45" s="195" t="s">
        <v>6273</v>
      </c>
      <c r="M45" s="6" t="s">
        <v>7887</v>
      </c>
      <c r="N45" s="195" t="s">
        <v>6286</v>
      </c>
      <c r="O45" s="28" t="s">
        <v>6276</v>
      </c>
      <c r="P45" s="28" t="s">
        <v>604</v>
      </c>
      <c r="Q45" s="28" t="s">
        <v>7868</v>
      </c>
      <c r="R45" s="28" t="s">
        <v>604</v>
      </c>
      <c r="S45" s="28" t="s">
        <v>604</v>
      </c>
      <c r="T45" s="28" t="s">
        <v>604</v>
      </c>
      <c r="U45" s="28" t="s">
        <v>7752</v>
      </c>
      <c r="V45" s="6" t="s">
        <v>7888</v>
      </c>
      <c r="W45" s="6" t="s">
        <v>7889</v>
      </c>
      <c r="X45" s="30" t="n">
        <f aca="false">IF($O45="Active",SUMPRODUCT(($AH$5:$AH$126=$AH45)*1),0)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5498</v>
      </c>
      <c r="B46" s="6" t="s">
        <v>7890</v>
      </c>
      <c r="C46" s="223" t="n">
        <v>6.7</v>
      </c>
      <c r="D46" s="195"/>
      <c r="E46" s="195"/>
      <c r="F46" s="28" t="s">
        <v>863</v>
      </c>
      <c r="G46" s="28" t="s">
        <v>7891</v>
      </c>
      <c r="H46" s="28" t="s">
        <v>1195</v>
      </c>
      <c r="I46" s="28" t="s">
        <v>7892</v>
      </c>
      <c r="J46" s="6" t="s">
        <v>7893</v>
      </c>
      <c r="K46" s="195" t="n">
        <v>2</v>
      </c>
      <c r="L46" s="195" t="s">
        <v>6273</v>
      </c>
      <c r="M46" s="6" t="s">
        <v>7778</v>
      </c>
      <c r="N46" s="195" t="s">
        <v>6286</v>
      </c>
      <c r="O46" s="28" t="s">
        <v>6276</v>
      </c>
      <c r="P46" s="28" t="s">
        <v>604</v>
      </c>
      <c r="Q46" s="28" t="s">
        <v>7894</v>
      </c>
      <c r="R46" s="28" t="s">
        <v>604</v>
      </c>
      <c r="S46" s="28" t="s">
        <v>604</v>
      </c>
      <c r="T46" s="28" t="s">
        <v>604</v>
      </c>
      <c r="U46" s="28" t="s">
        <v>7752</v>
      </c>
      <c r="V46" s="225" t="s">
        <v>7758</v>
      </c>
      <c r="W46" s="6" t="s">
        <v>7895</v>
      </c>
      <c r="X46" s="30" t="n">
        <f aca="false">IF($O46="Active",SUMPRODUCT(($AH$5:$AH$126=$AH46)*1),0)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7896</v>
      </c>
      <c r="B47" s="6" t="s">
        <v>7897</v>
      </c>
      <c r="C47" s="223" t="n">
        <v>0.2</v>
      </c>
      <c r="D47" s="195"/>
      <c r="E47" s="195"/>
      <c r="F47" s="28" t="s">
        <v>89</v>
      </c>
      <c r="G47" s="28" t="s">
        <v>7898</v>
      </c>
      <c r="H47" s="28" t="s">
        <v>7899</v>
      </c>
      <c r="I47" s="28" t="s">
        <v>7900</v>
      </c>
      <c r="J47" s="6" t="s">
        <v>7901</v>
      </c>
      <c r="K47" s="195" t="n">
        <v>2</v>
      </c>
      <c r="L47" s="195" t="s">
        <v>6273</v>
      </c>
      <c r="M47" s="225" t="s">
        <v>7902</v>
      </c>
      <c r="N47" s="195" t="s">
        <v>6286</v>
      </c>
      <c r="O47" s="28" t="s">
        <v>6276</v>
      </c>
      <c r="P47" s="28" t="s">
        <v>604</v>
      </c>
      <c r="Q47" s="28" t="s">
        <v>7903</v>
      </c>
      <c r="R47" s="28" t="s">
        <v>604</v>
      </c>
      <c r="S47" s="28" t="s">
        <v>604</v>
      </c>
      <c r="T47" s="28" t="s">
        <v>604</v>
      </c>
      <c r="U47" s="28" t="s">
        <v>7752</v>
      </c>
      <c r="V47" s="225" t="s">
        <v>7904</v>
      </c>
      <c r="W47" s="6" t="s">
        <v>7905</v>
      </c>
      <c r="X47" s="30" t="n">
        <f aca="false">IF($O47="Active",SUMPRODUCT(($AH$5:$AH$126=$AH47)*1),0)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7906</v>
      </c>
      <c r="B48" s="6" t="s">
        <v>7907</v>
      </c>
      <c r="C48" s="223" t="n">
        <v>13</v>
      </c>
      <c r="D48" s="195"/>
      <c r="E48" s="223" t="n">
        <v>30</v>
      </c>
      <c r="F48" s="28" t="s">
        <v>1316</v>
      </c>
      <c r="G48" s="195" t="s">
        <v>7908</v>
      </c>
      <c r="H48" s="28" t="s">
        <v>7909</v>
      </c>
      <c r="I48" s="28" t="s">
        <v>6126</v>
      </c>
      <c r="J48" s="6" t="s">
        <v>7910</v>
      </c>
      <c r="K48" s="195" t="n">
        <v>1</v>
      </c>
      <c r="L48" s="195" t="s">
        <v>6273</v>
      </c>
      <c r="M48" s="6" t="s">
        <v>7911</v>
      </c>
      <c r="N48" s="195" t="s">
        <v>6275</v>
      </c>
      <c r="O48" s="28" t="s">
        <v>6276</v>
      </c>
      <c r="P48" s="28" t="s">
        <v>604</v>
      </c>
      <c r="Q48" s="28" t="s">
        <v>7912</v>
      </c>
      <c r="R48" s="28" t="s">
        <v>604</v>
      </c>
      <c r="S48" s="28" t="s">
        <v>604</v>
      </c>
      <c r="T48" s="28" t="s">
        <v>604</v>
      </c>
      <c r="U48" s="28" t="s">
        <v>7752</v>
      </c>
      <c r="V48" s="6" t="s">
        <v>7913</v>
      </c>
      <c r="W48" s="6" t="s">
        <v>7914</v>
      </c>
      <c r="X48" s="30" t="n">
        <f aca="false">IF($O48="Active",SUMPRODUCT(($AH$5:$AH$126=$AH48)*1),0)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7915</v>
      </c>
      <c r="B49" s="6" t="s">
        <v>7916</v>
      </c>
      <c r="C49" s="223" t="n">
        <v>6</v>
      </c>
      <c r="D49" s="195"/>
      <c r="E49" s="195"/>
      <c r="F49" s="195" t="s">
        <v>7729</v>
      </c>
      <c r="G49" s="28" t="s">
        <v>7917</v>
      </c>
      <c r="H49" s="28" t="s">
        <v>7918</v>
      </c>
      <c r="I49" s="28" t="s">
        <v>7919</v>
      </c>
      <c r="J49" s="6" t="s">
        <v>7920</v>
      </c>
      <c r="K49" s="195" t="n">
        <v>1</v>
      </c>
      <c r="L49" s="195" t="s">
        <v>6273</v>
      </c>
      <c r="M49" s="6" t="s">
        <v>7750</v>
      </c>
      <c r="N49" s="195" t="s">
        <v>6275</v>
      </c>
      <c r="O49" s="28" t="s">
        <v>6276</v>
      </c>
      <c r="P49" s="28" t="s">
        <v>604</v>
      </c>
      <c r="Q49" s="28" t="s">
        <v>7921</v>
      </c>
      <c r="R49" s="28" t="s">
        <v>604</v>
      </c>
      <c r="S49" s="28" t="s">
        <v>604</v>
      </c>
      <c r="T49" s="28" t="s">
        <v>604</v>
      </c>
      <c r="U49" s="28" t="s">
        <v>7752</v>
      </c>
      <c r="V49" s="225" t="s">
        <v>7922</v>
      </c>
      <c r="W49" s="6" t="s">
        <v>7923</v>
      </c>
      <c r="X49" s="30" t="n">
        <f aca="false">IF($O49="Active",SUMPRODUCT(($AH$5:$AH$126=$AH49)*1),0)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7924</v>
      </c>
      <c r="B50" s="225" t="s">
        <v>7925</v>
      </c>
      <c r="C50" s="223" t="n">
        <v>0.993</v>
      </c>
      <c r="D50" s="195"/>
      <c r="E50" s="195"/>
      <c r="F50" s="28" t="s">
        <v>89</v>
      </c>
      <c r="G50" s="28" t="s">
        <v>7926</v>
      </c>
      <c r="H50" s="28" t="s">
        <v>7927</v>
      </c>
      <c r="I50" s="28" t="s">
        <v>7928</v>
      </c>
      <c r="J50" s="6" t="s">
        <v>7929</v>
      </c>
      <c r="K50" s="195" t="n">
        <v>1</v>
      </c>
      <c r="L50" s="195" t="s">
        <v>6380</v>
      </c>
      <c r="M50" s="225" t="s">
        <v>7930</v>
      </c>
      <c r="N50" s="195" t="s">
        <v>6275</v>
      </c>
      <c r="O50" s="28" t="s">
        <v>6276</v>
      </c>
      <c r="P50" s="28" t="s">
        <v>604</v>
      </c>
      <c r="Q50" s="28" t="s">
        <v>7931</v>
      </c>
      <c r="R50" s="28" t="s">
        <v>604</v>
      </c>
      <c r="S50" s="28" t="s">
        <v>604</v>
      </c>
      <c r="T50" s="28" t="s">
        <v>604</v>
      </c>
      <c r="U50" s="28" t="s">
        <v>7752</v>
      </c>
      <c r="V50" s="6" t="s">
        <v>7932</v>
      </c>
      <c r="W50" s="6" t="s">
        <v>7933</v>
      </c>
      <c r="X50" s="30" t="n">
        <f aca="false">IF($O50="Active",SUMPRODUCT(($AH$5:$AH$126=$AH50)*1),0)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1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7934</v>
      </c>
      <c r="B51" s="225" t="s">
        <v>7935</v>
      </c>
      <c r="C51" s="223" t="n">
        <v>0.9987</v>
      </c>
      <c r="D51" s="195"/>
      <c r="E51" s="195"/>
      <c r="F51" s="28" t="s">
        <v>89</v>
      </c>
      <c r="G51" s="28" t="s">
        <v>7936</v>
      </c>
      <c r="H51" s="28" t="s">
        <v>7927</v>
      </c>
      <c r="I51" s="28" t="s">
        <v>7928</v>
      </c>
      <c r="J51" s="6" t="s">
        <v>7929</v>
      </c>
      <c r="K51" s="195" t="n">
        <v>1</v>
      </c>
      <c r="L51" s="195" t="s">
        <v>6380</v>
      </c>
      <c r="M51" s="225" t="s">
        <v>7930</v>
      </c>
      <c r="N51" s="195" t="s">
        <v>6275</v>
      </c>
      <c r="O51" s="28" t="s">
        <v>6276</v>
      </c>
      <c r="P51" s="28" t="s">
        <v>604</v>
      </c>
      <c r="Q51" s="28" t="s">
        <v>7931</v>
      </c>
      <c r="R51" s="28" t="s">
        <v>604</v>
      </c>
      <c r="S51" s="28" t="s">
        <v>604</v>
      </c>
      <c r="T51" s="28" t="s">
        <v>604</v>
      </c>
      <c r="U51" s="28" t="s">
        <v>7752</v>
      </c>
      <c r="V51" s="6" t="s">
        <v>7937</v>
      </c>
      <c r="W51" s="6" t="s">
        <v>7938</v>
      </c>
      <c r="X51" s="30" t="n">
        <f aca="false">IF($O51="Active",SUMPRODUCT(($AH$5:$AH$126=$AH51)*1),0)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1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7939</v>
      </c>
      <c r="B52" s="6" t="s">
        <v>7940</v>
      </c>
      <c r="C52" s="223" t="n">
        <v>0.919</v>
      </c>
      <c r="D52" s="195"/>
      <c r="E52" s="195"/>
      <c r="F52" s="28" t="s">
        <v>89</v>
      </c>
      <c r="G52" s="28" t="s">
        <v>7941</v>
      </c>
      <c r="H52" s="28" t="s">
        <v>7942</v>
      </c>
      <c r="I52" s="28" t="s">
        <v>7943</v>
      </c>
      <c r="J52" s="6" t="s">
        <v>7944</v>
      </c>
      <c r="K52" s="195" t="n">
        <v>2</v>
      </c>
      <c r="L52" s="195" t="s">
        <v>6273</v>
      </c>
      <c r="M52" s="6" t="s">
        <v>7945</v>
      </c>
      <c r="N52" s="195" t="s">
        <v>6275</v>
      </c>
      <c r="O52" s="28" t="s">
        <v>6276</v>
      </c>
      <c r="P52" s="28" t="s">
        <v>604</v>
      </c>
      <c r="Q52" s="28" t="s">
        <v>7946</v>
      </c>
      <c r="R52" s="28" t="s">
        <v>604</v>
      </c>
      <c r="S52" s="28" t="s">
        <v>604</v>
      </c>
      <c r="T52" s="28" t="s">
        <v>604</v>
      </c>
      <c r="U52" s="28" t="s">
        <v>7752</v>
      </c>
      <c r="V52" s="6" t="s">
        <v>7932</v>
      </c>
      <c r="W52" s="6" t="s">
        <v>7947</v>
      </c>
      <c r="X52" s="30" t="n">
        <f aca="false">IF($O52="Active",SUMPRODUCT(($AH$5:$AH$126=$AH52)*1),0)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7948</v>
      </c>
      <c r="B53" s="6" t="s">
        <v>7949</v>
      </c>
      <c r="C53" s="223" t="n">
        <v>0.451</v>
      </c>
      <c r="D53" s="195"/>
      <c r="E53" s="195"/>
      <c r="F53" s="28" t="s">
        <v>1504</v>
      </c>
      <c r="G53" s="195" t="s">
        <v>7950</v>
      </c>
      <c r="H53" s="28" t="s">
        <v>7747</v>
      </c>
      <c r="I53" s="28" t="s">
        <v>7951</v>
      </c>
      <c r="J53" s="6" t="s">
        <v>7952</v>
      </c>
      <c r="K53" s="195" t="n">
        <v>1</v>
      </c>
      <c r="L53" s="195" t="s">
        <v>6273</v>
      </c>
      <c r="M53" s="6" t="s">
        <v>7953</v>
      </c>
      <c r="N53" s="195" t="s">
        <v>6275</v>
      </c>
      <c r="O53" s="28" t="s">
        <v>6276</v>
      </c>
      <c r="P53" s="28" t="s">
        <v>604</v>
      </c>
      <c r="Q53" s="28" t="s">
        <v>7954</v>
      </c>
      <c r="R53" s="28" t="s">
        <v>604</v>
      </c>
      <c r="S53" s="28" t="s">
        <v>604</v>
      </c>
      <c r="T53" s="28" t="s">
        <v>604</v>
      </c>
      <c r="U53" s="28" t="s">
        <v>7955</v>
      </c>
      <c r="V53" s="225" t="s">
        <v>7758</v>
      </c>
      <c r="W53" s="6" t="s">
        <v>7956</v>
      </c>
      <c r="X53" s="30" t="n">
        <f aca="false">IF($O53="Active",SUMPRODUCT(($AH$5:$AH$126=$AH53)*1),0)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7957</v>
      </c>
      <c r="B54" s="6" t="s">
        <v>7949</v>
      </c>
      <c r="C54" s="223" t="n">
        <v>2.627</v>
      </c>
      <c r="D54" s="195"/>
      <c r="E54" s="195"/>
      <c r="F54" s="28" t="s">
        <v>1504</v>
      </c>
      <c r="G54" s="195" t="s">
        <v>7958</v>
      </c>
      <c r="H54" s="28" t="s">
        <v>7747</v>
      </c>
      <c r="I54" s="28" t="s">
        <v>7951</v>
      </c>
      <c r="J54" s="6" t="s">
        <v>7952</v>
      </c>
      <c r="K54" s="195" t="n">
        <v>1</v>
      </c>
      <c r="L54" s="195" t="s">
        <v>6273</v>
      </c>
      <c r="M54" s="6" t="s">
        <v>7953</v>
      </c>
      <c r="N54" s="195" t="s">
        <v>6275</v>
      </c>
      <c r="O54" s="28" t="s">
        <v>6276</v>
      </c>
      <c r="P54" s="28" t="s">
        <v>604</v>
      </c>
      <c r="Q54" s="28" t="s">
        <v>7954</v>
      </c>
      <c r="R54" s="28" t="s">
        <v>604</v>
      </c>
      <c r="S54" s="28" t="s">
        <v>604</v>
      </c>
      <c r="T54" s="28" t="s">
        <v>604</v>
      </c>
      <c r="U54" s="28" t="s">
        <v>7955</v>
      </c>
      <c r="V54" s="225" t="s">
        <v>7758</v>
      </c>
      <c r="W54" s="6" t="s">
        <v>7959</v>
      </c>
      <c r="X54" s="30" t="n">
        <f aca="false">IF($O54="Active",SUMPRODUCT(($AH$5:$AH$126=$AH54)*1),0)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5442</v>
      </c>
      <c r="B55" s="6" t="s">
        <v>7960</v>
      </c>
      <c r="C55" s="223" t="n">
        <v>0.07</v>
      </c>
      <c r="D55" s="223" t="n">
        <v>0.02</v>
      </c>
      <c r="E55" s="223" t="n">
        <v>0.07</v>
      </c>
      <c r="F55" s="28" t="s">
        <v>89</v>
      </c>
      <c r="G55" s="195" t="s">
        <v>7961</v>
      </c>
      <c r="H55" s="28" t="s">
        <v>7747</v>
      </c>
      <c r="I55" s="28" t="s">
        <v>7951</v>
      </c>
      <c r="J55" s="6" t="s">
        <v>7962</v>
      </c>
      <c r="K55" s="195" t="n">
        <v>1</v>
      </c>
      <c r="L55" s="195" t="s">
        <v>6273</v>
      </c>
      <c r="M55" s="6" t="s">
        <v>7750</v>
      </c>
      <c r="N55" s="195" t="s">
        <v>6275</v>
      </c>
      <c r="O55" s="28" t="s">
        <v>6276</v>
      </c>
      <c r="P55" s="28" t="s">
        <v>604</v>
      </c>
      <c r="Q55" s="28" t="s">
        <v>7963</v>
      </c>
      <c r="R55" s="28" t="s">
        <v>604</v>
      </c>
      <c r="S55" s="28" t="s">
        <v>604</v>
      </c>
      <c r="T55" s="28" t="s">
        <v>604</v>
      </c>
      <c r="U55" s="28" t="s">
        <v>7955</v>
      </c>
      <c r="V55" s="6" t="s">
        <v>7964</v>
      </c>
      <c r="W55" s="6" t="s">
        <v>7965</v>
      </c>
      <c r="X55" s="30" t="n">
        <f aca="false">IF($O55="Active",SUMPRODUCT(($AH$5:$AH$126=$AH55)*1),0)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7966</v>
      </c>
      <c r="B56" s="6" t="s">
        <v>7967</v>
      </c>
      <c r="C56" s="223" t="n">
        <v>69.5</v>
      </c>
      <c r="D56" s="195"/>
      <c r="E56" s="195"/>
      <c r="F56" s="28" t="s">
        <v>275</v>
      </c>
      <c r="G56" s="28" t="s">
        <v>7968</v>
      </c>
      <c r="H56" s="28" t="s">
        <v>7969</v>
      </c>
      <c r="I56" s="28" t="s">
        <v>7970</v>
      </c>
      <c r="J56" s="6" t="s">
        <v>7971</v>
      </c>
      <c r="K56" s="195" t="n">
        <v>1</v>
      </c>
      <c r="L56" s="195" t="s">
        <v>6380</v>
      </c>
      <c r="M56" s="6" t="s">
        <v>7972</v>
      </c>
      <c r="N56" s="195" t="s">
        <v>6275</v>
      </c>
      <c r="O56" s="28" t="s">
        <v>6276</v>
      </c>
      <c r="P56" s="28" t="s">
        <v>604</v>
      </c>
      <c r="Q56" s="28" t="s">
        <v>7973</v>
      </c>
      <c r="R56" s="28" t="s">
        <v>604</v>
      </c>
      <c r="S56" s="28" t="s">
        <v>604</v>
      </c>
      <c r="T56" s="28" t="s">
        <v>604</v>
      </c>
      <c r="U56" s="28" t="s">
        <v>7955</v>
      </c>
      <c r="V56" s="225" t="s">
        <v>7974</v>
      </c>
      <c r="W56" s="6" t="s">
        <v>7975</v>
      </c>
      <c r="X56" s="30" t="n">
        <f aca="false">IF($O56="Active",SUMPRODUCT(($AH$5:$AH$126=$AH56)*1),0)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7976</v>
      </c>
      <c r="B57" s="6" t="s">
        <v>7977</v>
      </c>
      <c r="C57" s="223" t="n">
        <v>295.6</v>
      </c>
      <c r="D57" s="195"/>
      <c r="E57" s="195"/>
      <c r="F57" s="28" t="s">
        <v>275</v>
      </c>
      <c r="G57" s="28" t="s">
        <v>7978</v>
      </c>
      <c r="H57" s="28" t="s">
        <v>7979</v>
      </c>
      <c r="I57" s="28" t="s">
        <v>7980</v>
      </c>
      <c r="J57" s="6" t="s">
        <v>7981</v>
      </c>
      <c r="K57" s="195" t="n">
        <v>1</v>
      </c>
      <c r="L57" s="195" t="s">
        <v>6380</v>
      </c>
      <c r="M57" s="6" t="s">
        <v>7982</v>
      </c>
      <c r="N57" s="195" t="s">
        <v>6275</v>
      </c>
      <c r="O57" s="28" t="s">
        <v>6276</v>
      </c>
      <c r="P57" s="28" t="s">
        <v>604</v>
      </c>
      <c r="Q57" s="28" t="s">
        <v>7983</v>
      </c>
      <c r="R57" s="28" t="s">
        <v>604</v>
      </c>
      <c r="S57" s="28" t="s">
        <v>604</v>
      </c>
      <c r="T57" s="28" t="s">
        <v>604</v>
      </c>
      <c r="U57" s="28" t="s">
        <v>7955</v>
      </c>
      <c r="V57" s="225" t="s">
        <v>7984</v>
      </c>
      <c r="W57" s="6" t="s">
        <v>7985</v>
      </c>
      <c r="X57" s="30" t="n">
        <f aca="false">IF($O57="Active",SUMPRODUCT(($AH$5:$AH$126=$AH57)*1),0)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7986</v>
      </c>
      <c r="B58" s="225" t="s">
        <v>7987</v>
      </c>
      <c r="C58" s="223" t="n">
        <v>0.07</v>
      </c>
      <c r="D58" s="195"/>
      <c r="E58" s="223" t="n">
        <v>0.24</v>
      </c>
      <c r="F58" s="28" t="s">
        <v>89</v>
      </c>
      <c r="G58" s="28" t="s">
        <v>7988</v>
      </c>
      <c r="H58" s="28" t="s">
        <v>7747</v>
      </c>
      <c r="I58" s="28" t="s">
        <v>7989</v>
      </c>
      <c r="J58" s="6" t="s">
        <v>7990</v>
      </c>
      <c r="K58" s="195" t="n">
        <v>2</v>
      </c>
      <c r="L58" s="195" t="s">
        <v>6273</v>
      </c>
      <c r="M58" s="6" t="s">
        <v>7991</v>
      </c>
      <c r="N58" s="195" t="s">
        <v>7992</v>
      </c>
      <c r="O58" s="28" t="s">
        <v>6276</v>
      </c>
      <c r="P58" s="28" t="s">
        <v>604</v>
      </c>
      <c r="Q58" s="28" t="s">
        <v>7993</v>
      </c>
      <c r="R58" s="28" t="s">
        <v>604</v>
      </c>
      <c r="S58" s="28" t="s">
        <v>604</v>
      </c>
      <c r="T58" s="28" t="s">
        <v>604</v>
      </c>
      <c r="U58" s="28" t="s">
        <v>7955</v>
      </c>
      <c r="V58" s="225" t="s">
        <v>7994</v>
      </c>
      <c r="W58" s="6" t="s">
        <v>7995</v>
      </c>
      <c r="X58" s="30" t="n">
        <f aca="false">IF($O58="Active",SUMPRODUCT(($AH$5:$AH$126=$AH58)*1),0)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7996</v>
      </c>
      <c r="B59" s="6" t="s">
        <v>7997</v>
      </c>
      <c r="C59" s="223" t="n">
        <v>27000</v>
      </c>
      <c r="D59" s="195"/>
      <c r="E59" s="223" t="n">
        <v>400000</v>
      </c>
      <c r="F59" s="28" t="s">
        <v>275</v>
      </c>
      <c r="G59" s="195" t="s">
        <v>7998</v>
      </c>
      <c r="H59" s="28" t="s">
        <v>7747</v>
      </c>
      <c r="I59" s="28" t="s">
        <v>7999</v>
      </c>
      <c r="J59" s="6" t="s">
        <v>8000</v>
      </c>
      <c r="K59" s="195" t="n">
        <v>1</v>
      </c>
      <c r="L59" s="195" t="s">
        <v>6273</v>
      </c>
      <c r="M59" s="6" t="s">
        <v>7750</v>
      </c>
      <c r="N59" s="195" t="s">
        <v>6275</v>
      </c>
      <c r="O59" s="28" t="s">
        <v>6276</v>
      </c>
      <c r="P59" s="28" t="s">
        <v>604</v>
      </c>
      <c r="Q59" s="28" t="s">
        <v>8001</v>
      </c>
      <c r="R59" s="28" t="s">
        <v>604</v>
      </c>
      <c r="S59" s="28" t="s">
        <v>604</v>
      </c>
      <c r="T59" s="28" t="s">
        <v>604</v>
      </c>
      <c r="U59" s="28" t="s">
        <v>7955</v>
      </c>
      <c r="V59" s="225" t="s">
        <v>8002</v>
      </c>
      <c r="W59" s="6" t="s">
        <v>8003</v>
      </c>
      <c r="X59" s="30" t="n">
        <f aca="false">IF($O59="Active",SUMPRODUCT(($AH$5:$AH$126=$AH59)*1),0)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1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8004</v>
      </c>
      <c r="B60" s="6" t="s">
        <v>8005</v>
      </c>
      <c r="C60" s="223" t="n">
        <v>1</v>
      </c>
      <c r="D60" s="195"/>
      <c r="E60" s="195"/>
      <c r="F60" s="28" t="s">
        <v>8006</v>
      </c>
      <c r="G60" s="195" t="s">
        <v>8007</v>
      </c>
      <c r="H60" s="28" t="s">
        <v>7747</v>
      </c>
      <c r="I60" s="28" t="s">
        <v>8008</v>
      </c>
      <c r="J60" s="6" t="s">
        <v>8009</v>
      </c>
      <c r="K60" s="195" t="n">
        <v>2</v>
      </c>
      <c r="L60" s="195" t="s">
        <v>6273</v>
      </c>
      <c r="M60" s="6" t="s">
        <v>8010</v>
      </c>
      <c r="N60" s="195" t="s">
        <v>6286</v>
      </c>
      <c r="O60" s="28" t="s">
        <v>6276</v>
      </c>
      <c r="P60" s="28" t="s">
        <v>604</v>
      </c>
      <c r="Q60" s="28" t="s">
        <v>8011</v>
      </c>
      <c r="R60" s="28" t="s">
        <v>604</v>
      </c>
      <c r="S60" s="28" t="s">
        <v>604</v>
      </c>
      <c r="T60" s="28" t="s">
        <v>604</v>
      </c>
      <c r="U60" s="28" t="s">
        <v>7955</v>
      </c>
      <c r="V60" s="225" t="s">
        <v>8012</v>
      </c>
      <c r="W60" s="6" t="s">
        <v>8013</v>
      </c>
      <c r="X60" s="30" t="n">
        <f aca="false">IF($O60="Active",SUMPRODUCT(($AH$5:$AH$126=$AH60)*1),0)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8014</v>
      </c>
      <c r="B61" s="6" t="s">
        <v>8015</v>
      </c>
      <c r="C61" s="223" t="n">
        <v>0.7</v>
      </c>
      <c r="D61" s="195"/>
      <c r="E61" s="195"/>
      <c r="F61" s="28" t="s">
        <v>8016</v>
      </c>
      <c r="G61" s="28" t="s">
        <v>8017</v>
      </c>
      <c r="H61" s="28" t="s">
        <v>7747</v>
      </c>
      <c r="I61" s="28" t="s">
        <v>8018</v>
      </c>
      <c r="J61" s="6" t="s">
        <v>8019</v>
      </c>
      <c r="K61" s="195" t="n">
        <v>2</v>
      </c>
      <c r="L61" s="195" t="s">
        <v>6273</v>
      </c>
      <c r="M61" s="6" t="s">
        <v>8010</v>
      </c>
      <c r="N61" s="195" t="s">
        <v>6286</v>
      </c>
      <c r="O61" s="28" t="s">
        <v>6276</v>
      </c>
      <c r="P61" s="28" t="s">
        <v>604</v>
      </c>
      <c r="Q61" s="28" t="s">
        <v>8020</v>
      </c>
      <c r="R61" s="28" t="s">
        <v>604</v>
      </c>
      <c r="S61" s="28" t="s">
        <v>604</v>
      </c>
      <c r="T61" s="28" t="s">
        <v>604</v>
      </c>
      <c r="U61" s="28" t="s">
        <v>7955</v>
      </c>
      <c r="V61" s="225" t="s">
        <v>8021</v>
      </c>
      <c r="W61" s="6" t="s">
        <v>8022</v>
      </c>
      <c r="X61" s="30" t="n">
        <f aca="false">IF($O61="Active",SUMPRODUCT(($AH$5:$AH$126=$AH61)*1),0)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8023</v>
      </c>
      <c r="B62" s="6" t="s">
        <v>8024</v>
      </c>
      <c r="C62" s="223" t="n">
        <v>100</v>
      </c>
      <c r="D62" s="195"/>
      <c r="E62" s="195"/>
      <c r="F62" s="28" t="s">
        <v>8025</v>
      </c>
      <c r="G62" s="28" t="s">
        <v>8026</v>
      </c>
      <c r="H62" s="28" t="s">
        <v>1195</v>
      </c>
      <c r="I62" s="28" t="s">
        <v>6865</v>
      </c>
      <c r="J62" s="6" t="s">
        <v>8027</v>
      </c>
      <c r="K62" s="195" t="n">
        <v>2</v>
      </c>
      <c r="L62" s="195" t="s">
        <v>6273</v>
      </c>
      <c r="M62" s="6" t="s">
        <v>8010</v>
      </c>
      <c r="N62" s="195" t="s">
        <v>6286</v>
      </c>
      <c r="O62" s="28" t="s">
        <v>6276</v>
      </c>
      <c r="P62" s="28" t="s">
        <v>604</v>
      </c>
      <c r="Q62" s="28" t="s">
        <v>8028</v>
      </c>
      <c r="R62" s="28" t="s">
        <v>604</v>
      </c>
      <c r="S62" s="28" t="s">
        <v>604</v>
      </c>
      <c r="T62" s="28" t="s">
        <v>604</v>
      </c>
      <c r="U62" s="28" t="s">
        <v>7955</v>
      </c>
      <c r="V62" s="225" t="s">
        <v>8029</v>
      </c>
      <c r="W62" s="6" t="s">
        <v>8030</v>
      </c>
      <c r="X62" s="30" t="n">
        <f aca="false">IF($O62="Active",SUMPRODUCT(($AH$5:$AH$126=$AH62)*1),0)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8031</v>
      </c>
      <c r="B63" s="225" t="s">
        <v>8032</v>
      </c>
      <c r="C63" s="223" t="n">
        <v>0.35</v>
      </c>
      <c r="D63" s="195"/>
      <c r="E63" s="195"/>
      <c r="F63" s="28" t="s">
        <v>89</v>
      </c>
      <c r="G63" s="28" t="s">
        <v>8033</v>
      </c>
      <c r="H63" s="28" t="s">
        <v>8034</v>
      </c>
      <c r="I63" s="28" t="s">
        <v>8035</v>
      </c>
      <c r="J63" s="6" t="s">
        <v>8036</v>
      </c>
      <c r="K63" s="195" t="n">
        <v>1</v>
      </c>
      <c r="L63" s="195" t="s">
        <v>6380</v>
      </c>
      <c r="M63" s="6" t="s">
        <v>8037</v>
      </c>
      <c r="N63" s="195" t="s">
        <v>6275</v>
      </c>
      <c r="O63" s="28" t="s">
        <v>6276</v>
      </c>
      <c r="P63" s="28" t="s">
        <v>604</v>
      </c>
      <c r="Q63" s="28" t="s">
        <v>8038</v>
      </c>
      <c r="R63" s="28" t="s">
        <v>604</v>
      </c>
      <c r="S63" s="28" t="s">
        <v>604</v>
      </c>
      <c r="T63" s="28" t="s">
        <v>604</v>
      </c>
      <c r="U63" s="28" t="s">
        <v>7955</v>
      </c>
      <c r="V63" s="225" t="s">
        <v>8039</v>
      </c>
      <c r="W63" s="6" t="s">
        <v>8040</v>
      </c>
      <c r="X63" s="30" t="n">
        <f aca="false">IF($O63="Active",SUMPRODUCT(($AH$5:$AH$126=$AH63)*1),0)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8041</v>
      </c>
      <c r="B64" s="6" t="s">
        <v>7761</v>
      </c>
      <c r="C64" s="223" t="n">
        <v>8</v>
      </c>
      <c r="D64" s="195"/>
      <c r="E64" s="195"/>
      <c r="F64" s="195" t="s">
        <v>1266</v>
      </c>
      <c r="G64" s="195" t="s">
        <v>8042</v>
      </c>
      <c r="H64" s="28" t="s">
        <v>7763</v>
      </c>
      <c r="I64" s="28" t="s">
        <v>8043</v>
      </c>
      <c r="J64" s="6" t="s">
        <v>8044</v>
      </c>
      <c r="K64" s="195" t="n">
        <v>2</v>
      </c>
      <c r="L64" s="195" t="s">
        <v>6273</v>
      </c>
      <c r="M64" s="6" t="s">
        <v>8010</v>
      </c>
      <c r="N64" s="195" t="s">
        <v>6286</v>
      </c>
      <c r="O64" s="28" t="s">
        <v>6276</v>
      </c>
      <c r="P64" s="28" t="s">
        <v>604</v>
      </c>
      <c r="Q64" s="28" t="s">
        <v>8045</v>
      </c>
      <c r="R64" s="28" t="s">
        <v>604</v>
      </c>
      <c r="S64" s="28" t="s">
        <v>604</v>
      </c>
      <c r="T64" s="28" t="s">
        <v>604</v>
      </c>
      <c r="U64" s="28" t="s">
        <v>7955</v>
      </c>
      <c r="V64" s="225" t="s">
        <v>8046</v>
      </c>
      <c r="W64" s="6" t="s">
        <v>8047</v>
      </c>
      <c r="X64" s="30" t="n">
        <f aca="false">IF($O64="Active",SUMPRODUCT(($AH$5:$AH$126=$AH64)*1),0)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8048</v>
      </c>
      <c r="B65" s="6" t="s">
        <v>8049</v>
      </c>
      <c r="C65" s="223" t="n">
        <v>3</v>
      </c>
      <c r="D65" s="195"/>
      <c r="E65" s="195"/>
      <c r="F65" s="28" t="s">
        <v>81</v>
      </c>
      <c r="G65" s="28" t="s">
        <v>8050</v>
      </c>
      <c r="H65" s="28" t="s">
        <v>1195</v>
      </c>
      <c r="I65" s="28" t="s">
        <v>7748</v>
      </c>
      <c r="J65" s="6" t="s">
        <v>8051</v>
      </c>
      <c r="K65" s="195" t="n">
        <v>1</v>
      </c>
      <c r="L65" s="195" t="s">
        <v>6273</v>
      </c>
      <c r="M65" s="6" t="s">
        <v>7750</v>
      </c>
      <c r="N65" s="195" t="s">
        <v>6275</v>
      </c>
      <c r="O65" s="28" t="s">
        <v>6276</v>
      </c>
      <c r="P65" s="28" t="s">
        <v>604</v>
      </c>
      <c r="Q65" s="28" t="s">
        <v>8052</v>
      </c>
      <c r="R65" s="28" t="s">
        <v>604</v>
      </c>
      <c r="S65" s="28" t="s">
        <v>604</v>
      </c>
      <c r="T65" s="28" t="s">
        <v>604</v>
      </c>
      <c r="U65" s="28" t="s">
        <v>7955</v>
      </c>
      <c r="V65" s="225" t="s">
        <v>8053</v>
      </c>
      <c r="W65" s="6" t="s">
        <v>8054</v>
      </c>
      <c r="X65" s="30" t="n">
        <f aca="false">IF($O65="Active",SUMPRODUCT(($AH$5:$AH$126=$AH65)*1),0)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8055</v>
      </c>
      <c r="B66" s="6" t="s">
        <v>8056</v>
      </c>
      <c r="C66" s="223" t="n">
        <v>50</v>
      </c>
      <c r="D66" s="195"/>
      <c r="E66" s="223" t="n">
        <v>70</v>
      </c>
      <c r="F66" s="28" t="s">
        <v>1739</v>
      </c>
      <c r="G66" s="195" t="s">
        <v>8057</v>
      </c>
      <c r="H66" s="28" t="s">
        <v>1195</v>
      </c>
      <c r="I66" s="28" t="s">
        <v>3225</v>
      </c>
      <c r="J66" s="6" t="s">
        <v>8058</v>
      </c>
      <c r="K66" s="195" t="n">
        <v>2</v>
      </c>
      <c r="L66" s="195" t="s">
        <v>6273</v>
      </c>
      <c r="M66" s="225" t="s">
        <v>8059</v>
      </c>
      <c r="N66" s="195" t="s">
        <v>6286</v>
      </c>
      <c r="O66" s="28" t="s">
        <v>6276</v>
      </c>
      <c r="P66" s="28" t="s">
        <v>604</v>
      </c>
      <c r="Q66" s="28" t="s">
        <v>8060</v>
      </c>
      <c r="R66" s="28" t="s">
        <v>604</v>
      </c>
      <c r="S66" s="28" t="s">
        <v>604</v>
      </c>
      <c r="T66" s="28" t="s">
        <v>604</v>
      </c>
      <c r="U66" s="28" t="s">
        <v>7955</v>
      </c>
      <c r="V66" s="225" t="s">
        <v>8061</v>
      </c>
      <c r="W66" s="6" t="s">
        <v>8062</v>
      </c>
      <c r="X66" s="30" t="n">
        <f aca="false">IF($O66="Active",SUMPRODUCT(($AH$5:$AH$126=$AH66)*1),0)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8063</v>
      </c>
      <c r="B67" s="6" t="s">
        <v>8064</v>
      </c>
      <c r="C67" s="223" t="n">
        <v>500</v>
      </c>
      <c r="D67" s="195"/>
      <c r="E67" s="195"/>
      <c r="F67" s="195" t="s">
        <v>1266</v>
      </c>
      <c r="G67" s="195" t="s">
        <v>8065</v>
      </c>
      <c r="H67" s="28" t="s">
        <v>7747</v>
      </c>
      <c r="I67" s="28" t="s">
        <v>8018</v>
      </c>
      <c r="J67" s="6" t="s">
        <v>8066</v>
      </c>
      <c r="K67" s="195" t="n">
        <v>2</v>
      </c>
      <c r="L67" s="195" t="s">
        <v>6273</v>
      </c>
      <c r="M67" s="6" t="s">
        <v>8010</v>
      </c>
      <c r="N67" s="195" t="s">
        <v>6286</v>
      </c>
      <c r="O67" s="28" t="s">
        <v>6276</v>
      </c>
      <c r="P67" s="28" t="s">
        <v>604</v>
      </c>
      <c r="Q67" s="28" t="s">
        <v>8067</v>
      </c>
      <c r="R67" s="28" t="s">
        <v>604</v>
      </c>
      <c r="S67" s="28" t="s">
        <v>604</v>
      </c>
      <c r="T67" s="28" t="s">
        <v>604</v>
      </c>
      <c r="U67" s="28" t="s">
        <v>7955</v>
      </c>
      <c r="V67" s="225" t="s">
        <v>8068</v>
      </c>
      <c r="W67" s="6" t="s">
        <v>8069</v>
      </c>
      <c r="X67" s="30" t="n">
        <f aca="false">IF($O67="Active",SUMPRODUCT(($AH$5:$AH$126=$AH67)*1),0)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8070</v>
      </c>
      <c r="B68" s="6" t="s">
        <v>8064</v>
      </c>
      <c r="C68" s="223" t="n">
        <v>700</v>
      </c>
      <c r="D68" s="195"/>
      <c r="E68" s="195"/>
      <c r="F68" s="195" t="s">
        <v>1266</v>
      </c>
      <c r="G68" s="195" t="s">
        <v>8071</v>
      </c>
      <c r="H68" s="28" t="s">
        <v>7747</v>
      </c>
      <c r="I68" s="28" t="s">
        <v>8018</v>
      </c>
      <c r="J68" s="6" t="s">
        <v>8072</v>
      </c>
      <c r="K68" s="195" t="n">
        <v>2</v>
      </c>
      <c r="L68" s="195" t="s">
        <v>6273</v>
      </c>
      <c r="M68" s="6" t="s">
        <v>8010</v>
      </c>
      <c r="N68" s="195" t="s">
        <v>6286</v>
      </c>
      <c r="O68" s="28" t="s">
        <v>6276</v>
      </c>
      <c r="P68" s="28" t="s">
        <v>604</v>
      </c>
      <c r="Q68" s="28" t="s">
        <v>8067</v>
      </c>
      <c r="R68" s="28" t="s">
        <v>604</v>
      </c>
      <c r="S68" s="28" t="s">
        <v>604</v>
      </c>
      <c r="T68" s="28" t="s">
        <v>604</v>
      </c>
      <c r="U68" s="28" t="s">
        <v>7955</v>
      </c>
      <c r="V68" s="225" t="s">
        <v>8068</v>
      </c>
      <c r="W68" s="6" t="s">
        <v>8073</v>
      </c>
      <c r="X68" s="30" t="n">
        <f aca="false">IF($O68="Active",SUMPRODUCT(($AH$5:$AH$126=$AH68)*1),0)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8074</v>
      </c>
      <c r="B69" s="6" t="s">
        <v>8064</v>
      </c>
      <c r="C69" s="223" t="n">
        <v>800</v>
      </c>
      <c r="D69" s="195"/>
      <c r="E69" s="195"/>
      <c r="F69" s="195" t="s">
        <v>1266</v>
      </c>
      <c r="G69" s="195" t="s">
        <v>8075</v>
      </c>
      <c r="H69" s="28" t="s">
        <v>7747</v>
      </c>
      <c r="I69" s="28" t="s">
        <v>7684</v>
      </c>
      <c r="J69" s="6" t="s">
        <v>8076</v>
      </c>
      <c r="K69" s="195" t="n">
        <v>2</v>
      </c>
      <c r="L69" s="195" t="s">
        <v>6273</v>
      </c>
      <c r="M69" s="6" t="s">
        <v>8010</v>
      </c>
      <c r="N69" s="195" t="s">
        <v>6286</v>
      </c>
      <c r="O69" s="28" t="s">
        <v>6276</v>
      </c>
      <c r="P69" s="28" t="s">
        <v>604</v>
      </c>
      <c r="Q69" s="28" t="s">
        <v>8067</v>
      </c>
      <c r="R69" s="28" t="s">
        <v>604</v>
      </c>
      <c r="S69" s="28" t="s">
        <v>604</v>
      </c>
      <c r="T69" s="28" t="s">
        <v>604</v>
      </c>
      <c r="U69" s="28" t="s">
        <v>7955</v>
      </c>
      <c r="V69" s="225" t="s">
        <v>8068</v>
      </c>
      <c r="W69" s="6" t="s">
        <v>8077</v>
      </c>
      <c r="X69" s="30" t="n">
        <f aca="false">IF($O69="Active",SUMPRODUCT(($AH$5:$AH$126=$AH69)*1),0)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1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8078</v>
      </c>
      <c r="B70" s="6" t="s">
        <v>8064</v>
      </c>
      <c r="C70" s="223" t="n">
        <v>900</v>
      </c>
      <c r="D70" s="195"/>
      <c r="E70" s="195"/>
      <c r="F70" s="195" t="s">
        <v>1266</v>
      </c>
      <c r="G70" s="195" t="s">
        <v>8079</v>
      </c>
      <c r="H70" s="28" t="s">
        <v>7747</v>
      </c>
      <c r="I70" s="28" t="s">
        <v>7748</v>
      </c>
      <c r="J70" s="6" t="s">
        <v>7749</v>
      </c>
      <c r="K70" s="195" t="n">
        <v>1</v>
      </c>
      <c r="L70" s="195" t="s">
        <v>6273</v>
      </c>
      <c r="M70" s="6" t="s">
        <v>7750</v>
      </c>
      <c r="N70" s="195" t="s">
        <v>6275</v>
      </c>
      <c r="O70" s="28" t="s">
        <v>6276</v>
      </c>
      <c r="P70" s="28" t="s">
        <v>604</v>
      </c>
      <c r="Q70" s="28" t="s">
        <v>8067</v>
      </c>
      <c r="R70" s="28" t="s">
        <v>604</v>
      </c>
      <c r="S70" s="28" t="s">
        <v>604</v>
      </c>
      <c r="T70" s="28" t="s">
        <v>604</v>
      </c>
      <c r="U70" s="28" t="s">
        <v>7955</v>
      </c>
      <c r="V70" s="225" t="s">
        <v>8068</v>
      </c>
      <c r="W70" s="6" t="s">
        <v>8080</v>
      </c>
      <c r="X70" s="30" t="n">
        <f aca="false">IF($O70="Active",SUMPRODUCT(($AH$5:$AH$126=$AH70)*1),0)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1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8081</v>
      </c>
      <c r="B71" s="6" t="s">
        <v>8064</v>
      </c>
      <c r="C71" s="223" t="n">
        <v>1000</v>
      </c>
      <c r="D71" s="195"/>
      <c r="E71" s="195"/>
      <c r="F71" s="195" t="s">
        <v>1266</v>
      </c>
      <c r="G71" s="195" t="s">
        <v>8082</v>
      </c>
      <c r="H71" s="28" t="s">
        <v>7747</v>
      </c>
      <c r="I71" s="28" t="s">
        <v>8083</v>
      </c>
      <c r="J71" s="6" t="s">
        <v>8084</v>
      </c>
      <c r="K71" s="195" t="n">
        <v>2</v>
      </c>
      <c r="L71" s="195" t="s">
        <v>6273</v>
      </c>
      <c r="M71" s="6" t="s">
        <v>8010</v>
      </c>
      <c r="N71" s="195" t="s">
        <v>6286</v>
      </c>
      <c r="O71" s="28" t="s">
        <v>6276</v>
      </c>
      <c r="P71" s="28" t="s">
        <v>604</v>
      </c>
      <c r="Q71" s="28" t="s">
        <v>8067</v>
      </c>
      <c r="R71" s="28" t="s">
        <v>604</v>
      </c>
      <c r="S71" s="28" t="s">
        <v>604</v>
      </c>
      <c r="T71" s="28" t="s">
        <v>604</v>
      </c>
      <c r="U71" s="28" t="s">
        <v>7955</v>
      </c>
      <c r="V71" s="225" t="s">
        <v>8068</v>
      </c>
      <c r="W71" s="6" t="s">
        <v>8085</v>
      </c>
      <c r="X71" s="30" t="n">
        <f aca="false">IF($O71="Active",SUMPRODUCT(($AH$5:$AH$126=$AH71)*1),0)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1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8086</v>
      </c>
      <c r="B72" s="6" t="s">
        <v>8064</v>
      </c>
      <c r="C72" s="223" t="n">
        <v>1200</v>
      </c>
      <c r="D72" s="195"/>
      <c r="E72" s="195"/>
      <c r="F72" s="195" t="s">
        <v>1266</v>
      </c>
      <c r="G72" s="195" t="s">
        <v>8087</v>
      </c>
      <c r="H72" s="28" t="s">
        <v>7747</v>
      </c>
      <c r="I72" s="28" t="s">
        <v>5910</v>
      </c>
      <c r="J72" s="6" t="s">
        <v>8088</v>
      </c>
      <c r="K72" s="195" t="n">
        <v>1</v>
      </c>
      <c r="L72" s="195" t="s">
        <v>6273</v>
      </c>
      <c r="M72" s="6" t="s">
        <v>7750</v>
      </c>
      <c r="N72" s="195" t="s">
        <v>6275</v>
      </c>
      <c r="O72" s="28" t="s">
        <v>6276</v>
      </c>
      <c r="P72" s="28" t="s">
        <v>604</v>
      </c>
      <c r="Q72" s="28" t="s">
        <v>8067</v>
      </c>
      <c r="R72" s="28" t="s">
        <v>604</v>
      </c>
      <c r="S72" s="28" t="s">
        <v>604</v>
      </c>
      <c r="T72" s="28" t="s">
        <v>604</v>
      </c>
      <c r="U72" s="28" t="s">
        <v>7955</v>
      </c>
      <c r="V72" s="225" t="s">
        <v>8068</v>
      </c>
      <c r="W72" s="6" t="s">
        <v>8089</v>
      </c>
      <c r="X72" s="30" t="n">
        <f aca="false">IF($O72="Active",SUMPRODUCT(($AH$5:$AH$126=$AH72)*1),0)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1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8090</v>
      </c>
      <c r="B73" s="6" t="s">
        <v>7890</v>
      </c>
      <c r="C73" s="223" t="n">
        <v>5.7</v>
      </c>
      <c r="D73" s="195"/>
      <c r="E73" s="195"/>
      <c r="F73" s="28" t="s">
        <v>863</v>
      </c>
      <c r="G73" s="28" t="s">
        <v>8091</v>
      </c>
      <c r="H73" s="28" t="s">
        <v>1195</v>
      </c>
      <c r="I73" s="28" t="s">
        <v>7030</v>
      </c>
      <c r="J73" s="6" t="s">
        <v>8092</v>
      </c>
      <c r="K73" s="195" t="n">
        <v>2</v>
      </c>
      <c r="L73" s="195" t="s">
        <v>6273</v>
      </c>
      <c r="M73" s="6" t="s">
        <v>8010</v>
      </c>
      <c r="N73" s="195" t="s">
        <v>6286</v>
      </c>
      <c r="O73" s="28" t="s">
        <v>6276</v>
      </c>
      <c r="P73" s="28" t="s">
        <v>604</v>
      </c>
      <c r="Q73" s="28" t="s">
        <v>8093</v>
      </c>
      <c r="R73" s="28" t="s">
        <v>604</v>
      </c>
      <c r="S73" s="28" t="s">
        <v>604</v>
      </c>
      <c r="T73" s="28" t="s">
        <v>604</v>
      </c>
      <c r="U73" s="28" t="s">
        <v>8094</v>
      </c>
      <c r="V73" s="6" t="s">
        <v>8095</v>
      </c>
      <c r="W73" s="6" t="s">
        <v>8096</v>
      </c>
      <c r="X73" s="30" t="n">
        <f aca="false">IF($O73="Active",SUMPRODUCT(($AH$5:$AH$126=$AH73)*1),0)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1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8097</v>
      </c>
      <c r="B74" s="6" t="s">
        <v>8098</v>
      </c>
      <c r="C74" s="223" t="n">
        <v>14.1</v>
      </c>
      <c r="D74" s="223" t="n">
        <v>12</v>
      </c>
      <c r="E74" s="223" t="n">
        <v>18</v>
      </c>
      <c r="F74" s="28" t="s">
        <v>863</v>
      </c>
      <c r="G74" s="28" t="s">
        <v>8099</v>
      </c>
      <c r="H74" s="28" t="s">
        <v>1195</v>
      </c>
      <c r="I74" s="28" t="s">
        <v>6283</v>
      </c>
      <c r="J74" s="6" t="s">
        <v>8100</v>
      </c>
      <c r="K74" s="195" t="n">
        <v>3</v>
      </c>
      <c r="L74" s="195" t="s">
        <v>6273</v>
      </c>
      <c r="M74" s="6" t="s">
        <v>8101</v>
      </c>
      <c r="N74" s="195" t="s">
        <v>6286</v>
      </c>
      <c r="O74" s="28" t="s">
        <v>6322</v>
      </c>
      <c r="P74" s="28" t="s">
        <v>604</v>
      </c>
      <c r="Q74" s="28" t="s">
        <v>8102</v>
      </c>
      <c r="R74" s="28" t="s">
        <v>604</v>
      </c>
      <c r="S74" s="28" t="s">
        <v>604</v>
      </c>
      <c r="T74" s="28" t="s">
        <v>604</v>
      </c>
      <c r="U74" s="28" t="s">
        <v>8094</v>
      </c>
      <c r="V74" s="6" t="s">
        <v>8103</v>
      </c>
      <c r="W74" s="6" t="s">
        <v>8104</v>
      </c>
      <c r="X74" s="30" t="n">
        <f aca="false">IF($O74="Active",SUMPRODUCT(($AH$5:$AH$126=$AH74)*1),0)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1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5453</v>
      </c>
      <c r="B75" s="6" t="s">
        <v>8105</v>
      </c>
      <c r="C75" s="223" t="n">
        <v>0.2</v>
      </c>
      <c r="D75" s="223" t="n">
        <v>0.15</v>
      </c>
      <c r="E75" s="223" t="n">
        <v>0.2</v>
      </c>
      <c r="F75" s="28" t="s">
        <v>89</v>
      </c>
      <c r="G75" s="28" t="s">
        <v>8106</v>
      </c>
      <c r="H75" s="28" t="s">
        <v>1195</v>
      </c>
      <c r="I75" s="28" t="s">
        <v>6283</v>
      </c>
      <c r="J75" s="6" t="s">
        <v>8107</v>
      </c>
      <c r="K75" s="195" t="n">
        <v>3</v>
      </c>
      <c r="L75" s="195" t="s">
        <v>6273</v>
      </c>
      <c r="M75" s="6" t="s">
        <v>8108</v>
      </c>
      <c r="N75" s="195" t="s">
        <v>6286</v>
      </c>
      <c r="O75" s="28" t="s">
        <v>6276</v>
      </c>
      <c r="P75" s="28" t="s">
        <v>604</v>
      </c>
      <c r="Q75" s="28" t="s">
        <v>8109</v>
      </c>
      <c r="R75" s="28" t="s">
        <v>604</v>
      </c>
      <c r="S75" s="28" t="s">
        <v>604</v>
      </c>
      <c r="T75" s="28" t="s">
        <v>604</v>
      </c>
      <c r="U75" s="28" t="s">
        <v>8094</v>
      </c>
      <c r="V75" s="6" t="s">
        <v>8110</v>
      </c>
      <c r="W75" s="6" t="s">
        <v>8111</v>
      </c>
      <c r="X75" s="30" t="n">
        <f aca="false">IF($O75="Active",SUMPRODUCT(($AH$5:$AH$126=$AH75)*1),0)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1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4" hidden="false" customHeight="false" outlineLevel="0" collapsed="false">
      <c r="A76" s="59" t="s">
        <v>5570</v>
      </c>
      <c r="B76" s="6" t="s">
        <v>8112</v>
      </c>
      <c r="C76" s="134" t="n">
        <v>1</v>
      </c>
      <c r="D76" s="58"/>
      <c r="E76" s="58"/>
      <c r="F76" s="59" t="s">
        <v>863</v>
      </c>
      <c r="G76" s="58" t="s">
        <v>8113</v>
      </c>
      <c r="H76" s="59" t="s">
        <v>1195</v>
      </c>
      <c r="I76" s="59" t="s">
        <v>8114</v>
      </c>
      <c r="J76" s="6" t="s">
        <v>8115</v>
      </c>
      <c r="K76" s="58" t="n">
        <v>2</v>
      </c>
      <c r="L76" s="58" t="s">
        <v>6273</v>
      </c>
      <c r="M76" s="6" t="s">
        <v>8010</v>
      </c>
      <c r="N76" s="58" t="s">
        <v>6286</v>
      </c>
      <c r="O76" s="59" t="s">
        <v>6276</v>
      </c>
      <c r="P76" s="59" t="s">
        <v>604</v>
      </c>
      <c r="Q76" s="59" t="s">
        <v>8116</v>
      </c>
      <c r="R76" s="59" t="s">
        <v>604</v>
      </c>
      <c r="S76" s="59" t="s">
        <v>604</v>
      </c>
      <c r="T76" s="59" t="s">
        <v>604</v>
      </c>
      <c r="U76" s="59" t="s">
        <v>8117</v>
      </c>
      <c r="V76" s="6" t="s">
        <v>8118</v>
      </c>
      <c r="W76" s="6" t="s">
        <v>8119</v>
      </c>
      <c r="X76" s="109" t="n">
        <f aca="false">IF($O76="Active",SUMPRODUCT(($AH$5:$AH$126=$AH76)*1),0)</f>
        <v>1</v>
      </c>
      <c r="Y76" s="109" t="n">
        <f aca="false">IF(AND($O76="Active",OR($Q76="—",$Q76="")),1,0)</f>
        <v>0</v>
      </c>
      <c r="Z76" s="109" t="n">
        <f aca="false">IF(AND($O76="Active",$L76="利害關係方",OR($R76="—",$R76="")),1,0)</f>
        <v>1</v>
      </c>
      <c r="AH76" s="58" t="str">
        <f aca="false">IF($O76="Active",$B76&amp;"¦"&amp;$G76&amp;"¦"&amp;$H76,"")</f>
        <v>OpenAI 廣告年化營收¦年化（run-rate）；廣告上線約 200 天後；2026-08 時點值¦OpenAI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8120</v>
      </c>
    </row>
    <row r="2" customFormat="false" ht="15" hidden="false" customHeight="false" outlineLevel="0" collapsed="false">
      <c r="A2" s="56" t="s">
        <v>8121</v>
      </c>
    </row>
    <row r="4" customFormat="false" ht="15" hidden="false" customHeight="false" outlineLevel="0" collapsed="false">
      <c r="A4" s="10" t="s">
        <v>6249</v>
      </c>
      <c r="B4" s="57" t="s">
        <v>12</v>
      </c>
      <c r="C4" s="57" t="s">
        <v>8122</v>
      </c>
      <c r="D4" s="57" t="s">
        <v>591</v>
      </c>
      <c r="E4" s="57" t="s">
        <v>3556</v>
      </c>
      <c r="F4" s="57" t="s">
        <v>8123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8124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8124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8124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8124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8124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8124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8124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8124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8124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8124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8124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8124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8124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8124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8124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8124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8124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8124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8124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8124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8124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8124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8124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8124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8124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8124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8124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8124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8124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8124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8124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8124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8124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8124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8124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8124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8124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8124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8124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8124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8124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8124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8124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8124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8124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8124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8124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8124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8124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8124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8124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8124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8124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8124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8124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8124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8124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8124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8124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8124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8124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8124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8124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8124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8124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8124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8124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8124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8124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8124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8124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8124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8124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8124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8124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8124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8124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8124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8124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8124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8124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8124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8124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8124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8124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8124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8124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8124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8124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8124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8124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8124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8124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8124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8124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8124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8124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8124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8124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8124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8124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8124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8124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8124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8124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8124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8124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8124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8124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8124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8124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8124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8124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8124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8124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8124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8125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8125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8125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8125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8125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8125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8125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8125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8125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8125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8125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8125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8125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8125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8125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8125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8125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8125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8125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8125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8125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8125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8125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8125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8125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8125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8125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8125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8125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8125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8125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8125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8125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8125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8125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8125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8125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8125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8125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8125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8125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8125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8125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8125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8125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8125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8125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8125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8125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8125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8125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8125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8125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8125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8125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8125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8125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8125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8125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8125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8125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8125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8125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8125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8125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8125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8125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8126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8126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8126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8126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8126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8126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8126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8126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8126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8126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8126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8126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8126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8126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8126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8126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8126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8126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8126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8126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8126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8126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8126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8126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8126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8126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8126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8126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8126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8126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8126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8126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8126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8126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8126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8126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8126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8126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8126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8126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8126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8126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8126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8126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8126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8126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8126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8126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8126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8126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8126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8126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8126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8126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8126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8126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8126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8126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8126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8126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8126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8126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8126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8126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8126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8126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8126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8126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8126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8126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8126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8126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8126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8126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8126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8126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8126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8126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8126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8126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8126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8126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8126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8126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8126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8126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8126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8126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8126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8126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8126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8126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8126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8126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8126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8126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8126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8126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8126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8126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8126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8126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8126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8126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8126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8126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8126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8126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8126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8126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8126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8127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8127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8127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8127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8127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8127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8127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8127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8127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8127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8127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8127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8127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8127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8127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8127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8127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8127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8127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8127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8127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8127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8127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8127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8127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8127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8127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8127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8127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8127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8127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8127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8127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8127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8127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8127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8127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8127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8127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8127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8127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8127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8127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8127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8127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8127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8127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8127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8127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8127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8127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8127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8127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8127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8127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8127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8127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8127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8127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8127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8127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8127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8127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8127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8127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8127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8127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8127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8127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8127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8127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8127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8127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8127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8127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8127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8127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8127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8127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8127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8127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8127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8127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8127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8127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8127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8127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8127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8127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8127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8127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8127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8127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8127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8127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8127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8127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8127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8127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8127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8127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8127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8127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8127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8127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8127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8127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8127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8127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8128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8128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8128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8128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8128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8128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8128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8128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8128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8128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8128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8128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8128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8128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8128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8128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8128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8128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8128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8128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8128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8128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8128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8128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8128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8128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8128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8128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8128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8128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8128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8128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8128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8128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8128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8128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8128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8128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8128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8128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8128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8128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8128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8128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8128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8128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8128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8128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8128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8128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8128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8128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8128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8128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8128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8128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8128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8128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8128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8128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8128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8128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8128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8128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8128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8128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8128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8128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8128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8128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8128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8128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8128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8128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8128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8128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8128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8128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8128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8128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8128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8128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8128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8128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8128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8128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8128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8128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8128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8128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8128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8128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8128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8128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8129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8129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8129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8129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8129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8129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8129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8129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8129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8129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8129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8129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8129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8129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8129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8129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8129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8129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8129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8129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8129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8129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8129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8129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8129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8129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8129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8129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8129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8129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8129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8129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8129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8129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8129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8129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8129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8129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8129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8129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8129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8129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8129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8129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8129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8129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8129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8129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8129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8129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8129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8129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8129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8129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8129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8129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8129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8129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8129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8129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8129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8129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8129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8129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8129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8129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8129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8129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8129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8129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8129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8130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8130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8130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8130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8130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8130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8130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8130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8130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8130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8130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8130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8130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8130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8130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8130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8130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8130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8130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8130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8130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8130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8130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8130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8130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8130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8130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8130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8130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8130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8130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8130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8130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8130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8130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8130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8130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8130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8130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8130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8130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8130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8130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8130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8130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8130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8130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8130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8130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8130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8130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8130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8130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8130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8130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8130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8130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8130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8130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8130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8130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8130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8130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8130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8130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8131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8131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8131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8131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8131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8131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8131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8131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8131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8131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8131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8131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8131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8131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8131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8131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8131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8131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8131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8131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8131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8131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8131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8131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8131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8131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8131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8131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8131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8131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8131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8131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8131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8131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8131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8131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8131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8131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8131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8131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8131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8131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8131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8131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8131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8131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8131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8131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>SRC_DEM_049</v>
      </c>
      <c r="B686" s="59" t="s">
        <v>8131</v>
      </c>
      <c r="C686" s="58" t="n">
        <v>53</v>
      </c>
      <c r="D686" s="90" t="str">
        <f aca="false">SRC_Demand!$O53</f>
        <v>Active</v>
      </c>
      <c r="E686" s="90" t="n">
        <f aca="false">SRC_Demand!$K53</f>
        <v>1</v>
      </c>
      <c r="F686" s="90" t="str">
        <f aca="false">SRC_Demand!$S53</f>
        <v>—</v>
      </c>
    </row>
    <row r="687" customFormat="false" ht="15" hidden="false" customHeight="false" outlineLevel="0" collapsed="false">
      <c r="A687" s="90" t="str">
        <f aca="false">SRC_Demand!$A54&amp;""</f>
        <v>SRC_DEM_050</v>
      </c>
      <c r="B687" s="59" t="s">
        <v>8131</v>
      </c>
      <c r="C687" s="58" t="n">
        <v>54</v>
      </c>
      <c r="D687" s="90" t="str">
        <f aca="false">SRC_Demand!$O54</f>
        <v>Active</v>
      </c>
      <c r="E687" s="90" t="n">
        <f aca="false">SRC_Demand!$K54</f>
        <v>1</v>
      </c>
      <c r="F687" s="90" t="str">
        <f aca="false">SRC_Demand!$S54</f>
        <v>—</v>
      </c>
    </row>
    <row r="688" customFormat="false" ht="15" hidden="false" customHeight="false" outlineLevel="0" collapsed="false">
      <c r="A688" s="90" t="str">
        <f aca="false">SRC_Demand!$A55&amp;""</f>
        <v>SRC_DEM_051</v>
      </c>
      <c r="B688" s="59" t="s">
        <v>8131</v>
      </c>
      <c r="C688" s="58" t="n">
        <v>55</v>
      </c>
      <c r="D688" s="90" t="str">
        <f aca="false">SRC_Demand!$O55</f>
        <v>Active</v>
      </c>
      <c r="E688" s="90" t="n">
        <f aca="false">SRC_Demand!$K55</f>
        <v>1</v>
      </c>
      <c r="F688" s="90" t="str">
        <f aca="false">SRC_Demand!$S55</f>
        <v>—</v>
      </c>
    </row>
    <row r="689" customFormat="false" ht="15" hidden="false" customHeight="false" outlineLevel="0" collapsed="false">
      <c r="A689" s="90" t="str">
        <f aca="false">SRC_Demand!$A56&amp;""</f>
        <v>SRC_DEM_052</v>
      </c>
      <c r="B689" s="59" t="s">
        <v>8131</v>
      </c>
      <c r="C689" s="58" t="n">
        <v>56</v>
      </c>
      <c r="D689" s="90" t="str">
        <f aca="false">SRC_Demand!$O56</f>
        <v>Active</v>
      </c>
      <c r="E689" s="90" t="n">
        <f aca="false">SRC_Demand!$K56</f>
        <v>1</v>
      </c>
      <c r="F689" s="90" t="str">
        <f aca="false">SRC_Demand!$S56</f>
        <v>—</v>
      </c>
    </row>
    <row r="690" customFormat="false" ht="15" hidden="false" customHeight="false" outlineLevel="0" collapsed="false">
      <c r="A690" s="90" t="str">
        <f aca="false">SRC_Demand!$A57&amp;""</f>
        <v>SRC_DEM_053</v>
      </c>
      <c r="B690" s="59" t="s">
        <v>8131</v>
      </c>
      <c r="C690" s="58" t="n">
        <v>57</v>
      </c>
      <c r="D690" s="90" t="str">
        <f aca="false">SRC_Demand!$O57</f>
        <v>Active</v>
      </c>
      <c r="E690" s="90" t="n">
        <f aca="false">SRC_Demand!$K57</f>
        <v>1</v>
      </c>
      <c r="F690" s="90" t="str">
        <f aca="false">SRC_Demand!$S57</f>
        <v>—</v>
      </c>
    </row>
    <row r="691" customFormat="false" ht="15" hidden="false" customHeight="false" outlineLevel="0" collapsed="false">
      <c r="A691" s="90" t="str">
        <f aca="false">SRC_Demand!$A58&amp;""</f>
        <v>SRC_DEM_054</v>
      </c>
      <c r="B691" s="59" t="s">
        <v>8131</v>
      </c>
      <c r="C691" s="58" t="n">
        <v>58</v>
      </c>
      <c r="D691" s="90" t="str">
        <f aca="false">SRC_Demand!$O58</f>
        <v>Active</v>
      </c>
      <c r="E691" s="90" t="n">
        <f aca="false">SRC_Demand!$K58</f>
        <v>2</v>
      </c>
      <c r="F691" s="90" t="str">
        <f aca="false">SRC_Demand!$S58</f>
        <v>—</v>
      </c>
    </row>
    <row r="692" customFormat="false" ht="15" hidden="false" customHeight="false" outlineLevel="0" collapsed="false">
      <c r="A692" s="90" t="str">
        <f aca="false">SRC_Demand!$A59&amp;""</f>
        <v>SRC_DEM_055</v>
      </c>
      <c r="B692" s="59" t="s">
        <v>8131</v>
      </c>
      <c r="C692" s="58" t="n">
        <v>59</v>
      </c>
      <c r="D692" s="90" t="str">
        <f aca="false">SRC_Demand!$O59</f>
        <v>Active</v>
      </c>
      <c r="E692" s="90" t="n">
        <f aca="false">SRC_Demand!$K59</f>
        <v>1</v>
      </c>
      <c r="F692" s="90" t="str">
        <f aca="false">SRC_Demand!$S59</f>
        <v>—</v>
      </c>
    </row>
    <row r="693" customFormat="false" ht="15" hidden="false" customHeight="false" outlineLevel="0" collapsed="false">
      <c r="A693" s="90" t="str">
        <f aca="false">SRC_Demand!$A60&amp;""</f>
        <v>SRC_DEM_056</v>
      </c>
      <c r="B693" s="59" t="s">
        <v>8131</v>
      </c>
      <c r="C693" s="58" t="n">
        <v>60</v>
      </c>
      <c r="D693" s="90" t="str">
        <f aca="false">SRC_Demand!$O60</f>
        <v>Active</v>
      </c>
      <c r="E693" s="90" t="n">
        <f aca="false">SRC_Demand!$K60</f>
        <v>2</v>
      </c>
      <c r="F693" s="90" t="str">
        <f aca="false">SRC_Demand!$S60</f>
        <v>—</v>
      </c>
    </row>
    <row r="694" customFormat="false" ht="15" hidden="false" customHeight="false" outlineLevel="0" collapsed="false">
      <c r="A694" s="90" t="str">
        <f aca="false">SRC_Demand!$A61&amp;""</f>
        <v>SRC_DEM_057</v>
      </c>
      <c r="B694" s="59" t="s">
        <v>8131</v>
      </c>
      <c r="C694" s="58" t="n">
        <v>61</v>
      </c>
      <c r="D694" s="90" t="str">
        <f aca="false">SRC_Demand!$O61</f>
        <v>Active</v>
      </c>
      <c r="E694" s="90" t="n">
        <f aca="false">SRC_Demand!$K61</f>
        <v>2</v>
      </c>
      <c r="F694" s="90" t="str">
        <f aca="false">SRC_Demand!$S61</f>
        <v>—</v>
      </c>
    </row>
    <row r="695" customFormat="false" ht="15" hidden="false" customHeight="false" outlineLevel="0" collapsed="false">
      <c r="A695" s="90" t="str">
        <f aca="false">SRC_Demand!$A62&amp;""</f>
        <v>SRC_DEM_058</v>
      </c>
      <c r="B695" s="59" t="s">
        <v>8131</v>
      </c>
      <c r="C695" s="58" t="n">
        <v>62</v>
      </c>
      <c r="D695" s="90" t="str">
        <f aca="false">SRC_Demand!$O62</f>
        <v>Active</v>
      </c>
      <c r="E695" s="90" t="n">
        <f aca="false">SRC_Demand!$K62</f>
        <v>2</v>
      </c>
      <c r="F695" s="90" t="str">
        <f aca="false">SRC_Demand!$S62</f>
        <v>—</v>
      </c>
    </row>
    <row r="696" customFormat="false" ht="15" hidden="false" customHeight="false" outlineLevel="0" collapsed="false">
      <c r="A696" s="90" t="str">
        <f aca="false">SRC_Demand!$A63&amp;""</f>
        <v>SRC_DEM_059</v>
      </c>
      <c r="B696" s="59" t="s">
        <v>8131</v>
      </c>
      <c r="C696" s="58" t="n">
        <v>63</v>
      </c>
      <c r="D696" s="90" t="str">
        <f aca="false">SRC_Demand!$O63</f>
        <v>Active</v>
      </c>
      <c r="E696" s="90" t="n">
        <f aca="false">SRC_Demand!$K63</f>
        <v>1</v>
      </c>
      <c r="F696" s="90" t="str">
        <f aca="false">SRC_Demand!$S63</f>
        <v>—</v>
      </c>
    </row>
    <row r="697" customFormat="false" ht="15" hidden="false" customHeight="false" outlineLevel="0" collapsed="false">
      <c r="A697" s="90" t="str">
        <f aca="false">SRC_Demand!$A64&amp;""</f>
        <v>SRC_DEM_060</v>
      </c>
      <c r="B697" s="59" t="s">
        <v>8131</v>
      </c>
      <c r="C697" s="58" t="n">
        <v>64</v>
      </c>
      <c r="D697" s="90" t="str">
        <f aca="false">SRC_Demand!$O64</f>
        <v>Active</v>
      </c>
      <c r="E697" s="90" t="n">
        <f aca="false">SRC_Demand!$K64</f>
        <v>2</v>
      </c>
      <c r="F697" s="90" t="str">
        <f aca="false">SRC_Demand!$S64</f>
        <v>—</v>
      </c>
    </row>
    <row r="698" customFormat="false" ht="15" hidden="false" customHeight="false" outlineLevel="0" collapsed="false">
      <c r="A698" s="90" t="str">
        <f aca="false">SRC_Demand!$A65&amp;""</f>
        <v>SRC_DEM_061</v>
      </c>
      <c r="B698" s="59" t="s">
        <v>8131</v>
      </c>
      <c r="C698" s="58" t="n">
        <v>65</v>
      </c>
      <c r="D698" s="90" t="str">
        <f aca="false">SRC_Demand!$O65</f>
        <v>Active</v>
      </c>
      <c r="E698" s="90" t="n">
        <f aca="false">SRC_Demand!$K65</f>
        <v>1</v>
      </c>
      <c r="F698" s="90" t="str">
        <f aca="false">SRC_Demand!$S65</f>
        <v>—</v>
      </c>
    </row>
    <row r="699" customFormat="false" ht="15" hidden="false" customHeight="false" outlineLevel="0" collapsed="false">
      <c r="A699" s="90" t="str">
        <f aca="false">SRC_Demand!$A66&amp;""</f>
        <v>SRC_DEM_062</v>
      </c>
      <c r="B699" s="59" t="s">
        <v>8131</v>
      </c>
      <c r="C699" s="58" t="n">
        <v>66</v>
      </c>
      <c r="D699" s="90" t="str">
        <f aca="false">SRC_Demand!$O66</f>
        <v>Active</v>
      </c>
      <c r="E699" s="90" t="n">
        <f aca="false">SRC_Demand!$K66</f>
        <v>2</v>
      </c>
      <c r="F699" s="90" t="str">
        <f aca="false">SRC_Demand!$S66</f>
        <v>—</v>
      </c>
    </row>
    <row r="700" customFormat="false" ht="15" hidden="false" customHeight="false" outlineLevel="0" collapsed="false">
      <c r="A700" s="90" t="str">
        <f aca="false">SRC_Demand!$A67&amp;""</f>
        <v>SRC_DEM_063</v>
      </c>
      <c r="B700" s="59" t="s">
        <v>8131</v>
      </c>
      <c r="C700" s="58" t="n">
        <v>67</v>
      </c>
      <c r="D700" s="90" t="str">
        <f aca="false">SRC_Demand!$O67</f>
        <v>Active</v>
      </c>
      <c r="E700" s="90" t="n">
        <f aca="false">SRC_Demand!$K67</f>
        <v>2</v>
      </c>
      <c r="F700" s="90" t="str">
        <f aca="false">SRC_Demand!$S67</f>
        <v>—</v>
      </c>
    </row>
    <row r="701" customFormat="false" ht="15" hidden="false" customHeight="false" outlineLevel="0" collapsed="false">
      <c r="A701" s="90" t="str">
        <f aca="false">SRC_Demand!$A68&amp;""</f>
        <v>SRC_DEM_064</v>
      </c>
      <c r="B701" s="59" t="s">
        <v>8131</v>
      </c>
      <c r="C701" s="58" t="n">
        <v>68</v>
      </c>
      <c r="D701" s="90" t="str">
        <f aca="false">SRC_Demand!$O68</f>
        <v>Active</v>
      </c>
      <c r="E701" s="90" t="n">
        <f aca="false">SRC_Demand!$K68</f>
        <v>2</v>
      </c>
      <c r="F701" s="90" t="str">
        <f aca="false">SRC_Demand!$S68</f>
        <v>—</v>
      </c>
    </row>
    <row r="702" customFormat="false" ht="15" hidden="false" customHeight="false" outlineLevel="0" collapsed="false">
      <c r="A702" s="90" t="str">
        <f aca="false">SRC_Demand!$A69&amp;""</f>
        <v>SRC_DEM_065</v>
      </c>
      <c r="B702" s="59" t="s">
        <v>8131</v>
      </c>
      <c r="C702" s="58" t="n">
        <v>69</v>
      </c>
      <c r="D702" s="90" t="str">
        <f aca="false">SRC_Demand!$O69</f>
        <v>Active</v>
      </c>
      <c r="E702" s="90" t="n">
        <f aca="false">SRC_Demand!$K69</f>
        <v>2</v>
      </c>
      <c r="F702" s="90" t="str">
        <f aca="false">SRC_Demand!$S69</f>
        <v>—</v>
      </c>
    </row>
    <row r="703" customFormat="false" ht="15" hidden="false" customHeight="false" outlineLevel="0" collapsed="false">
      <c r="A703" s="90" t="str">
        <f aca="false">SRC_Demand!$A70&amp;""</f>
        <v>SRC_DEM_066</v>
      </c>
      <c r="B703" s="59" t="s">
        <v>8131</v>
      </c>
      <c r="C703" s="58" t="n">
        <v>70</v>
      </c>
      <c r="D703" s="90" t="str">
        <f aca="false">SRC_Demand!$O70</f>
        <v>Active</v>
      </c>
      <c r="E703" s="90" t="n">
        <f aca="false">SRC_Demand!$K70</f>
        <v>1</v>
      </c>
      <c r="F703" s="90" t="str">
        <f aca="false">SRC_Demand!$S70</f>
        <v>—</v>
      </c>
    </row>
    <row r="704" customFormat="false" ht="15" hidden="false" customHeight="false" outlineLevel="0" collapsed="false">
      <c r="A704" s="90" t="str">
        <f aca="false">SRC_Demand!$A71&amp;""</f>
        <v>SRC_DEM_067</v>
      </c>
      <c r="B704" s="59" t="s">
        <v>8131</v>
      </c>
      <c r="C704" s="58" t="n">
        <v>71</v>
      </c>
      <c r="D704" s="90" t="str">
        <f aca="false">SRC_Demand!$O71</f>
        <v>Active</v>
      </c>
      <c r="E704" s="90" t="n">
        <f aca="false">SRC_Demand!$K71</f>
        <v>2</v>
      </c>
      <c r="F704" s="90" t="str">
        <f aca="false">SRC_Demand!$S71</f>
        <v>—</v>
      </c>
    </row>
    <row r="705" customFormat="false" ht="15" hidden="false" customHeight="false" outlineLevel="0" collapsed="false">
      <c r="A705" s="90" t="str">
        <f aca="false">SRC_Demand!$A72&amp;""</f>
        <v>SRC_DEM_068</v>
      </c>
      <c r="B705" s="59" t="s">
        <v>8131</v>
      </c>
      <c r="C705" s="58" t="n">
        <v>72</v>
      </c>
      <c r="D705" s="90" t="str">
        <f aca="false">SRC_Demand!$O72</f>
        <v>Active</v>
      </c>
      <c r="E705" s="90" t="n">
        <f aca="false">SRC_Demand!$K72</f>
        <v>1</v>
      </c>
      <c r="F705" s="90" t="str">
        <f aca="false">SRC_Demand!$S72</f>
        <v>—</v>
      </c>
    </row>
    <row r="706" customFormat="false" ht="15" hidden="false" customHeight="false" outlineLevel="0" collapsed="false">
      <c r="A706" s="90" t="str">
        <f aca="false">SRC_Demand!$A73&amp;""</f>
        <v>SRC_DEM_069</v>
      </c>
      <c r="B706" s="59" t="s">
        <v>8131</v>
      </c>
      <c r="C706" s="58" t="n">
        <v>73</v>
      </c>
      <c r="D706" s="90" t="str">
        <f aca="false">SRC_Demand!$O73</f>
        <v>Active</v>
      </c>
      <c r="E706" s="90" t="n">
        <f aca="false">SRC_Demand!$K73</f>
        <v>2</v>
      </c>
      <c r="F706" s="90" t="str">
        <f aca="false">SRC_Demand!$S73</f>
        <v>—</v>
      </c>
    </row>
    <row r="707" customFormat="false" ht="15" hidden="false" customHeight="false" outlineLevel="0" collapsed="false">
      <c r="A707" s="90" t="str">
        <f aca="false">SRC_Demand!$A74&amp;""</f>
        <v>SRC_DEM_070</v>
      </c>
      <c r="B707" s="59" t="s">
        <v>8131</v>
      </c>
      <c r="C707" s="58" t="n">
        <v>74</v>
      </c>
      <c r="D707" s="90" t="str">
        <f aca="false">SRC_Demand!$O74</f>
        <v>Alt</v>
      </c>
      <c r="E707" s="90" t="n">
        <f aca="false">SRC_Demand!$K74</f>
        <v>3</v>
      </c>
      <c r="F707" s="90" t="str">
        <f aca="false">SRC_Demand!$S74</f>
        <v>—</v>
      </c>
    </row>
    <row r="708" customFormat="false" ht="15" hidden="false" customHeight="false" outlineLevel="0" collapsed="false">
      <c r="A708" s="90" t="str">
        <f aca="false">SRC_Demand!$A75&amp;""</f>
        <v>SRC_DEM_071</v>
      </c>
      <c r="B708" s="59" t="s">
        <v>8131</v>
      </c>
      <c r="C708" s="58" t="n">
        <v>75</v>
      </c>
      <c r="D708" s="90" t="str">
        <f aca="false">SRC_Demand!$O75</f>
        <v>Active</v>
      </c>
      <c r="E708" s="90" t="n">
        <f aca="false">SRC_Demand!$K75</f>
        <v>3</v>
      </c>
      <c r="F708" s="90" t="str">
        <f aca="false">SRC_Demand!$S75</f>
        <v>—</v>
      </c>
    </row>
    <row r="709" customFormat="false" ht="15" hidden="false" customHeight="false" outlineLevel="0" collapsed="false">
      <c r="A709" s="90" t="str">
        <f aca="false">SRC_Demand!$A76&amp;""</f>
        <v>SRC_DEM_072</v>
      </c>
      <c r="B709" s="59" t="s">
        <v>8131</v>
      </c>
      <c r="C709" s="58" t="n">
        <v>76</v>
      </c>
      <c r="D709" s="90" t="str">
        <f aca="false">SRC_Demand!$O76</f>
        <v>Active</v>
      </c>
      <c r="E709" s="90" t="n">
        <f aca="false">SRC_Demand!$K76</f>
        <v>2</v>
      </c>
      <c r="F709" s="90" t="str">
        <f aca="false">SRC_Demand!$S76</f>
        <v>—</v>
      </c>
    </row>
    <row r="710" customFormat="false" ht="15" hidden="false" customHeight="false" outlineLevel="0" collapsed="false">
      <c r="A710" s="90" t="str">
        <f aca="false">SRC_Demand!$A77&amp;""</f>
        <v/>
      </c>
      <c r="B710" s="59" t="s">
        <v>8131</v>
      </c>
      <c r="C710" s="58" t="n">
        <v>77</v>
      </c>
      <c r="D710" s="90" t="n">
        <f aca="false">SRC_Demand!$O77</f>
        <v>0</v>
      </c>
      <c r="E710" s="90" t="n">
        <f aca="false">SRC_Demand!$K77</f>
        <v>0</v>
      </c>
      <c r="F710" s="90" t="n">
        <f aca="false">SRC_Demand!$S77</f>
        <v>0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8131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8131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8131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8131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8131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8131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8131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8131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8131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8131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8131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8131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8131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8131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8131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8131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8131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8131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8131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8131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8131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8131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8131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8131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8131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SRC_Demand!$A103&amp;""</f>
        <v/>
      </c>
      <c r="B736" s="59" t="s">
        <v>8131</v>
      </c>
      <c r="C736" s="58" t="n">
        <v>103</v>
      </c>
      <c r="D736" s="90" t="n">
        <f aca="false">SRC_Demand!$O103</f>
        <v>0</v>
      </c>
      <c r="E736" s="90" t="n">
        <f aca="false">SRC_Demand!$K103</f>
        <v>0</v>
      </c>
      <c r="F736" s="90" t="n">
        <f aca="false">SRC_Demand!$S103</f>
        <v>0</v>
      </c>
    </row>
    <row r="737" customFormat="false" ht="15" hidden="false" customHeight="false" outlineLevel="0" collapsed="false">
      <c r="A737" s="90" t="str">
        <f aca="false">SRC_Demand!$A104&amp;""</f>
        <v/>
      </c>
      <c r="B737" s="59" t="s">
        <v>8131</v>
      </c>
      <c r="C737" s="58" t="n">
        <v>104</v>
      </c>
      <c r="D737" s="90" t="n">
        <f aca="false">SRC_Demand!$O104</f>
        <v>0</v>
      </c>
      <c r="E737" s="90" t="n">
        <f aca="false">SRC_Demand!$K104</f>
        <v>0</v>
      </c>
      <c r="F737" s="90" t="n">
        <f aca="false">SRC_Demand!$S104</f>
        <v>0</v>
      </c>
    </row>
    <row r="738" customFormat="false" ht="15" hidden="false" customHeight="false" outlineLevel="0" collapsed="false">
      <c r="A738" s="90" t="str">
        <f aca="false">SRC_Demand!$A105&amp;""</f>
        <v/>
      </c>
      <c r="B738" s="59" t="s">
        <v>8131</v>
      </c>
      <c r="C738" s="58" t="n">
        <v>105</v>
      </c>
      <c r="D738" s="90" t="n">
        <f aca="false">SRC_Demand!$O105</f>
        <v>0</v>
      </c>
      <c r="E738" s="90" t="n">
        <f aca="false">SRC_Demand!$K105</f>
        <v>0</v>
      </c>
      <c r="F738" s="90" t="n">
        <f aca="false">SRC_Demand!$S105</f>
        <v>0</v>
      </c>
    </row>
    <row r="739" customFormat="false" ht="15" hidden="false" customHeight="false" outlineLevel="0" collapsed="false">
      <c r="A739" s="90" t="str">
        <f aca="false">SRC_Demand!$A106&amp;""</f>
        <v/>
      </c>
      <c r="B739" s="59" t="s">
        <v>8131</v>
      </c>
      <c r="C739" s="58" t="n">
        <v>106</v>
      </c>
      <c r="D739" s="90" t="n">
        <f aca="false">SRC_Demand!$O106</f>
        <v>0</v>
      </c>
      <c r="E739" s="90" t="n">
        <f aca="false">SRC_Demand!$K106</f>
        <v>0</v>
      </c>
      <c r="F739" s="90" t="n">
        <f aca="false">SRC_Demand!$S106</f>
        <v>0</v>
      </c>
    </row>
    <row r="740" customFormat="false" ht="15" hidden="false" customHeight="false" outlineLevel="0" collapsed="false">
      <c r="A740" s="90" t="str">
        <f aca="false">SRC_Demand!$A107&amp;""</f>
        <v/>
      </c>
      <c r="B740" s="59" t="s">
        <v>8131</v>
      </c>
      <c r="C740" s="58" t="n">
        <v>107</v>
      </c>
      <c r="D740" s="90" t="n">
        <f aca="false">SRC_Demand!$O107</f>
        <v>0</v>
      </c>
      <c r="E740" s="90" t="n">
        <f aca="false">SRC_Demand!$K107</f>
        <v>0</v>
      </c>
      <c r="F740" s="90" t="n">
        <f aca="false">SRC_Demand!$S107</f>
        <v>0</v>
      </c>
    </row>
    <row r="741" customFormat="false" ht="15" hidden="false" customHeight="false" outlineLevel="0" collapsed="false">
      <c r="A741" s="90" t="str">
        <f aca="false">SRC_Demand!$A108&amp;""</f>
        <v/>
      </c>
      <c r="B741" s="59" t="s">
        <v>8131</v>
      </c>
      <c r="C741" s="58" t="n">
        <v>108</v>
      </c>
      <c r="D741" s="90" t="n">
        <f aca="false">SRC_Demand!$O108</f>
        <v>0</v>
      </c>
      <c r="E741" s="90" t="n">
        <f aca="false">SRC_Demand!$K108</f>
        <v>0</v>
      </c>
      <c r="F741" s="90" t="n">
        <f aca="false">SRC_Demand!$S108</f>
        <v>0</v>
      </c>
    </row>
    <row r="742" customFormat="false" ht="15" hidden="false" customHeight="false" outlineLevel="0" collapsed="false">
      <c r="A742" s="90" t="str">
        <f aca="false">SRC_Demand!$A109&amp;""</f>
        <v/>
      </c>
      <c r="B742" s="59" t="s">
        <v>8131</v>
      </c>
      <c r="C742" s="58" t="n">
        <v>109</v>
      </c>
      <c r="D742" s="90" t="n">
        <f aca="false">SRC_Demand!$O109</f>
        <v>0</v>
      </c>
      <c r="E742" s="90" t="n">
        <f aca="false">SRC_Demand!$K109</f>
        <v>0</v>
      </c>
      <c r="F742" s="90" t="n">
        <f aca="false">SRC_Demand!$S109</f>
        <v>0</v>
      </c>
    </row>
    <row r="743" customFormat="false" ht="15" hidden="false" customHeight="false" outlineLevel="0" collapsed="false">
      <c r="A743" s="90" t="str">
        <f aca="false">SRC_Demand!$A110&amp;""</f>
        <v/>
      </c>
      <c r="B743" s="59" t="s">
        <v>8131</v>
      </c>
      <c r="C743" s="58" t="n">
        <v>110</v>
      </c>
      <c r="D743" s="90" t="n">
        <f aca="false">SRC_Demand!$O110</f>
        <v>0</v>
      </c>
      <c r="E743" s="90" t="n">
        <f aca="false">SRC_Demand!$K110</f>
        <v>0</v>
      </c>
      <c r="F743" s="90" t="n">
        <f aca="false">SRC_Demand!$S110</f>
        <v>0</v>
      </c>
    </row>
    <row r="744" customFormat="false" ht="15" hidden="false" customHeight="false" outlineLevel="0" collapsed="false">
      <c r="A744" s="90" t="str">
        <f aca="false">SRC_Demand!$A111&amp;""</f>
        <v/>
      </c>
      <c r="B744" s="59" t="s">
        <v>8131</v>
      </c>
      <c r="C744" s="58" t="n">
        <v>111</v>
      </c>
      <c r="D744" s="90" t="n">
        <f aca="false">SRC_Demand!$O111</f>
        <v>0</v>
      </c>
      <c r="E744" s="90" t="n">
        <f aca="false">SRC_Demand!$K111</f>
        <v>0</v>
      </c>
      <c r="F744" s="90" t="n">
        <f aca="false">SRC_Demand!$S111</f>
        <v>0</v>
      </c>
    </row>
    <row r="745" customFormat="false" ht="15" hidden="false" customHeight="false" outlineLevel="0" collapsed="false">
      <c r="A745" s="90" t="str">
        <f aca="false">SRC_Demand!$A112&amp;""</f>
        <v/>
      </c>
      <c r="B745" s="59" t="s">
        <v>8131</v>
      </c>
      <c r="C745" s="58" t="n">
        <v>112</v>
      </c>
      <c r="D745" s="90" t="n">
        <f aca="false">SRC_Demand!$O112</f>
        <v>0</v>
      </c>
      <c r="E745" s="90" t="n">
        <f aca="false">SRC_Demand!$K112</f>
        <v>0</v>
      </c>
      <c r="F745" s="90" t="n">
        <f aca="false">SRC_Demand!$S112</f>
        <v>0</v>
      </c>
    </row>
    <row r="746" customFormat="false" ht="15" hidden="false" customHeight="false" outlineLevel="0" collapsed="false">
      <c r="A746" s="90" t="str">
        <f aca="false">SRC_Demand!$A113&amp;""</f>
        <v/>
      </c>
      <c r="B746" s="59" t="s">
        <v>8131</v>
      </c>
      <c r="C746" s="58" t="n">
        <v>113</v>
      </c>
      <c r="D746" s="90" t="n">
        <f aca="false">SRC_Demand!$O113</f>
        <v>0</v>
      </c>
      <c r="E746" s="90" t="n">
        <f aca="false">SRC_Demand!$K113</f>
        <v>0</v>
      </c>
      <c r="F746" s="90" t="n">
        <f aca="false">SRC_Demand!$S113</f>
        <v>0</v>
      </c>
    </row>
    <row r="747" customFormat="false" ht="15" hidden="false" customHeight="false" outlineLevel="0" collapsed="false">
      <c r="A747" s="90" t="str">
        <f aca="false">SRC_Demand!$A114&amp;""</f>
        <v/>
      </c>
      <c r="B747" s="59" t="s">
        <v>8131</v>
      </c>
      <c r="C747" s="58" t="n">
        <v>114</v>
      </c>
      <c r="D747" s="90" t="n">
        <f aca="false">SRC_Demand!$O114</f>
        <v>0</v>
      </c>
      <c r="E747" s="90" t="n">
        <f aca="false">SRC_Demand!$K114</f>
        <v>0</v>
      </c>
      <c r="F747" s="90" t="n">
        <f aca="false">SRC_Demand!$S114</f>
        <v>0</v>
      </c>
    </row>
    <row r="748" customFormat="false" ht="15" hidden="false" customHeight="false" outlineLevel="0" collapsed="false">
      <c r="A748" s="90" t="str">
        <f aca="false">SRC_Demand!$A115&amp;""</f>
        <v/>
      </c>
      <c r="B748" s="59" t="s">
        <v>8131</v>
      </c>
      <c r="C748" s="58" t="n">
        <v>115</v>
      </c>
      <c r="D748" s="90" t="n">
        <f aca="false">SRC_Demand!$O115</f>
        <v>0</v>
      </c>
      <c r="E748" s="90" t="n">
        <f aca="false">SRC_Demand!$K115</f>
        <v>0</v>
      </c>
      <c r="F748" s="90" t="n">
        <f aca="false">SRC_Demand!$S115</f>
        <v>0</v>
      </c>
    </row>
    <row r="749" customFormat="false" ht="15" hidden="false" customHeight="false" outlineLevel="0" collapsed="false">
      <c r="A749" s="90" t="str">
        <f aca="false">SRC_Demand!$A116&amp;""</f>
        <v/>
      </c>
      <c r="B749" s="59" t="s">
        <v>8131</v>
      </c>
      <c r="C749" s="58" t="n">
        <v>116</v>
      </c>
      <c r="D749" s="90" t="n">
        <f aca="false">SRC_Demand!$O116</f>
        <v>0</v>
      </c>
      <c r="E749" s="90" t="n">
        <f aca="false">SRC_Demand!$K116</f>
        <v>0</v>
      </c>
      <c r="F749" s="90" t="n">
        <f aca="false">SRC_Demand!$S116</f>
        <v>0</v>
      </c>
    </row>
    <row r="750" customFormat="false" ht="15" hidden="false" customHeight="false" outlineLevel="0" collapsed="false">
      <c r="A750" s="90" t="str">
        <f aca="false">SRC_Demand!$A117&amp;""</f>
        <v/>
      </c>
      <c r="B750" s="59" t="s">
        <v>8131</v>
      </c>
      <c r="C750" s="58" t="n">
        <v>117</v>
      </c>
      <c r="D750" s="90" t="n">
        <f aca="false">SRC_Demand!$O117</f>
        <v>0</v>
      </c>
      <c r="E750" s="90" t="n">
        <f aca="false">SRC_Demand!$K117</f>
        <v>0</v>
      </c>
      <c r="F750" s="90" t="n">
        <f aca="false">SRC_Demand!$S117</f>
        <v>0</v>
      </c>
    </row>
    <row r="751" customFormat="false" ht="15" hidden="false" customHeight="false" outlineLevel="0" collapsed="false">
      <c r="A751" s="90" t="str">
        <f aca="false">SRC_Demand!$A118&amp;""</f>
        <v/>
      </c>
      <c r="B751" s="59" t="s">
        <v>8131</v>
      </c>
      <c r="C751" s="58" t="n">
        <v>118</v>
      </c>
      <c r="D751" s="90" t="n">
        <f aca="false">SRC_Demand!$O118</f>
        <v>0</v>
      </c>
      <c r="E751" s="90" t="n">
        <f aca="false">SRC_Demand!$K118</f>
        <v>0</v>
      </c>
      <c r="F751" s="90" t="n">
        <f aca="false">SRC_Demand!$S118</f>
        <v>0</v>
      </c>
    </row>
    <row r="752" customFormat="false" ht="15" hidden="false" customHeight="false" outlineLevel="0" collapsed="false">
      <c r="A752" s="90" t="str">
        <f aca="false">SRC_Demand!$A119&amp;""</f>
        <v/>
      </c>
      <c r="B752" s="59" t="s">
        <v>8131</v>
      </c>
      <c r="C752" s="58" t="n">
        <v>119</v>
      </c>
      <c r="D752" s="90" t="n">
        <f aca="false">SRC_Demand!$O119</f>
        <v>0</v>
      </c>
      <c r="E752" s="90" t="n">
        <f aca="false">SRC_Demand!$K119</f>
        <v>0</v>
      </c>
      <c r="F752" s="90" t="n">
        <f aca="false">SRC_Demand!$S119</f>
        <v>0</v>
      </c>
    </row>
    <row r="753" customFormat="false" ht="15" hidden="false" customHeight="false" outlineLevel="0" collapsed="false">
      <c r="A753" s="90" t="str">
        <f aca="false">SRC_Demand!$A120&amp;""</f>
        <v/>
      </c>
      <c r="B753" s="59" t="s">
        <v>8131</v>
      </c>
      <c r="C753" s="58" t="n">
        <v>120</v>
      </c>
      <c r="D753" s="90" t="n">
        <f aca="false">SRC_Demand!$O120</f>
        <v>0</v>
      </c>
      <c r="E753" s="90" t="n">
        <f aca="false">SRC_Demand!$K120</f>
        <v>0</v>
      </c>
      <c r="F753" s="90" t="n">
        <f aca="false">SRC_Demand!$S120</f>
        <v>0</v>
      </c>
    </row>
    <row r="754" customFormat="false" ht="15" hidden="false" customHeight="false" outlineLevel="0" collapsed="false">
      <c r="A754" s="90" t="str">
        <f aca="false">SRC_Demand!$A121&amp;""</f>
        <v/>
      </c>
      <c r="B754" s="59" t="s">
        <v>8131</v>
      </c>
      <c r="C754" s="58" t="n">
        <v>121</v>
      </c>
      <c r="D754" s="90" t="n">
        <f aca="false">SRC_Demand!$O121</f>
        <v>0</v>
      </c>
      <c r="E754" s="90" t="n">
        <f aca="false">SRC_Demand!$K121</f>
        <v>0</v>
      </c>
      <c r="F754" s="90" t="n">
        <f aca="false">SRC_Demand!$S121</f>
        <v>0</v>
      </c>
    </row>
    <row r="755" customFormat="false" ht="15" hidden="false" customHeight="false" outlineLevel="0" collapsed="false">
      <c r="A755" s="90" t="str">
        <f aca="false">SRC_Demand!$A122&amp;""</f>
        <v/>
      </c>
      <c r="B755" s="59" t="s">
        <v>8131</v>
      </c>
      <c r="C755" s="58" t="n">
        <v>122</v>
      </c>
      <c r="D755" s="90" t="n">
        <f aca="false">SRC_Demand!$O122</f>
        <v>0</v>
      </c>
      <c r="E755" s="90" t="n">
        <f aca="false">SRC_Demand!$K122</f>
        <v>0</v>
      </c>
      <c r="F755" s="90" t="n">
        <f aca="false">SRC_Demand!$S122</f>
        <v>0</v>
      </c>
    </row>
    <row r="756" customFormat="false" ht="15" hidden="false" customHeight="false" outlineLevel="0" collapsed="false">
      <c r="A756" s="90" t="str">
        <f aca="false">SRC_Demand!$A123&amp;""</f>
        <v/>
      </c>
      <c r="B756" s="59" t="s">
        <v>8131</v>
      </c>
      <c r="C756" s="58" t="n">
        <v>123</v>
      </c>
      <c r="D756" s="90" t="n">
        <f aca="false">SRC_Demand!$O123</f>
        <v>0</v>
      </c>
      <c r="E756" s="90" t="n">
        <f aca="false">SRC_Demand!$K123</f>
        <v>0</v>
      </c>
      <c r="F756" s="90" t="n">
        <f aca="false">SRC_Demand!$S123</f>
        <v>0</v>
      </c>
    </row>
    <row r="757" customFormat="false" ht="15" hidden="false" customHeight="false" outlineLevel="0" collapsed="false">
      <c r="A757" s="90" t="str">
        <f aca="false">SRC_Demand!$A124&amp;""</f>
        <v/>
      </c>
      <c r="B757" s="59" t="s">
        <v>8131</v>
      </c>
      <c r="C757" s="58" t="n">
        <v>124</v>
      </c>
      <c r="D757" s="90" t="n">
        <f aca="false">SRC_Demand!$O124</f>
        <v>0</v>
      </c>
      <c r="E757" s="90" t="n">
        <f aca="false">SRC_Demand!$K124</f>
        <v>0</v>
      </c>
      <c r="F757" s="90" t="n">
        <f aca="false">SRC_Demand!$S124</f>
        <v>0</v>
      </c>
    </row>
    <row r="758" customFormat="false" ht="15" hidden="false" customHeight="false" outlineLevel="0" collapsed="false">
      <c r="A758" s="90" t="str">
        <f aca="false">SRC_Demand!$A125&amp;""</f>
        <v/>
      </c>
      <c r="B758" s="59" t="s">
        <v>8131</v>
      </c>
      <c r="C758" s="58" t="n">
        <v>125</v>
      </c>
      <c r="D758" s="90" t="n">
        <f aca="false">SRC_Demand!$O125</f>
        <v>0</v>
      </c>
      <c r="E758" s="90" t="n">
        <f aca="false">SRC_Demand!$K125</f>
        <v>0</v>
      </c>
      <c r="F758" s="90" t="n">
        <f aca="false">SRC_Demand!$S125</f>
        <v>0</v>
      </c>
    </row>
    <row r="759" customFormat="false" ht="15" hidden="false" customHeight="false" outlineLevel="0" collapsed="false">
      <c r="A759" s="90" t="str">
        <f aca="false">SRC_Demand!$A126&amp;""</f>
        <v/>
      </c>
      <c r="B759" s="59" t="s">
        <v>8131</v>
      </c>
      <c r="C759" s="58" t="n">
        <v>126</v>
      </c>
      <c r="D759" s="90" t="n">
        <f aca="false">SRC_Demand!$O126</f>
        <v>0</v>
      </c>
      <c r="E759" s="90" t="n">
        <f aca="false">SRC_Demand!$K126</f>
        <v>0</v>
      </c>
      <c r="F759" s="90" t="n">
        <f aca="false">SRC_Demand!$S126</f>
        <v>0</v>
      </c>
    </row>
    <row r="760" customFormat="false" ht="15" hidden="false" customHeight="false" outlineLevel="0" collapsed="false">
      <c r="A760" s="90" t="str">
        <f aca="false">Gov_Map!$H5&amp;""</f>
        <v>—</v>
      </c>
      <c r="B760" s="71" t="s">
        <v>8132</v>
      </c>
      <c r="C760" s="58" t="n">
        <v>5</v>
      </c>
      <c r="D760" s="58" t="s">
        <v>8133</v>
      </c>
      <c r="E760" s="58" t="s">
        <v>8133</v>
      </c>
      <c r="F760" s="59" t="s">
        <v>604</v>
      </c>
    </row>
    <row r="761" customFormat="false" ht="15" hidden="false" customHeight="false" outlineLevel="0" collapsed="false">
      <c r="A761" s="90" t="str">
        <f aca="false">Gov_Map!$H6&amp;""</f>
        <v>—</v>
      </c>
      <c r="B761" s="71" t="s">
        <v>8132</v>
      </c>
      <c r="C761" s="58" t="n">
        <v>6</v>
      </c>
      <c r="D761" s="58" t="s">
        <v>8133</v>
      </c>
      <c r="E761" s="58" t="s">
        <v>8133</v>
      </c>
      <c r="F761" s="59" t="s">
        <v>604</v>
      </c>
    </row>
    <row r="762" customFormat="false" ht="15" hidden="false" customHeight="false" outlineLevel="0" collapsed="false">
      <c r="A762" s="90" t="str">
        <f aca="false">Gov_Map!$H7&amp;""</f>
        <v>—</v>
      </c>
      <c r="B762" s="71" t="s">
        <v>8132</v>
      </c>
      <c r="C762" s="58" t="n">
        <v>7</v>
      </c>
      <c r="D762" s="58" t="s">
        <v>8133</v>
      </c>
      <c r="E762" s="58" t="s">
        <v>8133</v>
      </c>
      <c r="F762" s="59" t="s">
        <v>604</v>
      </c>
    </row>
    <row r="763" customFormat="false" ht="15" hidden="false" customHeight="false" outlineLevel="0" collapsed="false">
      <c r="A763" s="90" t="str">
        <f aca="false">Gov_Map!$H8&amp;""</f>
        <v>—</v>
      </c>
      <c r="B763" s="71" t="s">
        <v>8132</v>
      </c>
      <c r="C763" s="58" t="n">
        <v>8</v>
      </c>
      <c r="D763" s="58" t="s">
        <v>8133</v>
      </c>
      <c r="E763" s="58" t="s">
        <v>8133</v>
      </c>
      <c r="F763" s="59" t="s">
        <v>604</v>
      </c>
    </row>
    <row r="764" customFormat="false" ht="15" hidden="false" customHeight="false" outlineLevel="0" collapsed="false">
      <c r="A764" s="90" t="str">
        <f aca="false">Gov_Map!$H9&amp;""</f>
        <v>—</v>
      </c>
      <c r="B764" s="71" t="s">
        <v>8132</v>
      </c>
      <c r="C764" s="58" t="n">
        <v>9</v>
      </c>
      <c r="D764" s="58" t="s">
        <v>8133</v>
      </c>
      <c r="E764" s="58" t="s">
        <v>8133</v>
      </c>
      <c r="F764" s="59" t="s">
        <v>604</v>
      </c>
    </row>
    <row r="765" customFormat="false" ht="15" hidden="false" customHeight="false" outlineLevel="0" collapsed="false">
      <c r="A765" s="90" t="str">
        <f aca="false">Gov_Map!$H10&amp;""</f>
        <v>—</v>
      </c>
      <c r="B765" s="71" t="s">
        <v>8132</v>
      </c>
      <c r="C765" s="58" t="n">
        <v>10</v>
      </c>
      <c r="D765" s="58" t="s">
        <v>8133</v>
      </c>
      <c r="E765" s="58" t="s">
        <v>8133</v>
      </c>
      <c r="F765" s="59" t="s">
        <v>604</v>
      </c>
    </row>
    <row r="766" customFormat="false" ht="15" hidden="false" customHeight="false" outlineLevel="0" collapsed="false">
      <c r="A766" s="90" t="str">
        <f aca="false">Gov_Map!$H11&amp;""</f>
        <v>—</v>
      </c>
      <c r="B766" s="71" t="s">
        <v>8132</v>
      </c>
      <c r="C766" s="58" t="n">
        <v>11</v>
      </c>
      <c r="D766" s="58" t="s">
        <v>8133</v>
      </c>
      <c r="E766" s="58" t="s">
        <v>8133</v>
      </c>
      <c r="F766" s="59" t="s">
        <v>604</v>
      </c>
    </row>
    <row r="767" customFormat="false" ht="15" hidden="false" customHeight="false" outlineLevel="0" collapsed="false">
      <c r="A767" s="90" t="str">
        <f aca="false">Gov_Map!$H12&amp;""</f>
        <v>—</v>
      </c>
      <c r="B767" s="71" t="s">
        <v>8132</v>
      </c>
      <c r="C767" s="58" t="n">
        <v>12</v>
      </c>
      <c r="D767" s="58" t="s">
        <v>8133</v>
      </c>
      <c r="E767" s="58" t="s">
        <v>8133</v>
      </c>
      <c r="F767" s="59" t="s">
        <v>604</v>
      </c>
    </row>
    <row r="768" customFormat="false" ht="15" hidden="false" customHeight="false" outlineLevel="0" collapsed="false">
      <c r="A768" s="90" t="str">
        <f aca="false">Gov_Map!$H13&amp;""</f>
        <v>—</v>
      </c>
      <c r="B768" s="71" t="s">
        <v>8132</v>
      </c>
      <c r="C768" s="58" t="n">
        <v>13</v>
      </c>
      <c r="D768" s="58" t="s">
        <v>8133</v>
      </c>
      <c r="E768" s="58" t="s">
        <v>8133</v>
      </c>
      <c r="F768" s="59" t="s">
        <v>604</v>
      </c>
    </row>
    <row r="769" customFormat="false" ht="15" hidden="false" customHeight="false" outlineLevel="0" collapsed="false">
      <c r="A769" s="90" t="str">
        <f aca="false">Gov_Map!$H14&amp;""</f>
        <v>SRC_DC_006</v>
      </c>
      <c r="B769" s="71" t="s">
        <v>8132</v>
      </c>
      <c r="C769" s="58" t="n">
        <v>14</v>
      </c>
      <c r="D769" s="58" t="s">
        <v>8133</v>
      </c>
      <c r="E769" s="58" t="s">
        <v>8133</v>
      </c>
      <c r="F769" s="59" t="s">
        <v>604</v>
      </c>
    </row>
    <row r="770" customFormat="false" ht="15" hidden="false" customHeight="false" outlineLevel="0" collapsed="false">
      <c r="A770" s="90" t="str">
        <f aca="false">Gov_Map!$H15&amp;""</f>
        <v>SRC_DC_006</v>
      </c>
      <c r="B770" s="71" t="s">
        <v>8132</v>
      </c>
      <c r="C770" s="58" t="n">
        <v>15</v>
      </c>
      <c r="D770" s="58" t="s">
        <v>8133</v>
      </c>
      <c r="E770" s="58" t="s">
        <v>8133</v>
      </c>
      <c r="F770" s="59" t="s">
        <v>604</v>
      </c>
    </row>
    <row r="771" customFormat="false" ht="15" hidden="false" customHeight="false" outlineLevel="0" collapsed="false">
      <c r="A771" s="90" t="str">
        <f aca="false">Gov_Map!$H16&amp;""</f>
        <v>SRC_DC_006</v>
      </c>
      <c r="B771" s="71" t="s">
        <v>8132</v>
      </c>
      <c r="C771" s="58" t="n">
        <v>16</v>
      </c>
      <c r="D771" s="58" t="s">
        <v>8133</v>
      </c>
      <c r="E771" s="58" t="s">
        <v>8133</v>
      </c>
      <c r="F771" s="59" t="s">
        <v>604</v>
      </c>
    </row>
    <row r="772" customFormat="false" ht="15" hidden="false" customHeight="false" outlineLevel="0" collapsed="false">
      <c r="A772" s="90" t="str">
        <f aca="false">Gov_Map!$H17&amp;""</f>
        <v>SRC_DC_001</v>
      </c>
      <c r="B772" s="71" t="s">
        <v>8132</v>
      </c>
      <c r="C772" s="58" t="n">
        <v>17</v>
      </c>
      <c r="D772" s="58" t="s">
        <v>8133</v>
      </c>
      <c r="E772" s="58" t="s">
        <v>8133</v>
      </c>
      <c r="F772" s="59" t="s">
        <v>604</v>
      </c>
    </row>
    <row r="773" customFormat="false" ht="15" hidden="false" customHeight="false" outlineLevel="0" collapsed="false">
      <c r="A773" s="90" t="str">
        <f aca="false">Gov_Map!$H18&amp;""</f>
        <v>SRC_DC_001</v>
      </c>
      <c r="B773" s="71" t="s">
        <v>8132</v>
      </c>
      <c r="C773" s="58" t="n">
        <v>18</v>
      </c>
      <c r="D773" s="58" t="s">
        <v>8133</v>
      </c>
      <c r="E773" s="58" t="s">
        <v>8133</v>
      </c>
      <c r="F773" s="59" t="s">
        <v>604</v>
      </c>
    </row>
    <row r="774" customFormat="false" ht="15" hidden="false" customHeight="false" outlineLevel="0" collapsed="false">
      <c r="A774" s="90" t="str">
        <f aca="false">Gov_Map!$H19&amp;""</f>
        <v>SRC_DC_002</v>
      </c>
      <c r="B774" s="71" t="s">
        <v>8132</v>
      </c>
      <c r="C774" s="58" t="n">
        <v>19</v>
      </c>
      <c r="D774" s="58" t="s">
        <v>8133</v>
      </c>
      <c r="E774" s="58" t="s">
        <v>8133</v>
      </c>
      <c r="F774" s="59" t="s">
        <v>604</v>
      </c>
    </row>
    <row r="775" customFormat="false" ht="15" hidden="false" customHeight="false" outlineLevel="0" collapsed="false">
      <c r="A775" s="90" t="str">
        <f aca="false">Gov_Map!$H20&amp;""</f>
        <v>—</v>
      </c>
      <c r="B775" s="71" t="s">
        <v>8132</v>
      </c>
      <c r="C775" s="58" t="n">
        <v>20</v>
      </c>
      <c r="D775" s="58" t="s">
        <v>8133</v>
      </c>
      <c r="E775" s="58" t="s">
        <v>8133</v>
      </c>
      <c r="F775" s="59" t="s">
        <v>604</v>
      </c>
    </row>
    <row r="776" customFormat="false" ht="15" hidden="false" customHeight="false" outlineLevel="0" collapsed="false">
      <c r="A776" s="90" t="str">
        <f aca="false">Gov_Map!$H21&amp;""</f>
        <v>—</v>
      </c>
      <c r="B776" s="71" t="s">
        <v>8132</v>
      </c>
      <c r="C776" s="58" t="n">
        <v>21</v>
      </c>
      <c r="D776" s="58" t="s">
        <v>8133</v>
      </c>
      <c r="E776" s="58" t="s">
        <v>8133</v>
      </c>
      <c r="F776" s="59" t="s">
        <v>604</v>
      </c>
    </row>
    <row r="777" customFormat="false" ht="15" hidden="false" customHeight="false" outlineLevel="0" collapsed="false">
      <c r="A777" s="90" t="str">
        <f aca="false">Gov_Map!$H22&amp;""</f>
        <v>—</v>
      </c>
      <c r="B777" s="71" t="s">
        <v>8132</v>
      </c>
      <c r="C777" s="58" t="n">
        <v>22</v>
      </c>
      <c r="D777" s="58" t="s">
        <v>8133</v>
      </c>
      <c r="E777" s="58" t="s">
        <v>8133</v>
      </c>
      <c r="F777" s="59" t="s">
        <v>604</v>
      </c>
    </row>
    <row r="778" customFormat="false" ht="15" hidden="false" customHeight="false" outlineLevel="0" collapsed="false">
      <c r="A778" s="90" t="str">
        <f aca="false">Gov_Map!$H23&amp;""</f>
        <v>—</v>
      </c>
      <c r="B778" s="71" t="s">
        <v>8132</v>
      </c>
      <c r="C778" s="58" t="n">
        <v>23</v>
      </c>
      <c r="D778" s="58" t="s">
        <v>8133</v>
      </c>
      <c r="E778" s="58" t="s">
        <v>8133</v>
      </c>
      <c r="F778" s="59" t="s">
        <v>604</v>
      </c>
    </row>
    <row r="779" customFormat="false" ht="15" hidden="false" customHeight="false" outlineLevel="0" collapsed="false">
      <c r="A779" s="90" t="str">
        <f aca="false">Gov_Map!$H24&amp;""</f>
        <v>—</v>
      </c>
      <c r="B779" s="71" t="s">
        <v>8132</v>
      </c>
      <c r="C779" s="58" t="n">
        <v>24</v>
      </c>
      <c r="D779" s="58" t="s">
        <v>8133</v>
      </c>
      <c r="E779" s="58" t="s">
        <v>8133</v>
      </c>
      <c r="F779" s="59" t="s">
        <v>604</v>
      </c>
    </row>
    <row r="780" customFormat="false" ht="15" hidden="false" customHeight="false" outlineLevel="0" collapsed="false">
      <c r="A780" s="90" t="str">
        <f aca="false">Gov_Map!$H25&amp;""</f>
        <v>—</v>
      </c>
      <c r="B780" s="71" t="s">
        <v>8132</v>
      </c>
      <c r="C780" s="58" t="n">
        <v>25</v>
      </c>
      <c r="D780" s="58" t="s">
        <v>8133</v>
      </c>
      <c r="E780" s="58" t="s">
        <v>8133</v>
      </c>
      <c r="F780" s="59" t="s">
        <v>604</v>
      </c>
    </row>
    <row r="781" customFormat="false" ht="15" hidden="false" customHeight="false" outlineLevel="0" collapsed="false">
      <c r="A781" s="90" t="str">
        <f aca="false">Gov_Map!$H26&amp;""</f>
        <v>—</v>
      </c>
      <c r="B781" s="71" t="s">
        <v>8132</v>
      </c>
      <c r="C781" s="58" t="n">
        <v>26</v>
      </c>
      <c r="D781" s="58" t="s">
        <v>8133</v>
      </c>
      <c r="E781" s="58" t="s">
        <v>8133</v>
      </c>
      <c r="F781" s="59" t="s">
        <v>604</v>
      </c>
    </row>
    <row r="782" customFormat="false" ht="15" hidden="false" customHeight="false" outlineLevel="0" collapsed="false">
      <c r="A782" s="90" t="str">
        <f aca="false">Gov_Map!$H27&amp;""</f>
        <v>—</v>
      </c>
      <c r="B782" s="71" t="s">
        <v>8132</v>
      </c>
      <c r="C782" s="58" t="n">
        <v>27</v>
      </c>
      <c r="D782" s="58" t="s">
        <v>8133</v>
      </c>
      <c r="E782" s="58" t="s">
        <v>8133</v>
      </c>
      <c r="F782" s="59" t="s">
        <v>604</v>
      </c>
    </row>
    <row r="783" customFormat="false" ht="15" hidden="false" customHeight="false" outlineLevel="0" collapsed="false">
      <c r="A783" s="90" t="str">
        <f aca="false">Gov_Map!$H28&amp;""</f>
        <v>—</v>
      </c>
      <c r="B783" s="71" t="s">
        <v>8132</v>
      </c>
      <c r="C783" s="58" t="n">
        <v>28</v>
      </c>
      <c r="D783" s="58" t="s">
        <v>8133</v>
      </c>
      <c r="E783" s="58" t="s">
        <v>8133</v>
      </c>
      <c r="F783" s="59" t="s">
        <v>604</v>
      </c>
    </row>
    <row r="784" customFormat="false" ht="15" hidden="false" customHeight="false" outlineLevel="0" collapsed="false">
      <c r="A784" s="90" t="str">
        <f aca="false">Gov_Map!$H29&amp;""</f>
        <v>—</v>
      </c>
      <c r="B784" s="71" t="s">
        <v>8132</v>
      </c>
      <c r="C784" s="58" t="n">
        <v>29</v>
      </c>
      <c r="D784" s="58" t="s">
        <v>8133</v>
      </c>
      <c r="E784" s="58" t="s">
        <v>8133</v>
      </c>
      <c r="F784" s="59" t="s">
        <v>604</v>
      </c>
    </row>
    <row r="785" customFormat="false" ht="15" hidden="false" customHeight="false" outlineLevel="0" collapsed="false">
      <c r="A785" s="90" t="str">
        <f aca="false">Gov_Map!$H30&amp;""</f>
        <v>—</v>
      </c>
      <c r="B785" s="71" t="s">
        <v>8132</v>
      </c>
      <c r="C785" s="58" t="n">
        <v>30</v>
      </c>
      <c r="D785" s="58" t="s">
        <v>8133</v>
      </c>
      <c r="E785" s="58" t="s">
        <v>8133</v>
      </c>
      <c r="F785" s="59" t="s">
        <v>604</v>
      </c>
    </row>
    <row r="786" customFormat="false" ht="15" hidden="false" customHeight="false" outlineLevel="0" collapsed="false">
      <c r="A786" s="90" t="str">
        <f aca="false">Gov_Map!$H31&amp;""</f>
        <v>—</v>
      </c>
      <c r="B786" s="71" t="s">
        <v>8132</v>
      </c>
      <c r="C786" s="58" t="n">
        <v>31</v>
      </c>
      <c r="D786" s="58" t="s">
        <v>8133</v>
      </c>
      <c r="E786" s="58" t="s">
        <v>8133</v>
      </c>
      <c r="F786" s="59" t="s">
        <v>604</v>
      </c>
    </row>
    <row r="787" customFormat="false" ht="15" hidden="false" customHeight="false" outlineLevel="0" collapsed="false">
      <c r="A787" s="90" t="str">
        <f aca="false">Gov_Map!$H32&amp;""</f>
        <v>—</v>
      </c>
      <c r="B787" s="71" t="s">
        <v>8132</v>
      </c>
      <c r="C787" s="58" t="n">
        <v>32</v>
      </c>
      <c r="D787" s="58" t="s">
        <v>8133</v>
      </c>
      <c r="E787" s="58" t="s">
        <v>8133</v>
      </c>
      <c r="F787" s="59" t="s">
        <v>604</v>
      </c>
    </row>
    <row r="788" customFormat="false" ht="15" hidden="false" customHeight="false" outlineLevel="0" collapsed="false">
      <c r="A788" s="90" t="str">
        <f aca="false">Gov_Map!$H33&amp;""</f>
        <v>—</v>
      </c>
      <c r="B788" s="71" t="s">
        <v>8132</v>
      </c>
      <c r="C788" s="58" t="n">
        <v>33</v>
      </c>
      <c r="D788" s="58" t="s">
        <v>8133</v>
      </c>
      <c r="E788" s="58" t="s">
        <v>8133</v>
      </c>
      <c r="F788" s="59" t="s">
        <v>604</v>
      </c>
    </row>
    <row r="789" customFormat="false" ht="15" hidden="false" customHeight="false" outlineLevel="0" collapsed="false">
      <c r="A789" s="90" t="str">
        <f aca="false">Gov_Map!$H34&amp;""</f>
        <v>—</v>
      </c>
      <c r="B789" s="71" t="s">
        <v>8132</v>
      </c>
      <c r="C789" s="58" t="n">
        <v>34</v>
      </c>
      <c r="D789" s="58" t="s">
        <v>8133</v>
      </c>
      <c r="E789" s="58" t="s">
        <v>8133</v>
      </c>
      <c r="F789" s="59" t="s">
        <v>604</v>
      </c>
    </row>
    <row r="790" customFormat="false" ht="15" hidden="false" customHeight="false" outlineLevel="0" collapsed="false">
      <c r="A790" s="90" t="str">
        <f aca="false">Gov_Map!$H35&amp;""</f>
        <v>—</v>
      </c>
      <c r="B790" s="71" t="s">
        <v>8132</v>
      </c>
      <c r="C790" s="58" t="n">
        <v>35</v>
      </c>
      <c r="D790" s="58" t="s">
        <v>8133</v>
      </c>
      <c r="E790" s="58" t="s">
        <v>8133</v>
      </c>
      <c r="F790" s="59" t="s">
        <v>604</v>
      </c>
    </row>
    <row r="791" customFormat="false" ht="15" hidden="false" customHeight="false" outlineLevel="0" collapsed="false">
      <c r="A791" s="90" t="str">
        <f aca="false">Gov_Map!$H36&amp;""</f>
        <v>—</v>
      </c>
      <c r="B791" s="71" t="s">
        <v>8132</v>
      </c>
      <c r="C791" s="58" t="n">
        <v>36</v>
      </c>
      <c r="D791" s="58" t="s">
        <v>8133</v>
      </c>
      <c r="E791" s="58" t="s">
        <v>8133</v>
      </c>
      <c r="F791" s="59" t="s">
        <v>604</v>
      </c>
    </row>
    <row r="792" customFormat="false" ht="15" hidden="false" customHeight="false" outlineLevel="0" collapsed="false">
      <c r="A792" s="90" t="str">
        <f aca="false">Gov_Map!$H37&amp;""</f>
        <v>—</v>
      </c>
      <c r="B792" s="71" t="s">
        <v>8132</v>
      </c>
      <c r="C792" s="58" t="n">
        <v>37</v>
      </c>
      <c r="D792" s="58" t="s">
        <v>8133</v>
      </c>
      <c r="E792" s="58" t="s">
        <v>8133</v>
      </c>
      <c r="F792" s="59" t="s">
        <v>604</v>
      </c>
    </row>
    <row r="793" customFormat="false" ht="15" hidden="false" customHeight="false" outlineLevel="0" collapsed="false">
      <c r="A793" s="90" t="str">
        <f aca="false">Gov_Map!$H38&amp;""</f>
        <v>—</v>
      </c>
      <c r="B793" s="71" t="s">
        <v>8132</v>
      </c>
      <c r="C793" s="58" t="n">
        <v>38</v>
      </c>
      <c r="D793" s="58" t="s">
        <v>8133</v>
      </c>
      <c r="E793" s="58" t="s">
        <v>8133</v>
      </c>
      <c r="F793" s="59" t="s">
        <v>604</v>
      </c>
    </row>
    <row r="794" customFormat="false" ht="15" hidden="false" customHeight="false" outlineLevel="0" collapsed="false">
      <c r="A794" s="90" t="str">
        <f aca="false">Gov_Map!$H39&amp;""</f>
        <v>—</v>
      </c>
      <c r="B794" s="71" t="s">
        <v>8132</v>
      </c>
      <c r="C794" s="58" t="n">
        <v>39</v>
      </c>
      <c r="D794" s="58" t="s">
        <v>8133</v>
      </c>
      <c r="E794" s="58" t="s">
        <v>8133</v>
      </c>
      <c r="F794" s="59" t="s">
        <v>604</v>
      </c>
    </row>
    <row r="795" customFormat="false" ht="15" hidden="false" customHeight="false" outlineLevel="0" collapsed="false">
      <c r="A795" s="90" t="str">
        <f aca="false">Gov_Map!$H40&amp;""</f>
        <v>—</v>
      </c>
      <c r="B795" s="71" t="s">
        <v>8132</v>
      </c>
      <c r="C795" s="58" t="n">
        <v>40</v>
      </c>
      <c r="D795" s="58" t="s">
        <v>8133</v>
      </c>
      <c r="E795" s="58" t="s">
        <v>8133</v>
      </c>
      <c r="F795" s="59" t="s">
        <v>604</v>
      </c>
    </row>
    <row r="796" customFormat="false" ht="15" hidden="false" customHeight="false" outlineLevel="0" collapsed="false">
      <c r="A796" s="90" t="str">
        <f aca="false">Gov_Map!$H41&amp;""</f>
        <v>—</v>
      </c>
      <c r="B796" s="71" t="s">
        <v>8132</v>
      </c>
      <c r="C796" s="58" t="n">
        <v>41</v>
      </c>
      <c r="D796" s="58" t="s">
        <v>8133</v>
      </c>
      <c r="E796" s="58" t="s">
        <v>8133</v>
      </c>
      <c r="F796" s="59" t="s">
        <v>604</v>
      </c>
    </row>
    <row r="797" customFormat="false" ht="15" hidden="false" customHeight="false" outlineLevel="0" collapsed="false">
      <c r="A797" s="90" t="str">
        <f aca="false">Gov_Map!$H42&amp;""</f>
        <v>—</v>
      </c>
      <c r="B797" s="71" t="s">
        <v>8132</v>
      </c>
      <c r="C797" s="58" t="n">
        <v>42</v>
      </c>
      <c r="D797" s="58" t="s">
        <v>8133</v>
      </c>
      <c r="E797" s="58" t="s">
        <v>8133</v>
      </c>
      <c r="F797" s="59" t="s">
        <v>604</v>
      </c>
    </row>
    <row r="798" customFormat="false" ht="15" hidden="false" customHeight="false" outlineLevel="0" collapsed="false">
      <c r="A798" s="90" t="str">
        <f aca="false">Gov_Map!$H43&amp;""</f>
        <v>—</v>
      </c>
      <c r="B798" s="71" t="s">
        <v>8132</v>
      </c>
      <c r="C798" s="58" t="n">
        <v>43</v>
      </c>
      <c r="D798" s="58" t="s">
        <v>8133</v>
      </c>
      <c r="E798" s="58" t="s">
        <v>8133</v>
      </c>
      <c r="F798" s="59" t="s">
        <v>604</v>
      </c>
    </row>
    <row r="799" customFormat="false" ht="15" hidden="false" customHeight="false" outlineLevel="0" collapsed="false">
      <c r="A799" s="90" t="str">
        <f aca="false">Gov_Map!$H44&amp;""</f>
        <v>—</v>
      </c>
      <c r="B799" s="71" t="s">
        <v>8132</v>
      </c>
      <c r="C799" s="58" t="n">
        <v>44</v>
      </c>
      <c r="D799" s="58" t="s">
        <v>8133</v>
      </c>
      <c r="E799" s="58" t="s">
        <v>8133</v>
      </c>
      <c r="F799" s="59" t="s">
        <v>604</v>
      </c>
    </row>
    <row r="800" customFormat="false" ht="15" hidden="false" customHeight="false" outlineLevel="0" collapsed="false">
      <c r="A800" s="90" t="str">
        <f aca="false">Gov_Map!$H45&amp;""</f>
        <v>—</v>
      </c>
      <c r="B800" s="71" t="s">
        <v>8132</v>
      </c>
      <c r="C800" s="58" t="n">
        <v>45</v>
      </c>
      <c r="D800" s="58" t="s">
        <v>8133</v>
      </c>
      <c r="E800" s="58" t="s">
        <v>8133</v>
      </c>
      <c r="F800" s="59" t="s">
        <v>604</v>
      </c>
    </row>
    <row r="801" customFormat="false" ht="15" hidden="false" customHeight="false" outlineLevel="0" collapsed="false">
      <c r="A801" s="90" t="str">
        <f aca="false">Gov_Map!$H46&amp;""</f>
        <v>—</v>
      </c>
      <c r="B801" s="71" t="s">
        <v>8132</v>
      </c>
      <c r="C801" s="58" t="n">
        <v>46</v>
      </c>
      <c r="D801" s="58" t="s">
        <v>8133</v>
      </c>
      <c r="E801" s="58" t="s">
        <v>8133</v>
      </c>
      <c r="F801" s="59" t="s">
        <v>604</v>
      </c>
    </row>
    <row r="802" customFormat="false" ht="15" hidden="false" customHeight="false" outlineLevel="0" collapsed="false">
      <c r="A802" s="90" t="str">
        <f aca="false">Gov_Map!$H47&amp;""</f>
        <v>—</v>
      </c>
      <c r="B802" s="71" t="s">
        <v>8132</v>
      </c>
      <c r="C802" s="58" t="n">
        <v>47</v>
      </c>
      <c r="D802" s="58" t="s">
        <v>8133</v>
      </c>
      <c r="E802" s="58" t="s">
        <v>8133</v>
      </c>
      <c r="F802" s="59" t="s">
        <v>604</v>
      </c>
    </row>
    <row r="803" customFormat="false" ht="15" hidden="false" customHeight="false" outlineLevel="0" collapsed="false">
      <c r="A803" s="90" t="str">
        <f aca="false">Gov_Map!$H48&amp;""</f>
        <v>—</v>
      </c>
      <c r="B803" s="71" t="s">
        <v>8132</v>
      </c>
      <c r="C803" s="58" t="n">
        <v>48</v>
      </c>
      <c r="D803" s="58" t="s">
        <v>8133</v>
      </c>
      <c r="E803" s="58" t="s">
        <v>8133</v>
      </c>
      <c r="F803" s="59" t="s">
        <v>604</v>
      </c>
    </row>
    <row r="804" customFormat="false" ht="15" hidden="false" customHeight="false" outlineLevel="0" collapsed="false">
      <c r="A804" s="90" t="str">
        <f aca="false">Gov_Map!$H49&amp;""</f>
        <v>—</v>
      </c>
      <c r="B804" s="71" t="s">
        <v>8132</v>
      </c>
      <c r="C804" s="58" t="n">
        <v>49</v>
      </c>
      <c r="D804" s="58" t="s">
        <v>8133</v>
      </c>
      <c r="E804" s="58" t="s">
        <v>8133</v>
      </c>
      <c r="F804" s="59" t="s">
        <v>604</v>
      </c>
    </row>
    <row r="805" customFormat="false" ht="15" hidden="false" customHeight="false" outlineLevel="0" collapsed="false">
      <c r="A805" s="90" t="str">
        <f aca="false">Gov_Map!$H50&amp;""</f>
        <v>—</v>
      </c>
      <c r="B805" s="71" t="s">
        <v>8132</v>
      </c>
      <c r="C805" s="58" t="n">
        <v>50</v>
      </c>
      <c r="D805" s="58" t="s">
        <v>8133</v>
      </c>
      <c r="E805" s="58" t="s">
        <v>8133</v>
      </c>
      <c r="F805" s="59" t="s">
        <v>604</v>
      </c>
    </row>
    <row r="806" customFormat="false" ht="15" hidden="false" customHeight="false" outlineLevel="0" collapsed="false">
      <c r="A806" s="90" t="str">
        <f aca="false">Gov_Map!$H51&amp;""</f>
        <v>—</v>
      </c>
      <c r="B806" s="71" t="s">
        <v>8132</v>
      </c>
      <c r="C806" s="58" t="n">
        <v>51</v>
      </c>
      <c r="D806" s="58" t="s">
        <v>8133</v>
      </c>
      <c r="E806" s="58" t="s">
        <v>8133</v>
      </c>
      <c r="F806" s="59" t="s">
        <v>604</v>
      </c>
    </row>
    <row r="807" customFormat="false" ht="15" hidden="false" customHeight="false" outlineLevel="0" collapsed="false">
      <c r="A807" s="90" t="str">
        <f aca="false">Gov_Map!$H52&amp;""</f>
        <v>—</v>
      </c>
      <c r="B807" s="71" t="s">
        <v>8132</v>
      </c>
      <c r="C807" s="58" t="n">
        <v>52</v>
      </c>
      <c r="D807" s="58" t="s">
        <v>8133</v>
      </c>
      <c r="E807" s="58" t="s">
        <v>8133</v>
      </c>
      <c r="F807" s="59" t="s">
        <v>604</v>
      </c>
    </row>
    <row r="808" customFormat="false" ht="15" hidden="false" customHeight="false" outlineLevel="0" collapsed="false">
      <c r="A808" s="90" t="str">
        <f aca="false">Gov_Map!$H53&amp;""</f>
        <v>—</v>
      </c>
      <c r="B808" s="71" t="s">
        <v>8132</v>
      </c>
      <c r="C808" s="58" t="n">
        <v>53</v>
      </c>
      <c r="D808" s="58" t="s">
        <v>8133</v>
      </c>
      <c r="E808" s="58" t="s">
        <v>8133</v>
      </c>
      <c r="F808" s="59" t="s">
        <v>604</v>
      </c>
    </row>
    <row r="809" customFormat="false" ht="15" hidden="false" customHeight="false" outlineLevel="0" collapsed="false">
      <c r="A809" s="90" t="str">
        <f aca="false">Gov_Map!$H54&amp;""</f>
        <v>—</v>
      </c>
      <c r="B809" s="71" t="s">
        <v>8132</v>
      </c>
      <c r="C809" s="58" t="n">
        <v>54</v>
      </c>
      <c r="D809" s="58" t="s">
        <v>8133</v>
      </c>
      <c r="E809" s="58" t="s">
        <v>8133</v>
      </c>
      <c r="F809" s="59" t="s">
        <v>604</v>
      </c>
    </row>
    <row r="810" customFormat="false" ht="15" hidden="false" customHeight="false" outlineLevel="0" collapsed="false">
      <c r="A810" s="90" t="str">
        <f aca="false">Gov_Map!$H55&amp;""</f>
        <v>—</v>
      </c>
      <c r="B810" s="71" t="s">
        <v>8132</v>
      </c>
      <c r="C810" s="58" t="n">
        <v>55</v>
      </c>
      <c r="D810" s="58" t="s">
        <v>8133</v>
      </c>
      <c r="E810" s="58" t="s">
        <v>8133</v>
      </c>
      <c r="F810" s="59" t="s">
        <v>604</v>
      </c>
    </row>
    <row r="811" customFormat="false" ht="15" hidden="false" customHeight="false" outlineLevel="0" collapsed="false">
      <c r="A811" s="90" t="str">
        <f aca="false">Gov_Map!$H56&amp;""</f>
        <v>—</v>
      </c>
      <c r="B811" s="71" t="s">
        <v>8132</v>
      </c>
      <c r="C811" s="58" t="n">
        <v>56</v>
      </c>
      <c r="D811" s="58" t="s">
        <v>8133</v>
      </c>
      <c r="E811" s="58" t="s">
        <v>8133</v>
      </c>
      <c r="F811" s="59" t="s">
        <v>604</v>
      </c>
    </row>
    <row r="812" customFormat="false" ht="15" hidden="false" customHeight="false" outlineLevel="0" collapsed="false">
      <c r="A812" s="90" t="str">
        <f aca="false">Gov_Map!$H57&amp;""</f>
        <v>—</v>
      </c>
      <c r="B812" s="71" t="s">
        <v>8132</v>
      </c>
      <c r="C812" s="58" t="n">
        <v>57</v>
      </c>
      <c r="D812" s="58" t="s">
        <v>8133</v>
      </c>
      <c r="E812" s="58" t="s">
        <v>8133</v>
      </c>
      <c r="F812" s="59" t="s">
        <v>604</v>
      </c>
    </row>
    <row r="813" customFormat="false" ht="15" hidden="false" customHeight="false" outlineLevel="0" collapsed="false">
      <c r="A813" s="90" t="str">
        <f aca="false">Gov_Map!$H58&amp;""</f>
        <v>—</v>
      </c>
      <c r="B813" s="71" t="s">
        <v>8132</v>
      </c>
      <c r="C813" s="58" t="n">
        <v>58</v>
      </c>
      <c r="D813" s="58" t="s">
        <v>8133</v>
      </c>
      <c r="E813" s="58" t="s">
        <v>8133</v>
      </c>
      <c r="F813" s="59" t="s">
        <v>604</v>
      </c>
    </row>
    <row r="814" customFormat="false" ht="15" hidden="false" customHeight="false" outlineLevel="0" collapsed="false">
      <c r="A814" s="90" t="str">
        <f aca="false">Gov_Map!$H59&amp;""</f>
        <v>—</v>
      </c>
      <c r="B814" s="71" t="s">
        <v>8132</v>
      </c>
      <c r="C814" s="58" t="n">
        <v>59</v>
      </c>
      <c r="D814" s="58" t="s">
        <v>8133</v>
      </c>
      <c r="E814" s="58" t="s">
        <v>8133</v>
      </c>
      <c r="F814" s="59" t="s">
        <v>604</v>
      </c>
    </row>
    <row r="815" customFormat="false" ht="15" hidden="false" customHeight="false" outlineLevel="0" collapsed="false">
      <c r="A815" s="90" t="str">
        <f aca="false">Gov_Map!$H60&amp;""</f>
        <v>—</v>
      </c>
      <c r="B815" s="71" t="s">
        <v>8132</v>
      </c>
      <c r="C815" s="58" t="n">
        <v>60</v>
      </c>
      <c r="D815" s="58" t="s">
        <v>8133</v>
      </c>
      <c r="E815" s="58" t="s">
        <v>8133</v>
      </c>
      <c r="F815" s="59" t="s">
        <v>604</v>
      </c>
    </row>
    <row r="816" customFormat="false" ht="15" hidden="false" customHeight="false" outlineLevel="0" collapsed="false">
      <c r="A816" s="90" t="str">
        <f aca="false">Gov_Map!$H61&amp;""</f>
        <v>—</v>
      </c>
      <c r="B816" s="71" t="s">
        <v>8132</v>
      </c>
      <c r="C816" s="58" t="n">
        <v>61</v>
      </c>
      <c r="D816" s="58" t="s">
        <v>8133</v>
      </c>
      <c r="E816" s="58" t="s">
        <v>8133</v>
      </c>
      <c r="F816" s="59" t="s">
        <v>604</v>
      </c>
    </row>
    <row r="817" customFormat="false" ht="15" hidden="false" customHeight="false" outlineLevel="0" collapsed="false">
      <c r="A817" s="90" t="str">
        <f aca="false">Gov_Map!$H62&amp;""</f>
        <v>SRC_DC_007</v>
      </c>
      <c r="B817" s="71" t="s">
        <v>8132</v>
      </c>
      <c r="C817" s="58" t="n">
        <v>62</v>
      </c>
      <c r="D817" s="58" t="s">
        <v>8133</v>
      </c>
      <c r="E817" s="58" t="s">
        <v>8133</v>
      </c>
      <c r="F817" s="59" t="s">
        <v>604</v>
      </c>
    </row>
    <row r="818" customFormat="false" ht="15" hidden="false" customHeight="false" outlineLevel="0" collapsed="false">
      <c r="A818" s="90" t="str">
        <f aca="false">Gov_Map!$H63&amp;""</f>
        <v>SRC_DC_007</v>
      </c>
      <c r="B818" s="71" t="s">
        <v>8132</v>
      </c>
      <c r="C818" s="58" t="n">
        <v>63</v>
      </c>
      <c r="D818" s="58" t="s">
        <v>8133</v>
      </c>
      <c r="E818" s="58" t="s">
        <v>8133</v>
      </c>
      <c r="F818" s="59" t="s">
        <v>604</v>
      </c>
    </row>
    <row r="819" customFormat="false" ht="15" hidden="false" customHeight="false" outlineLevel="0" collapsed="false">
      <c r="A819" s="90" t="str">
        <f aca="false">Gov_Map!$H64&amp;""</f>
        <v>SRC_DC_008</v>
      </c>
      <c r="B819" s="71" t="s">
        <v>8132</v>
      </c>
      <c r="C819" s="58" t="n">
        <v>64</v>
      </c>
      <c r="D819" s="58" t="s">
        <v>8133</v>
      </c>
      <c r="E819" s="58" t="s">
        <v>8133</v>
      </c>
      <c r="F819" s="59" t="s">
        <v>604</v>
      </c>
    </row>
    <row r="820" customFormat="false" ht="15" hidden="false" customHeight="false" outlineLevel="0" collapsed="false">
      <c r="A820" s="90" t="str">
        <f aca="false">Gov_Map!$H65&amp;""</f>
        <v>—</v>
      </c>
      <c r="B820" s="71" t="s">
        <v>8132</v>
      </c>
      <c r="C820" s="58" t="n">
        <v>65</v>
      </c>
      <c r="D820" s="58" t="s">
        <v>8133</v>
      </c>
      <c r="E820" s="58" t="s">
        <v>8133</v>
      </c>
      <c r="F820" s="59" t="s">
        <v>604</v>
      </c>
    </row>
    <row r="821" customFormat="false" ht="15" hidden="false" customHeight="false" outlineLevel="0" collapsed="false">
      <c r="A821" s="90" t="str">
        <f aca="false">Gov_Map!$H66&amp;""</f>
        <v>—</v>
      </c>
      <c r="B821" s="71" t="s">
        <v>8132</v>
      </c>
      <c r="C821" s="58" t="n">
        <v>66</v>
      </c>
      <c r="D821" s="58" t="s">
        <v>8133</v>
      </c>
      <c r="E821" s="58" t="s">
        <v>8133</v>
      </c>
      <c r="F821" s="59" t="s">
        <v>604</v>
      </c>
    </row>
    <row r="822" customFormat="false" ht="15" hidden="false" customHeight="false" outlineLevel="0" collapsed="false">
      <c r="A822" s="90" t="str">
        <f aca="false">Gov_Map!$H67&amp;""</f>
        <v>—</v>
      </c>
      <c r="B822" s="71" t="s">
        <v>8132</v>
      </c>
      <c r="C822" s="58" t="n">
        <v>67</v>
      </c>
      <c r="D822" s="58" t="s">
        <v>8133</v>
      </c>
      <c r="E822" s="58" t="s">
        <v>8133</v>
      </c>
      <c r="F822" s="59" t="s">
        <v>604</v>
      </c>
    </row>
    <row r="823" customFormat="false" ht="15" hidden="false" customHeight="false" outlineLevel="0" collapsed="false">
      <c r="A823" s="90" t="str">
        <f aca="false">Gov_Map!$H68&amp;""</f>
        <v>—</v>
      </c>
      <c r="B823" s="71" t="s">
        <v>8132</v>
      </c>
      <c r="C823" s="58" t="n">
        <v>68</v>
      </c>
      <c r="D823" s="58" t="s">
        <v>8133</v>
      </c>
      <c r="E823" s="58" t="s">
        <v>8133</v>
      </c>
      <c r="F823" s="59" t="s">
        <v>604</v>
      </c>
    </row>
    <row r="824" customFormat="false" ht="15" hidden="false" customHeight="false" outlineLevel="0" collapsed="false">
      <c r="A824" s="90" t="str">
        <f aca="false">Gov_Map!$H69&amp;""</f>
        <v>—</v>
      </c>
      <c r="B824" s="71" t="s">
        <v>8132</v>
      </c>
      <c r="C824" s="58" t="n">
        <v>69</v>
      </c>
      <c r="D824" s="58" t="s">
        <v>8133</v>
      </c>
      <c r="E824" s="58" t="s">
        <v>8133</v>
      </c>
      <c r="F824" s="59" t="s">
        <v>604</v>
      </c>
    </row>
    <row r="825" customFormat="false" ht="15" hidden="false" customHeight="false" outlineLevel="0" collapsed="false">
      <c r="A825" s="90" t="str">
        <f aca="false">Gov_Map!$H70&amp;""</f>
        <v>SRC_HW_047</v>
      </c>
      <c r="B825" s="71" t="s">
        <v>8132</v>
      </c>
      <c r="C825" s="58" t="n">
        <v>70</v>
      </c>
      <c r="D825" s="58" t="s">
        <v>8133</v>
      </c>
      <c r="E825" s="58" t="s">
        <v>8133</v>
      </c>
      <c r="F825" s="59" t="s">
        <v>604</v>
      </c>
    </row>
    <row r="826" customFormat="false" ht="15" hidden="false" customHeight="false" outlineLevel="0" collapsed="false">
      <c r="A826" s="90" t="str">
        <f aca="false">Gov_Map!$H71&amp;""</f>
        <v>SRC_HW_047</v>
      </c>
      <c r="B826" s="71" t="s">
        <v>8132</v>
      </c>
      <c r="C826" s="58" t="n">
        <v>71</v>
      </c>
      <c r="D826" s="58" t="s">
        <v>8133</v>
      </c>
      <c r="E826" s="58" t="s">
        <v>8133</v>
      </c>
      <c r="F826" s="59" t="s">
        <v>604</v>
      </c>
    </row>
    <row r="827" customFormat="false" ht="15" hidden="false" customHeight="false" outlineLevel="0" collapsed="false">
      <c r="A827" s="90" t="str">
        <f aca="false">Gov_Map!$H72&amp;""</f>
        <v>SRC_HW_047</v>
      </c>
      <c r="B827" s="71" t="s">
        <v>8132</v>
      </c>
      <c r="C827" s="58" t="n">
        <v>72</v>
      </c>
      <c r="D827" s="58" t="s">
        <v>8133</v>
      </c>
      <c r="E827" s="58" t="s">
        <v>8133</v>
      </c>
      <c r="F827" s="59" t="s">
        <v>604</v>
      </c>
    </row>
    <row r="828" customFormat="false" ht="15" hidden="false" customHeight="false" outlineLevel="0" collapsed="false">
      <c r="A828" s="90" t="str">
        <f aca="false">Gov_Map!$H73&amp;""</f>
        <v>SRC_HW_061</v>
      </c>
      <c r="B828" s="71" t="s">
        <v>8132</v>
      </c>
      <c r="C828" s="58" t="n">
        <v>73</v>
      </c>
      <c r="D828" s="58" t="s">
        <v>8133</v>
      </c>
      <c r="E828" s="58" t="s">
        <v>8133</v>
      </c>
      <c r="F828" s="59" t="s">
        <v>604</v>
      </c>
    </row>
    <row r="829" customFormat="false" ht="15" hidden="false" customHeight="false" outlineLevel="0" collapsed="false">
      <c r="A829" s="90" t="str">
        <f aca="false">Gov_Map!$H74&amp;""</f>
        <v>—</v>
      </c>
      <c r="B829" s="71" t="s">
        <v>8132</v>
      </c>
      <c r="C829" s="58" t="n">
        <v>74</v>
      </c>
      <c r="D829" s="58" t="s">
        <v>8133</v>
      </c>
      <c r="E829" s="58" t="s">
        <v>8133</v>
      </c>
      <c r="F829" s="59" t="s">
        <v>604</v>
      </c>
    </row>
    <row r="830" customFormat="false" ht="15" hidden="false" customHeight="false" outlineLevel="0" collapsed="false">
      <c r="A830" s="90" t="str">
        <f aca="false">Gov_Map!$H75&amp;""</f>
        <v>SRC_HW_004</v>
      </c>
      <c r="B830" s="71" t="s">
        <v>8132</v>
      </c>
      <c r="C830" s="58" t="n">
        <v>75</v>
      </c>
      <c r="D830" s="58" t="s">
        <v>8133</v>
      </c>
      <c r="E830" s="58" t="s">
        <v>8133</v>
      </c>
      <c r="F830" s="59" t="s">
        <v>604</v>
      </c>
    </row>
    <row r="831" customFormat="false" ht="15" hidden="false" customHeight="false" outlineLevel="0" collapsed="false">
      <c r="A831" s="90" t="str">
        <f aca="false">Gov_Map!$H76&amp;""</f>
        <v>SRC_HW_005</v>
      </c>
      <c r="B831" s="71" t="s">
        <v>8132</v>
      </c>
      <c r="C831" s="58" t="n">
        <v>76</v>
      </c>
      <c r="D831" s="58" t="s">
        <v>8133</v>
      </c>
      <c r="E831" s="58" t="s">
        <v>8133</v>
      </c>
      <c r="F831" s="59" t="s">
        <v>604</v>
      </c>
    </row>
    <row r="832" customFormat="false" ht="15" hidden="false" customHeight="false" outlineLevel="0" collapsed="false">
      <c r="A832" s="90" t="str">
        <f aca="false">Gov_Map!$H77&amp;""</f>
        <v>SRC_HW_011</v>
      </c>
      <c r="B832" s="71" t="s">
        <v>8132</v>
      </c>
      <c r="C832" s="58" t="n">
        <v>77</v>
      </c>
      <c r="D832" s="58" t="s">
        <v>8133</v>
      </c>
      <c r="E832" s="58" t="s">
        <v>8133</v>
      </c>
      <c r="F832" s="59" t="s">
        <v>604</v>
      </c>
    </row>
    <row r="833" customFormat="false" ht="15" hidden="false" customHeight="false" outlineLevel="0" collapsed="false">
      <c r="A833" s="90" t="str">
        <f aca="false">Gov_Map!$H78&amp;""</f>
        <v>—</v>
      </c>
      <c r="B833" s="71" t="s">
        <v>8132</v>
      </c>
      <c r="C833" s="58" t="n">
        <v>78</v>
      </c>
      <c r="D833" s="58" t="s">
        <v>8133</v>
      </c>
      <c r="E833" s="58" t="s">
        <v>8133</v>
      </c>
      <c r="F833" s="59" t="s">
        <v>604</v>
      </c>
    </row>
    <row r="834" customFormat="false" ht="15" hidden="false" customHeight="false" outlineLevel="0" collapsed="false">
      <c r="A834" s="90" t="str">
        <f aca="false">Gov_Map!$H79&amp;""</f>
        <v>SRC_HW_001</v>
      </c>
      <c r="B834" s="71" t="s">
        <v>8132</v>
      </c>
      <c r="C834" s="58" t="n">
        <v>79</v>
      </c>
      <c r="D834" s="58" t="s">
        <v>8133</v>
      </c>
      <c r="E834" s="58" t="s">
        <v>8133</v>
      </c>
      <c r="F834" s="59" t="s">
        <v>604</v>
      </c>
    </row>
    <row r="835" customFormat="false" ht="15" hidden="false" customHeight="false" outlineLevel="0" collapsed="false">
      <c r="A835" s="90" t="str">
        <f aca="false">Gov_Map!$H80&amp;""</f>
        <v>SRC_HW_004</v>
      </c>
      <c r="B835" s="71" t="s">
        <v>8132</v>
      </c>
      <c r="C835" s="58" t="n">
        <v>80</v>
      </c>
      <c r="D835" s="58" t="s">
        <v>8133</v>
      </c>
      <c r="E835" s="58" t="s">
        <v>8133</v>
      </c>
      <c r="F835" s="59" t="s">
        <v>604</v>
      </c>
    </row>
    <row r="836" customFormat="false" ht="15" hidden="false" customHeight="false" outlineLevel="0" collapsed="false">
      <c r="A836" s="90" t="str">
        <f aca="false">Gov_Map!$H81&amp;""</f>
        <v>SRC_HW_005</v>
      </c>
      <c r="B836" s="71" t="s">
        <v>8132</v>
      </c>
      <c r="C836" s="58" t="n">
        <v>81</v>
      </c>
      <c r="D836" s="58" t="s">
        <v>8133</v>
      </c>
      <c r="E836" s="58" t="s">
        <v>8133</v>
      </c>
      <c r="F836" s="59" t="s">
        <v>604</v>
      </c>
    </row>
    <row r="837" customFormat="false" ht="15" hidden="false" customHeight="false" outlineLevel="0" collapsed="false">
      <c r="A837" s="90" t="str">
        <f aca="false">Gov_Map!$H82&amp;""</f>
        <v>SRC_HW_014</v>
      </c>
      <c r="B837" s="71" t="s">
        <v>8132</v>
      </c>
      <c r="C837" s="58" t="n">
        <v>82</v>
      </c>
      <c r="D837" s="58" t="s">
        <v>8133</v>
      </c>
      <c r="E837" s="58" t="s">
        <v>8133</v>
      </c>
      <c r="F837" s="59" t="s">
        <v>604</v>
      </c>
    </row>
    <row r="838" customFormat="false" ht="15" hidden="false" customHeight="false" outlineLevel="0" collapsed="false">
      <c r="A838" s="90" t="str">
        <f aca="false">Gov_Map!$H83&amp;""</f>
        <v>—</v>
      </c>
      <c r="B838" s="71" t="s">
        <v>8132</v>
      </c>
      <c r="C838" s="58" t="n">
        <v>83</v>
      </c>
      <c r="D838" s="58" t="s">
        <v>8133</v>
      </c>
      <c r="E838" s="58" t="s">
        <v>8133</v>
      </c>
      <c r="F838" s="59" t="s">
        <v>604</v>
      </c>
    </row>
    <row r="839" customFormat="false" ht="15" hidden="false" customHeight="false" outlineLevel="0" collapsed="false">
      <c r="A839" s="90" t="str">
        <f aca="false">Gov_Map!$H84&amp;""</f>
        <v>—</v>
      </c>
      <c r="B839" s="71" t="s">
        <v>8132</v>
      </c>
      <c r="C839" s="58" t="n">
        <v>84</v>
      </c>
      <c r="D839" s="58" t="s">
        <v>8133</v>
      </c>
      <c r="E839" s="58" t="s">
        <v>8133</v>
      </c>
      <c r="F839" s="59" t="s">
        <v>604</v>
      </c>
    </row>
    <row r="840" customFormat="false" ht="15" hidden="false" customHeight="false" outlineLevel="0" collapsed="false">
      <c r="A840" s="90" t="str">
        <f aca="false">Gov_Map!$H85&amp;""</f>
        <v>—</v>
      </c>
      <c r="B840" s="71" t="s">
        <v>8132</v>
      </c>
      <c r="C840" s="58" t="n">
        <v>85</v>
      </c>
      <c r="D840" s="58" t="s">
        <v>8133</v>
      </c>
      <c r="E840" s="58" t="s">
        <v>8133</v>
      </c>
      <c r="F840" s="59" t="s">
        <v>604</v>
      </c>
    </row>
    <row r="841" customFormat="false" ht="15" hidden="false" customHeight="false" outlineLevel="0" collapsed="false">
      <c r="A841" s="90" t="str">
        <f aca="false">Gov_Map!$H86&amp;""</f>
        <v>SRC_HW_005</v>
      </c>
      <c r="B841" s="71" t="s">
        <v>8132</v>
      </c>
      <c r="C841" s="58" t="n">
        <v>86</v>
      </c>
      <c r="D841" s="58" t="s">
        <v>8133</v>
      </c>
      <c r="E841" s="58" t="s">
        <v>8133</v>
      </c>
      <c r="F841" s="59" t="s">
        <v>604</v>
      </c>
    </row>
    <row r="842" customFormat="false" ht="15" hidden="false" customHeight="false" outlineLevel="0" collapsed="false">
      <c r="A842" s="90" t="str">
        <f aca="false">Gov_Map!$H87&amp;""</f>
        <v>SRC_HW_012</v>
      </c>
      <c r="B842" s="71" t="s">
        <v>8132</v>
      </c>
      <c r="C842" s="58" t="n">
        <v>87</v>
      </c>
      <c r="D842" s="58" t="s">
        <v>8133</v>
      </c>
      <c r="E842" s="58" t="s">
        <v>8133</v>
      </c>
      <c r="F842" s="59" t="s">
        <v>604</v>
      </c>
    </row>
    <row r="843" customFormat="false" ht="15" hidden="false" customHeight="false" outlineLevel="0" collapsed="false">
      <c r="A843" s="90" t="str">
        <f aca="false">Gov_Map!$H88&amp;""</f>
        <v>—</v>
      </c>
      <c r="B843" s="71" t="s">
        <v>8132</v>
      </c>
      <c r="C843" s="58" t="n">
        <v>88</v>
      </c>
      <c r="D843" s="58" t="s">
        <v>8133</v>
      </c>
      <c r="E843" s="58" t="s">
        <v>8133</v>
      </c>
      <c r="F843" s="59" t="s">
        <v>604</v>
      </c>
    </row>
    <row r="844" customFormat="false" ht="15" hidden="false" customHeight="false" outlineLevel="0" collapsed="false">
      <c r="A844" s="90" t="str">
        <f aca="false">Gov_Map!$H89&amp;""</f>
        <v>SRC_HW_003</v>
      </c>
      <c r="B844" s="71" t="s">
        <v>8132</v>
      </c>
      <c r="C844" s="58" t="n">
        <v>89</v>
      </c>
      <c r="D844" s="58" t="s">
        <v>8133</v>
      </c>
      <c r="E844" s="58" t="s">
        <v>8133</v>
      </c>
      <c r="F844" s="59" t="s">
        <v>604</v>
      </c>
    </row>
    <row r="845" customFormat="false" ht="15" hidden="false" customHeight="false" outlineLevel="0" collapsed="false">
      <c r="A845" s="90" t="str">
        <f aca="false">Gov_Map!$H90&amp;""</f>
        <v>SRC_HW_006</v>
      </c>
      <c r="B845" s="71" t="s">
        <v>8132</v>
      </c>
      <c r="C845" s="58" t="n">
        <v>90</v>
      </c>
      <c r="D845" s="58" t="s">
        <v>8133</v>
      </c>
      <c r="E845" s="58" t="s">
        <v>8133</v>
      </c>
      <c r="F845" s="59" t="s">
        <v>604</v>
      </c>
    </row>
    <row r="846" customFormat="false" ht="15" hidden="false" customHeight="false" outlineLevel="0" collapsed="false">
      <c r="A846" s="90" t="str">
        <f aca="false">Gov_Map!$H91&amp;""</f>
        <v>SRC_HW_052</v>
      </c>
      <c r="B846" s="71" t="s">
        <v>8132</v>
      </c>
      <c r="C846" s="58" t="n">
        <v>91</v>
      </c>
      <c r="D846" s="58" t="s">
        <v>8133</v>
      </c>
      <c r="E846" s="58" t="s">
        <v>8133</v>
      </c>
      <c r="F846" s="59" t="s">
        <v>604</v>
      </c>
    </row>
    <row r="847" customFormat="false" ht="15" hidden="false" customHeight="false" outlineLevel="0" collapsed="false">
      <c r="A847" s="90" t="str">
        <f aca="false">Gov_Map!$H92&amp;""</f>
        <v>SRC_HW_015</v>
      </c>
      <c r="B847" s="71" t="s">
        <v>8132</v>
      </c>
      <c r="C847" s="58" t="n">
        <v>92</v>
      </c>
      <c r="D847" s="58" t="s">
        <v>8133</v>
      </c>
      <c r="E847" s="58" t="s">
        <v>8133</v>
      </c>
      <c r="F847" s="59" t="s">
        <v>604</v>
      </c>
    </row>
    <row r="848" customFormat="false" ht="15" hidden="false" customHeight="false" outlineLevel="0" collapsed="false">
      <c r="A848" s="90" t="str">
        <f aca="false">Gov_Map!$H93&amp;""</f>
        <v>—</v>
      </c>
      <c r="B848" s="71" t="s">
        <v>8132</v>
      </c>
      <c r="C848" s="58" t="n">
        <v>93</v>
      </c>
      <c r="D848" s="58" t="s">
        <v>8133</v>
      </c>
      <c r="E848" s="58" t="s">
        <v>8133</v>
      </c>
      <c r="F848" s="59" t="s">
        <v>604</v>
      </c>
    </row>
    <row r="849" customFormat="false" ht="15" hidden="false" customHeight="false" outlineLevel="0" collapsed="false">
      <c r="A849" s="90" t="str">
        <f aca="false">Gov_Map!$H94&amp;""</f>
        <v>SRC_HW_003</v>
      </c>
      <c r="B849" s="71" t="s">
        <v>8132</v>
      </c>
      <c r="C849" s="58" t="n">
        <v>94</v>
      </c>
      <c r="D849" s="58" t="s">
        <v>8133</v>
      </c>
      <c r="E849" s="58" t="s">
        <v>8133</v>
      </c>
      <c r="F849" s="59" t="s">
        <v>604</v>
      </c>
    </row>
    <row r="850" customFormat="false" ht="15" hidden="false" customHeight="false" outlineLevel="0" collapsed="false">
      <c r="A850" s="90" t="str">
        <f aca="false">Gov_Map!$H95&amp;""</f>
        <v>SRC_HW_006</v>
      </c>
      <c r="B850" s="71" t="s">
        <v>8132</v>
      </c>
      <c r="C850" s="58" t="n">
        <v>95</v>
      </c>
      <c r="D850" s="58" t="s">
        <v>8133</v>
      </c>
      <c r="E850" s="58" t="s">
        <v>8133</v>
      </c>
      <c r="F850" s="59" t="s">
        <v>604</v>
      </c>
    </row>
    <row r="851" customFormat="false" ht="15" hidden="false" customHeight="false" outlineLevel="0" collapsed="false">
      <c r="A851" s="90" t="str">
        <f aca="false">Gov_Map!$H96&amp;""</f>
        <v>SRC_HW_052</v>
      </c>
      <c r="B851" s="71" t="s">
        <v>8132</v>
      </c>
      <c r="C851" s="58" t="n">
        <v>96</v>
      </c>
      <c r="D851" s="58" t="s">
        <v>8133</v>
      </c>
      <c r="E851" s="58" t="s">
        <v>8133</v>
      </c>
      <c r="F851" s="59" t="s">
        <v>604</v>
      </c>
    </row>
    <row r="852" customFormat="false" ht="15" hidden="false" customHeight="false" outlineLevel="0" collapsed="false">
      <c r="A852" s="90" t="str">
        <f aca="false">Gov_Map!$H97&amp;""</f>
        <v>SRC_HW_015</v>
      </c>
      <c r="B852" s="71" t="s">
        <v>8132</v>
      </c>
      <c r="C852" s="58" t="n">
        <v>97</v>
      </c>
      <c r="D852" s="58" t="s">
        <v>8133</v>
      </c>
      <c r="E852" s="58" t="s">
        <v>8133</v>
      </c>
      <c r="F852" s="59" t="s">
        <v>604</v>
      </c>
    </row>
    <row r="853" customFormat="false" ht="15" hidden="false" customHeight="false" outlineLevel="0" collapsed="false">
      <c r="A853" s="90" t="str">
        <f aca="false">Gov_Map!$H98&amp;""</f>
        <v>—</v>
      </c>
      <c r="B853" s="71" t="s">
        <v>8132</v>
      </c>
      <c r="C853" s="58" t="n">
        <v>98</v>
      </c>
      <c r="D853" s="58" t="s">
        <v>8133</v>
      </c>
      <c r="E853" s="58" t="s">
        <v>8133</v>
      </c>
      <c r="F853" s="59" t="s">
        <v>604</v>
      </c>
    </row>
    <row r="854" customFormat="false" ht="15" hidden="false" customHeight="false" outlineLevel="0" collapsed="false">
      <c r="A854" s="90" t="str">
        <f aca="false">Gov_Map!$H99&amp;""</f>
        <v>SRC_HW_003</v>
      </c>
      <c r="B854" s="71" t="s">
        <v>8132</v>
      </c>
      <c r="C854" s="58" t="n">
        <v>99</v>
      </c>
      <c r="D854" s="58" t="s">
        <v>8133</v>
      </c>
      <c r="E854" s="58" t="s">
        <v>8133</v>
      </c>
      <c r="F854" s="59" t="s">
        <v>604</v>
      </c>
    </row>
    <row r="855" customFormat="false" ht="15" hidden="false" customHeight="false" outlineLevel="0" collapsed="false">
      <c r="A855" s="90" t="str">
        <f aca="false">Gov_Map!$H100&amp;""</f>
        <v>SRC_HW_006</v>
      </c>
      <c r="B855" s="71" t="s">
        <v>8132</v>
      </c>
      <c r="C855" s="58" t="n">
        <v>100</v>
      </c>
      <c r="D855" s="58" t="s">
        <v>8133</v>
      </c>
      <c r="E855" s="58" t="s">
        <v>8133</v>
      </c>
      <c r="F855" s="59" t="s">
        <v>604</v>
      </c>
    </row>
    <row r="856" customFormat="false" ht="15" hidden="false" customHeight="false" outlineLevel="0" collapsed="false">
      <c r="A856" s="90" t="str">
        <f aca="false">Gov_Map!$H101&amp;""</f>
        <v>SRC_HW_010</v>
      </c>
      <c r="B856" s="71" t="s">
        <v>8132</v>
      </c>
      <c r="C856" s="58" t="n">
        <v>101</v>
      </c>
      <c r="D856" s="58" t="s">
        <v>8133</v>
      </c>
      <c r="E856" s="58" t="s">
        <v>8133</v>
      </c>
      <c r="F856" s="59" t="s">
        <v>604</v>
      </c>
    </row>
    <row r="857" customFormat="false" ht="15" hidden="false" customHeight="false" outlineLevel="0" collapsed="false">
      <c r="A857" s="90" t="str">
        <f aca="false">Gov_Map!$H102&amp;""</f>
        <v>SRC_HW_017</v>
      </c>
      <c r="B857" s="71" t="s">
        <v>8132</v>
      </c>
      <c r="C857" s="58" t="n">
        <v>102</v>
      </c>
      <c r="D857" s="58" t="s">
        <v>8133</v>
      </c>
      <c r="E857" s="58" t="s">
        <v>8133</v>
      </c>
      <c r="F857" s="59" t="s">
        <v>604</v>
      </c>
    </row>
    <row r="858" customFormat="false" ht="15" hidden="false" customHeight="false" outlineLevel="0" collapsed="false">
      <c r="A858" s="90" t="str">
        <f aca="false">Gov_Map!$H103&amp;""</f>
        <v>—</v>
      </c>
      <c r="B858" s="71" t="s">
        <v>8132</v>
      </c>
      <c r="C858" s="58" t="n">
        <v>103</v>
      </c>
      <c r="D858" s="58" t="s">
        <v>8133</v>
      </c>
      <c r="E858" s="58" t="s">
        <v>8133</v>
      </c>
      <c r="F858" s="59" t="s">
        <v>604</v>
      </c>
    </row>
    <row r="859" customFormat="false" ht="15" hidden="false" customHeight="false" outlineLevel="0" collapsed="false">
      <c r="A859" s="90" t="str">
        <f aca="false">Gov_Map!$H104&amp;""</f>
        <v>SRC_HW_040</v>
      </c>
      <c r="B859" s="71" t="s">
        <v>8132</v>
      </c>
      <c r="C859" s="58" t="n">
        <v>104</v>
      </c>
      <c r="D859" s="58" t="s">
        <v>8133</v>
      </c>
      <c r="E859" s="58" t="s">
        <v>8133</v>
      </c>
      <c r="F859" s="59" t="s">
        <v>604</v>
      </c>
    </row>
    <row r="860" customFormat="false" ht="15" hidden="false" customHeight="false" outlineLevel="0" collapsed="false">
      <c r="A860" s="90" t="str">
        <f aca="false">Gov_Map!$H105&amp;""</f>
        <v>SRC_HW_022</v>
      </c>
      <c r="B860" s="71" t="s">
        <v>8132</v>
      </c>
      <c r="C860" s="58" t="n">
        <v>105</v>
      </c>
      <c r="D860" s="58" t="s">
        <v>8133</v>
      </c>
      <c r="E860" s="58" t="s">
        <v>8133</v>
      </c>
      <c r="F860" s="59" t="s">
        <v>604</v>
      </c>
    </row>
    <row r="861" customFormat="false" ht="15" hidden="false" customHeight="false" outlineLevel="0" collapsed="false">
      <c r="A861" s="90" t="str">
        <f aca="false">Gov_Map!$H106&amp;""</f>
        <v>SRC_HW_025</v>
      </c>
      <c r="B861" s="71" t="s">
        <v>8132</v>
      </c>
      <c r="C861" s="58" t="n">
        <v>106</v>
      </c>
      <c r="D861" s="58" t="s">
        <v>8133</v>
      </c>
      <c r="E861" s="58" t="s">
        <v>8133</v>
      </c>
      <c r="F861" s="59" t="s">
        <v>604</v>
      </c>
    </row>
    <row r="862" customFormat="false" ht="15" hidden="false" customHeight="false" outlineLevel="0" collapsed="false">
      <c r="A862" s="90" t="str">
        <f aca="false">Gov_Map!$H107&amp;""</f>
        <v>SRC_HW_028</v>
      </c>
      <c r="B862" s="71" t="s">
        <v>8132</v>
      </c>
      <c r="C862" s="58" t="n">
        <v>107</v>
      </c>
      <c r="D862" s="58" t="s">
        <v>8133</v>
      </c>
      <c r="E862" s="58" t="s">
        <v>8133</v>
      </c>
      <c r="F862" s="59" t="s">
        <v>604</v>
      </c>
    </row>
    <row r="863" customFormat="false" ht="15" hidden="false" customHeight="false" outlineLevel="0" collapsed="false">
      <c r="A863" s="90" t="str">
        <f aca="false">Gov_Map!$H108&amp;""</f>
        <v>SRC_HW_063</v>
      </c>
      <c r="B863" s="71" t="s">
        <v>8132</v>
      </c>
      <c r="C863" s="58" t="n">
        <v>108</v>
      </c>
      <c r="D863" s="58" t="s">
        <v>8133</v>
      </c>
      <c r="E863" s="58" t="s">
        <v>8133</v>
      </c>
      <c r="F863" s="59" t="s">
        <v>604</v>
      </c>
    </row>
    <row r="864" customFormat="false" ht="15" hidden="false" customHeight="false" outlineLevel="0" collapsed="false">
      <c r="A864" s="90" t="str">
        <f aca="false">Gov_Map!$H109&amp;""</f>
        <v>—</v>
      </c>
      <c r="B864" s="71" t="s">
        <v>8132</v>
      </c>
      <c r="C864" s="58" t="n">
        <v>109</v>
      </c>
      <c r="D864" s="58" t="s">
        <v>8133</v>
      </c>
      <c r="E864" s="58" t="s">
        <v>8133</v>
      </c>
      <c r="F864" s="59" t="s">
        <v>604</v>
      </c>
    </row>
    <row r="865" customFormat="false" ht="15" hidden="false" customHeight="false" outlineLevel="0" collapsed="false">
      <c r="A865" s="90" t="str">
        <f aca="false">Gov_Map!$H110&amp;""</f>
        <v>SRC_HW_022</v>
      </c>
      <c r="B865" s="71" t="s">
        <v>8132</v>
      </c>
      <c r="C865" s="58" t="n">
        <v>110</v>
      </c>
      <c r="D865" s="58" t="s">
        <v>8133</v>
      </c>
      <c r="E865" s="58" t="s">
        <v>8133</v>
      </c>
      <c r="F865" s="59" t="s">
        <v>604</v>
      </c>
    </row>
    <row r="866" customFormat="false" ht="15" hidden="false" customHeight="false" outlineLevel="0" collapsed="false">
      <c r="A866" s="90" t="str">
        <f aca="false">Gov_Map!$H111&amp;""</f>
        <v>SRC_HW_025</v>
      </c>
      <c r="B866" s="71" t="s">
        <v>8132</v>
      </c>
      <c r="C866" s="58" t="n">
        <v>111</v>
      </c>
      <c r="D866" s="58" t="s">
        <v>8133</v>
      </c>
      <c r="E866" s="58" t="s">
        <v>8133</v>
      </c>
      <c r="F866" s="59" t="s">
        <v>604</v>
      </c>
    </row>
    <row r="867" customFormat="false" ht="15" hidden="false" customHeight="false" outlineLevel="0" collapsed="false">
      <c r="A867" s="90" t="str">
        <f aca="false">Gov_Map!$H112&amp;""</f>
        <v>SRC_HW_027</v>
      </c>
      <c r="B867" s="71" t="s">
        <v>8132</v>
      </c>
      <c r="C867" s="58" t="n">
        <v>112</v>
      </c>
      <c r="D867" s="58" t="s">
        <v>8133</v>
      </c>
      <c r="E867" s="58" t="s">
        <v>8133</v>
      </c>
      <c r="F867" s="59" t="s">
        <v>604</v>
      </c>
    </row>
    <row r="868" customFormat="false" ht="15" hidden="false" customHeight="false" outlineLevel="0" collapsed="false">
      <c r="A868" s="90" t="str">
        <f aca="false">Gov_Map!$H113&amp;""</f>
        <v>SRC_HW_063</v>
      </c>
      <c r="B868" s="71" t="s">
        <v>8132</v>
      </c>
      <c r="C868" s="58" t="n">
        <v>113</v>
      </c>
      <c r="D868" s="58" t="s">
        <v>8133</v>
      </c>
      <c r="E868" s="58" t="s">
        <v>8133</v>
      </c>
      <c r="F868" s="59" t="s">
        <v>604</v>
      </c>
    </row>
    <row r="869" customFormat="false" ht="15" hidden="false" customHeight="false" outlineLevel="0" collapsed="false">
      <c r="A869" s="90" t="str">
        <f aca="false">Gov_Map!$H114&amp;""</f>
        <v>SRC_HW_020</v>
      </c>
      <c r="B869" s="71" t="s">
        <v>8132</v>
      </c>
      <c r="C869" s="58" t="n">
        <v>114</v>
      </c>
      <c r="D869" s="58" t="s">
        <v>8133</v>
      </c>
      <c r="E869" s="58" t="s">
        <v>8133</v>
      </c>
      <c r="F869" s="59" t="s">
        <v>604</v>
      </c>
    </row>
    <row r="870" customFormat="false" ht="15" hidden="false" customHeight="false" outlineLevel="0" collapsed="false">
      <c r="A870" s="90" t="str">
        <f aca="false">Gov_Map!$H115&amp;""</f>
        <v>SRC_HW_041</v>
      </c>
      <c r="B870" s="71" t="s">
        <v>8132</v>
      </c>
      <c r="C870" s="58" t="n">
        <v>115</v>
      </c>
      <c r="D870" s="58" t="s">
        <v>8133</v>
      </c>
      <c r="E870" s="58" t="s">
        <v>8133</v>
      </c>
      <c r="F870" s="59" t="s">
        <v>604</v>
      </c>
    </row>
    <row r="871" customFormat="false" ht="15" hidden="false" customHeight="false" outlineLevel="0" collapsed="false">
      <c r="A871" s="90" t="str">
        <f aca="false">Gov_Map!$H116&amp;""</f>
        <v>SRC_HW_026</v>
      </c>
      <c r="B871" s="71" t="s">
        <v>8132</v>
      </c>
      <c r="C871" s="58" t="n">
        <v>116</v>
      </c>
      <c r="D871" s="58" t="s">
        <v>8133</v>
      </c>
      <c r="E871" s="58" t="s">
        <v>8133</v>
      </c>
      <c r="F871" s="59" t="s">
        <v>604</v>
      </c>
    </row>
    <row r="872" customFormat="false" ht="15" hidden="false" customHeight="false" outlineLevel="0" collapsed="false">
      <c r="A872" s="90" t="str">
        <f aca="false">Gov_Map!$H117&amp;""</f>
        <v>SRC_HW_029</v>
      </c>
      <c r="B872" s="71" t="s">
        <v>8132</v>
      </c>
      <c r="C872" s="58" t="n">
        <v>117</v>
      </c>
      <c r="D872" s="58" t="s">
        <v>8133</v>
      </c>
      <c r="E872" s="58" t="s">
        <v>8133</v>
      </c>
      <c r="F872" s="59" t="s">
        <v>604</v>
      </c>
    </row>
    <row r="873" customFormat="false" ht="15" hidden="false" customHeight="false" outlineLevel="0" collapsed="false">
      <c r="A873" s="90" t="str">
        <f aca="false">Gov_Map!$H118&amp;""</f>
        <v>—</v>
      </c>
      <c r="B873" s="71" t="s">
        <v>8132</v>
      </c>
      <c r="C873" s="58" t="n">
        <v>118</v>
      </c>
      <c r="D873" s="58" t="s">
        <v>8133</v>
      </c>
      <c r="E873" s="58" t="s">
        <v>8133</v>
      </c>
      <c r="F873" s="59" t="s">
        <v>604</v>
      </c>
    </row>
    <row r="874" customFormat="false" ht="15" hidden="false" customHeight="false" outlineLevel="0" collapsed="false">
      <c r="A874" s="90" t="str">
        <f aca="false">Gov_Map!$H119&amp;""</f>
        <v>SRC_HW_021</v>
      </c>
      <c r="B874" s="71" t="s">
        <v>8132</v>
      </c>
      <c r="C874" s="58" t="n">
        <v>119</v>
      </c>
      <c r="D874" s="58" t="s">
        <v>8133</v>
      </c>
      <c r="E874" s="58" t="s">
        <v>8133</v>
      </c>
      <c r="F874" s="59" t="s">
        <v>604</v>
      </c>
    </row>
    <row r="875" customFormat="false" ht="15" hidden="false" customHeight="false" outlineLevel="0" collapsed="false">
      <c r="A875" s="90" t="str">
        <f aca="false">Gov_Map!$H120&amp;""</f>
        <v>SRC_HW_023</v>
      </c>
      <c r="B875" s="71" t="s">
        <v>8132</v>
      </c>
      <c r="C875" s="58" t="n">
        <v>120</v>
      </c>
      <c r="D875" s="58" t="s">
        <v>8133</v>
      </c>
      <c r="E875" s="58" t="s">
        <v>8133</v>
      </c>
      <c r="F875" s="59" t="s">
        <v>604</v>
      </c>
    </row>
    <row r="876" customFormat="false" ht="15" hidden="false" customHeight="false" outlineLevel="0" collapsed="false">
      <c r="A876" s="90" t="str">
        <f aca="false">Gov_Map!$H121&amp;""</f>
        <v>SRC_HW_059</v>
      </c>
      <c r="B876" s="71" t="s">
        <v>8132</v>
      </c>
      <c r="C876" s="58" t="n">
        <v>121</v>
      </c>
      <c r="D876" s="58" t="s">
        <v>8133</v>
      </c>
      <c r="E876" s="58" t="s">
        <v>8133</v>
      </c>
      <c r="F876" s="59" t="s">
        <v>604</v>
      </c>
    </row>
    <row r="877" customFormat="false" ht="15" hidden="false" customHeight="false" outlineLevel="0" collapsed="false">
      <c r="A877" s="90" t="str">
        <f aca="false">Gov_Map!$H122&amp;""</f>
        <v>SRC_HW_030</v>
      </c>
      <c r="B877" s="71" t="s">
        <v>8132</v>
      </c>
      <c r="C877" s="58" t="n">
        <v>122</v>
      </c>
      <c r="D877" s="58" t="s">
        <v>8133</v>
      </c>
      <c r="E877" s="58" t="s">
        <v>8133</v>
      </c>
      <c r="F877" s="59" t="s">
        <v>604</v>
      </c>
    </row>
    <row r="878" customFormat="false" ht="15" hidden="false" customHeight="false" outlineLevel="0" collapsed="false">
      <c r="A878" s="90" t="str">
        <f aca="false">Gov_Map!$H123&amp;""</f>
        <v>SRC_HW_044</v>
      </c>
      <c r="B878" s="71" t="s">
        <v>8132</v>
      </c>
      <c r="C878" s="58" t="n">
        <v>123</v>
      </c>
      <c r="D878" s="58" t="s">
        <v>8133</v>
      </c>
      <c r="E878" s="58" t="s">
        <v>8133</v>
      </c>
      <c r="F878" s="59" t="s">
        <v>604</v>
      </c>
    </row>
    <row r="879" customFormat="false" ht="15" hidden="false" customHeight="false" outlineLevel="0" collapsed="false">
      <c r="A879" s="90" t="str">
        <f aca="false">Gov_Map!$H124&amp;""</f>
        <v>SRC_HW_060</v>
      </c>
      <c r="B879" s="71" t="s">
        <v>8132</v>
      </c>
      <c r="C879" s="58" t="n">
        <v>124</v>
      </c>
      <c r="D879" s="58" t="s">
        <v>8133</v>
      </c>
      <c r="E879" s="58" t="s">
        <v>8133</v>
      </c>
      <c r="F879" s="59" t="s">
        <v>604</v>
      </c>
    </row>
    <row r="880" customFormat="false" ht="15" hidden="false" customHeight="false" outlineLevel="0" collapsed="false">
      <c r="A880" s="90" t="str">
        <f aca="false">Gov_Map!$H125&amp;""</f>
        <v>SRC_HW_048</v>
      </c>
      <c r="B880" s="71" t="s">
        <v>8132</v>
      </c>
      <c r="C880" s="58" t="n">
        <v>125</v>
      </c>
      <c r="D880" s="58" t="s">
        <v>8133</v>
      </c>
      <c r="E880" s="58" t="s">
        <v>8133</v>
      </c>
      <c r="F880" s="59" t="s">
        <v>604</v>
      </c>
    </row>
    <row r="881" customFormat="false" ht="15" hidden="false" customHeight="false" outlineLevel="0" collapsed="false">
      <c r="A881" s="90" t="str">
        <f aca="false">Gov_Map!$H126&amp;""</f>
        <v>SRC_HW_048</v>
      </c>
      <c r="B881" s="71" t="s">
        <v>8132</v>
      </c>
      <c r="C881" s="58" t="n">
        <v>126</v>
      </c>
      <c r="D881" s="58" t="s">
        <v>8133</v>
      </c>
      <c r="E881" s="58" t="s">
        <v>8133</v>
      </c>
      <c r="F881" s="59" t="s">
        <v>604</v>
      </c>
    </row>
    <row r="882" customFormat="false" ht="15" hidden="false" customHeight="false" outlineLevel="0" collapsed="false">
      <c r="A882" s="90" t="str">
        <f aca="false">Gov_Map!$H127&amp;""</f>
        <v>SRC_HW_049</v>
      </c>
      <c r="B882" s="71" t="s">
        <v>8132</v>
      </c>
      <c r="C882" s="58" t="n">
        <v>127</v>
      </c>
      <c r="D882" s="58" t="s">
        <v>8133</v>
      </c>
      <c r="E882" s="58" t="s">
        <v>8133</v>
      </c>
      <c r="F882" s="59" t="s">
        <v>604</v>
      </c>
    </row>
    <row r="883" customFormat="false" ht="15" hidden="false" customHeight="false" outlineLevel="0" collapsed="false">
      <c r="A883" s="90" t="str">
        <f aca="false">Gov_Map!$H128&amp;""</f>
        <v>—</v>
      </c>
      <c r="B883" s="71" t="s">
        <v>8132</v>
      </c>
      <c r="C883" s="58" t="n">
        <v>128</v>
      </c>
      <c r="D883" s="58" t="s">
        <v>8133</v>
      </c>
      <c r="E883" s="58" t="s">
        <v>8133</v>
      </c>
      <c r="F883" s="59" t="s">
        <v>604</v>
      </c>
    </row>
    <row r="884" customFormat="false" ht="15" hidden="false" customHeight="false" outlineLevel="0" collapsed="false">
      <c r="A884" s="90" t="str">
        <f aca="false">Gov_Map!$H129&amp;""</f>
        <v>SRC_HW_053</v>
      </c>
      <c r="B884" s="71" t="s">
        <v>8132</v>
      </c>
      <c r="C884" s="58" t="n">
        <v>129</v>
      </c>
      <c r="D884" s="58" t="s">
        <v>8133</v>
      </c>
      <c r="E884" s="58" t="s">
        <v>8133</v>
      </c>
      <c r="F884" s="59" t="s">
        <v>604</v>
      </c>
    </row>
    <row r="885" customFormat="false" ht="15" hidden="false" customHeight="false" outlineLevel="0" collapsed="false">
      <c r="A885" s="90" t="str">
        <f aca="false">Gov_Map!$H130&amp;""</f>
        <v>SRC_HW_047</v>
      </c>
      <c r="B885" s="71" t="s">
        <v>8132</v>
      </c>
      <c r="C885" s="58" t="n">
        <v>130</v>
      </c>
      <c r="D885" s="58" t="s">
        <v>8133</v>
      </c>
      <c r="E885" s="58" t="s">
        <v>8133</v>
      </c>
      <c r="F885" s="59" t="s">
        <v>604</v>
      </c>
    </row>
    <row r="886" customFormat="false" ht="15" hidden="false" customHeight="false" outlineLevel="0" collapsed="false">
      <c r="A886" s="90" t="str">
        <f aca="false">Gov_Map!$H131&amp;""</f>
        <v>SRC_HW_047</v>
      </c>
      <c r="B886" s="71" t="s">
        <v>8132</v>
      </c>
      <c r="C886" s="58" t="n">
        <v>131</v>
      </c>
      <c r="D886" s="58" t="s">
        <v>8133</v>
      </c>
      <c r="E886" s="58" t="s">
        <v>8133</v>
      </c>
      <c r="F886" s="59" t="s">
        <v>604</v>
      </c>
    </row>
    <row r="887" customFormat="false" ht="15" hidden="false" customHeight="false" outlineLevel="0" collapsed="false">
      <c r="A887" s="90" t="str">
        <f aca="false">Gov_Map!$H132&amp;""</f>
        <v>SRC_HW_047</v>
      </c>
      <c r="B887" s="71" t="s">
        <v>8132</v>
      </c>
      <c r="C887" s="58" t="n">
        <v>132</v>
      </c>
      <c r="D887" s="58" t="s">
        <v>8133</v>
      </c>
      <c r="E887" s="58" t="s">
        <v>8133</v>
      </c>
      <c r="F887" s="59" t="s">
        <v>604</v>
      </c>
    </row>
    <row r="888" customFormat="false" ht="15" hidden="false" customHeight="false" outlineLevel="0" collapsed="false">
      <c r="A888" s="90" t="str">
        <f aca="false">Gov_Map!$H133&amp;""</f>
        <v>SRC_HW_062</v>
      </c>
      <c r="B888" s="71" t="s">
        <v>8132</v>
      </c>
      <c r="C888" s="58" t="n">
        <v>133</v>
      </c>
      <c r="D888" s="58" t="s">
        <v>8133</v>
      </c>
      <c r="E888" s="58" t="s">
        <v>8133</v>
      </c>
      <c r="F888" s="59" t="s">
        <v>604</v>
      </c>
    </row>
    <row r="889" customFormat="false" ht="15" hidden="false" customHeight="false" outlineLevel="0" collapsed="false">
      <c r="A889" s="90" t="str">
        <f aca="false">Gov_Map!$H134&amp;""</f>
        <v>SRC_PERF_051</v>
      </c>
      <c r="B889" s="71" t="s">
        <v>8132</v>
      </c>
      <c r="C889" s="58" t="n">
        <v>134</v>
      </c>
      <c r="D889" s="58" t="s">
        <v>8133</v>
      </c>
      <c r="E889" s="58" t="s">
        <v>8133</v>
      </c>
      <c r="F889" s="59" t="s">
        <v>604</v>
      </c>
    </row>
    <row r="890" customFormat="false" ht="15" hidden="false" customHeight="false" outlineLevel="0" collapsed="false">
      <c r="A890" s="90" t="str">
        <f aca="false">Gov_Map!$H135&amp;""</f>
        <v>SRC_PERF_008</v>
      </c>
      <c r="B890" s="71" t="s">
        <v>8132</v>
      </c>
      <c r="C890" s="58" t="n">
        <v>135</v>
      </c>
      <c r="D890" s="58" t="s">
        <v>8133</v>
      </c>
      <c r="E890" s="58" t="s">
        <v>8133</v>
      </c>
      <c r="F890" s="59" t="s">
        <v>604</v>
      </c>
    </row>
    <row r="891" customFormat="false" ht="15" hidden="false" customHeight="false" outlineLevel="0" collapsed="false">
      <c r="A891" s="90" t="str">
        <f aca="false">Gov_Map!$H136&amp;""</f>
        <v>SRC_PERF_008</v>
      </c>
      <c r="B891" s="71" t="s">
        <v>8132</v>
      </c>
      <c r="C891" s="58" t="n">
        <v>136</v>
      </c>
      <c r="D891" s="58" t="s">
        <v>8133</v>
      </c>
      <c r="E891" s="58" t="s">
        <v>8133</v>
      </c>
      <c r="F891" s="59" t="s">
        <v>604</v>
      </c>
    </row>
    <row r="892" customFormat="false" ht="15" hidden="false" customHeight="false" outlineLevel="0" collapsed="false">
      <c r="A892" s="90" t="str">
        <f aca="false">Gov_Map!$H137&amp;""</f>
        <v>SRC_PERF_008</v>
      </c>
      <c r="B892" s="71" t="s">
        <v>8132</v>
      </c>
      <c r="C892" s="58" t="n">
        <v>137</v>
      </c>
      <c r="D892" s="58" t="s">
        <v>8133</v>
      </c>
      <c r="E892" s="58" t="s">
        <v>8133</v>
      </c>
      <c r="F892" s="59" t="s">
        <v>604</v>
      </c>
    </row>
    <row r="893" customFormat="false" ht="15" hidden="false" customHeight="false" outlineLevel="0" collapsed="false">
      <c r="A893" s="90" t="str">
        <f aca="false">Gov_Map!$H138&amp;""</f>
        <v>—</v>
      </c>
      <c r="B893" s="71" t="s">
        <v>8132</v>
      </c>
      <c r="C893" s="58" t="n">
        <v>138</v>
      </c>
      <c r="D893" s="58" t="s">
        <v>8133</v>
      </c>
      <c r="E893" s="58" t="s">
        <v>8133</v>
      </c>
      <c r="F893" s="59" t="s">
        <v>604</v>
      </c>
    </row>
    <row r="894" customFormat="false" ht="15" hidden="false" customHeight="false" outlineLevel="0" collapsed="false">
      <c r="A894" s="90" t="str">
        <f aca="false">Gov_Map!$H139&amp;""</f>
        <v>SRC_HW_055</v>
      </c>
      <c r="B894" s="71" t="s">
        <v>8132</v>
      </c>
      <c r="C894" s="58" t="n">
        <v>139</v>
      </c>
      <c r="D894" s="58" t="s">
        <v>8133</v>
      </c>
      <c r="E894" s="58" t="s">
        <v>8133</v>
      </c>
      <c r="F894" s="59" t="s">
        <v>604</v>
      </c>
    </row>
    <row r="895" customFormat="false" ht="15" hidden="false" customHeight="false" outlineLevel="0" collapsed="false">
      <c r="A895" s="90" t="str">
        <f aca="false">Gov_Map!$H140&amp;""</f>
        <v>SRC_HW_050</v>
      </c>
      <c r="B895" s="71" t="s">
        <v>8132</v>
      </c>
      <c r="C895" s="58" t="n">
        <v>140</v>
      </c>
      <c r="D895" s="58" t="s">
        <v>8133</v>
      </c>
      <c r="E895" s="58" t="s">
        <v>8133</v>
      </c>
      <c r="F895" s="59" t="s">
        <v>604</v>
      </c>
    </row>
    <row r="896" customFormat="false" ht="15" hidden="false" customHeight="false" outlineLevel="0" collapsed="false">
      <c r="A896" s="90" t="str">
        <f aca="false">Gov_Map!$H141&amp;""</f>
        <v>SRC_HW_050</v>
      </c>
      <c r="B896" s="71" t="s">
        <v>8132</v>
      </c>
      <c r="C896" s="58" t="n">
        <v>141</v>
      </c>
      <c r="D896" s="58" t="s">
        <v>8133</v>
      </c>
      <c r="E896" s="58" t="s">
        <v>8133</v>
      </c>
      <c r="F896" s="59" t="s">
        <v>604</v>
      </c>
    </row>
    <row r="897" customFormat="false" ht="15" hidden="false" customHeight="false" outlineLevel="0" collapsed="false">
      <c r="A897" s="90" t="str">
        <f aca="false">Gov_Map!$H142&amp;""</f>
        <v>SRC_HW_050</v>
      </c>
      <c r="B897" s="71" t="s">
        <v>8132</v>
      </c>
      <c r="C897" s="58" t="n">
        <v>142</v>
      </c>
      <c r="D897" s="58" t="s">
        <v>8133</v>
      </c>
      <c r="E897" s="58" t="s">
        <v>8133</v>
      </c>
      <c r="F897" s="59" t="s">
        <v>604</v>
      </c>
    </row>
    <row r="898" customFormat="false" ht="15" hidden="false" customHeight="false" outlineLevel="0" collapsed="false">
      <c r="A898" s="90" t="str">
        <f aca="false">Gov_Map!$H143&amp;""</f>
        <v>SRC_HW_050</v>
      </c>
      <c r="B898" s="71" t="s">
        <v>8132</v>
      </c>
      <c r="C898" s="58" t="n">
        <v>143</v>
      </c>
      <c r="D898" s="58" t="s">
        <v>8133</v>
      </c>
      <c r="E898" s="58" t="s">
        <v>8133</v>
      </c>
      <c r="F898" s="59" t="s">
        <v>604</v>
      </c>
    </row>
    <row r="899" customFormat="false" ht="15" hidden="false" customHeight="false" outlineLevel="0" collapsed="false">
      <c r="A899" s="90" t="str">
        <f aca="false">Gov_Map!$H144&amp;""</f>
        <v>—</v>
      </c>
      <c r="B899" s="71" t="s">
        <v>8132</v>
      </c>
      <c r="C899" s="58" t="n">
        <v>144</v>
      </c>
      <c r="D899" s="58" t="s">
        <v>8133</v>
      </c>
      <c r="E899" s="58" t="s">
        <v>8133</v>
      </c>
      <c r="F899" s="59" t="s">
        <v>604</v>
      </c>
    </row>
    <row r="900" customFormat="false" ht="15" hidden="false" customHeight="false" outlineLevel="0" collapsed="false">
      <c r="A900" s="90" t="str">
        <f aca="false">Gov_Map!$H145&amp;""</f>
        <v>—</v>
      </c>
      <c r="B900" s="71" t="s">
        <v>8132</v>
      </c>
      <c r="C900" s="58" t="n">
        <v>145</v>
      </c>
      <c r="D900" s="58" t="s">
        <v>8133</v>
      </c>
      <c r="E900" s="58" t="s">
        <v>8133</v>
      </c>
      <c r="F900" s="59" t="s">
        <v>604</v>
      </c>
    </row>
    <row r="901" customFormat="false" ht="15" hidden="false" customHeight="false" outlineLevel="0" collapsed="false">
      <c r="A901" s="90" t="str">
        <f aca="false">Gov_Map!$H146&amp;""</f>
        <v>—</v>
      </c>
      <c r="B901" s="71" t="s">
        <v>8132</v>
      </c>
      <c r="C901" s="58" t="n">
        <v>146</v>
      </c>
      <c r="D901" s="58" t="s">
        <v>8133</v>
      </c>
      <c r="E901" s="58" t="s">
        <v>8133</v>
      </c>
      <c r="F901" s="59" t="s">
        <v>604</v>
      </c>
    </row>
    <row r="902" customFormat="false" ht="15" hidden="false" customHeight="false" outlineLevel="0" collapsed="false">
      <c r="A902" s="90" t="str">
        <f aca="false">Gov_Map!$H147&amp;""</f>
        <v>—</v>
      </c>
      <c r="B902" s="71" t="s">
        <v>8132</v>
      </c>
      <c r="C902" s="58" t="n">
        <v>147</v>
      </c>
      <c r="D902" s="58" t="s">
        <v>8133</v>
      </c>
      <c r="E902" s="58" t="s">
        <v>8133</v>
      </c>
      <c r="F902" s="59" t="s">
        <v>604</v>
      </c>
    </row>
    <row r="903" customFormat="false" ht="15" hidden="false" customHeight="false" outlineLevel="0" collapsed="false">
      <c r="A903" s="90" t="str">
        <f aca="false">Gov_Map!$H148&amp;""</f>
        <v>—</v>
      </c>
      <c r="B903" s="71" t="s">
        <v>8132</v>
      </c>
      <c r="C903" s="58" t="n">
        <v>148</v>
      </c>
      <c r="D903" s="58" t="s">
        <v>8133</v>
      </c>
      <c r="E903" s="58" t="s">
        <v>8133</v>
      </c>
      <c r="F903" s="59" t="s">
        <v>604</v>
      </c>
    </row>
    <row r="904" customFormat="false" ht="15" hidden="false" customHeight="false" outlineLevel="0" collapsed="false">
      <c r="A904" s="90" t="str">
        <f aca="false">Gov_Map!$H149&amp;""</f>
        <v>—</v>
      </c>
      <c r="B904" s="71" t="s">
        <v>8132</v>
      </c>
      <c r="C904" s="58" t="n">
        <v>149</v>
      </c>
      <c r="D904" s="58" t="s">
        <v>8133</v>
      </c>
      <c r="E904" s="58" t="s">
        <v>8133</v>
      </c>
      <c r="F904" s="59" t="s">
        <v>604</v>
      </c>
    </row>
    <row r="905" customFormat="false" ht="15" hidden="false" customHeight="false" outlineLevel="0" collapsed="false">
      <c r="A905" s="90" t="str">
        <f aca="false">Gov_Map!$H150&amp;""</f>
        <v>SRC_PERF_007</v>
      </c>
      <c r="B905" s="71" t="s">
        <v>8132</v>
      </c>
      <c r="C905" s="58" t="n">
        <v>150</v>
      </c>
      <c r="D905" s="58" t="s">
        <v>8133</v>
      </c>
      <c r="E905" s="58" t="s">
        <v>8133</v>
      </c>
      <c r="F905" s="59" t="s">
        <v>604</v>
      </c>
    </row>
    <row r="906" customFormat="false" ht="15" hidden="false" customHeight="false" outlineLevel="0" collapsed="false">
      <c r="A906" s="90" t="str">
        <f aca="false">Gov_Map!$H151&amp;""</f>
        <v>SRC_PERF_007</v>
      </c>
      <c r="B906" s="71" t="s">
        <v>8132</v>
      </c>
      <c r="C906" s="58" t="n">
        <v>151</v>
      </c>
      <c r="D906" s="58" t="s">
        <v>8133</v>
      </c>
      <c r="E906" s="58" t="s">
        <v>8133</v>
      </c>
      <c r="F906" s="59" t="s">
        <v>604</v>
      </c>
    </row>
    <row r="907" customFormat="false" ht="15" hidden="false" customHeight="false" outlineLevel="0" collapsed="false">
      <c r="A907" s="90" t="str">
        <f aca="false">Gov_Map!$H152&amp;""</f>
        <v>SRC_PERF_007</v>
      </c>
      <c r="B907" s="71" t="s">
        <v>8132</v>
      </c>
      <c r="C907" s="58" t="n">
        <v>152</v>
      </c>
      <c r="D907" s="58" t="s">
        <v>8133</v>
      </c>
      <c r="E907" s="58" t="s">
        <v>8133</v>
      </c>
      <c r="F907" s="59" t="s">
        <v>604</v>
      </c>
    </row>
    <row r="908" customFormat="false" ht="15" hidden="false" customHeight="false" outlineLevel="0" collapsed="false">
      <c r="A908" s="90" t="str">
        <f aca="false">Gov_Map!$H153&amp;""</f>
        <v>—</v>
      </c>
      <c r="B908" s="71" t="s">
        <v>8132</v>
      </c>
      <c r="C908" s="58" t="n">
        <v>153</v>
      </c>
      <c r="D908" s="58" t="s">
        <v>8133</v>
      </c>
      <c r="E908" s="58" t="s">
        <v>8133</v>
      </c>
      <c r="F908" s="59" t="s">
        <v>604</v>
      </c>
    </row>
    <row r="909" customFormat="false" ht="15" hidden="false" customHeight="false" outlineLevel="0" collapsed="false">
      <c r="A909" s="90" t="str">
        <f aca="false">Gov_Map!$H154&amp;""</f>
        <v>SRC_HW_056</v>
      </c>
      <c r="B909" s="71" t="s">
        <v>8132</v>
      </c>
      <c r="C909" s="58" t="n">
        <v>154</v>
      </c>
      <c r="D909" s="58" t="s">
        <v>8133</v>
      </c>
      <c r="E909" s="58" t="s">
        <v>8133</v>
      </c>
      <c r="F909" s="59" t="s">
        <v>604</v>
      </c>
    </row>
    <row r="910" customFormat="false" ht="15" hidden="false" customHeight="false" outlineLevel="0" collapsed="false">
      <c r="A910" s="90" t="str">
        <f aca="false">Gov_Map!$H155&amp;""</f>
        <v>SRC_HW_057</v>
      </c>
      <c r="B910" s="71" t="s">
        <v>8132</v>
      </c>
      <c r="C910" s="58" t="n">
        <v>155</v>
      </c>
      <c r="D910" s="58" t="s">
        <v>8133</v>
      </c>
      <c r="E910" s="58" t="s">
        <v>8133</v>
      </c>
      <c r="F910" s="59" t="s">
        <v>604</v>
      </c>
    </row>
    <row r="911" customFormat="false" ht="15" hidden="false" customHeight="false" outlineLevel="0" collapsed="false">
      <c r="A911" s="90" t="str">
        <f aca="false">Gov_Map!$H156&amp;""</f>
        <v>SRC_HW_058</v>
      </c>
      <c r="B911" s="71" t="s">
        <v>8132</v>
      </c>
      <c r="C911" s="58" t="n">
        <v>156</v>
      </c>
      <c r="D911" s="58" t="s">
        <v>8133</v>
      </c>
      <c r="E911" s="58" t="s">
        <v>8133</v>
      </c>
      <c r="F911" s="59" t="s">
        <v>604</v>
      </c>
    </row>
    <row r="912" customFormat="false" ht="15" hidden="false" customHeight="false" outlineLevel="0" collapsed="false">
      <c r="A912" s="90" t="str">
        <f aca="false">Gov_Map!$H157&amp;""</f>
        <v>SRC_HW_046</v>
      </c>
      <c r="B912" s="71" t="s">
        <v>8132</v>
      </c>
      <c r="C912" s="58" t="n">
        <v>157</v>
      </c>
      <c r="D912" s="58" t="s">
        <v>8133</v>
      </c>
      <c r="E912" s="58" t="s">
        <v>8133</v>
      </c>
      <c r="F912" s="59" t="s">
        <v>604</v>
      </c>
    </row>
    <row r="913" customFormat="false" ht="15" hidden="false" customHeight="false" outlineLevel="0" collapsed="false">
      <c r="A913" s="90" t="str">
        <f aca="false">Gov_Map!$H158&amp;""</f>
        <v>—</v>
      </c>
      <c r="B913" s="71" t="s">
        <v>8132</v>
      </c>
      <c r="C913" s="58" t="n">
        <v>158</v>
      </c>
      <c r="D913" s="58" t="s">
        <v>8133</v>
      </c>
      <c r="E913" s="58" t="s">
        <v>8133</v>
      </c>
      <c r="F913" s="59" t="s">
        <v>604</v>
      </c>
    </row>
    <row r="914" customFormat="false" ht="15" hidden="false" customHeight="false" outlineLevel="0" collapsed="false">
      <c r="A914" s="90" t="str">
        <f aca="false">Gov_Map!$H159&amp;""</f>
        <v>SRC_HW_032</v>
      </c>
      <c r="B914" s="71" t="s">
        <v>8132</v>
      </c>
      <c r="C914" s="58" t="n">
        <v>159</v>
      </c>
      <c r="D914" s="58" t="s">
        <v>8133</v>
      </c>
      <c r="E914" s="58" t="s">
        <v>8133</v>
      </c>
      <c r="F914" s="59" t="s">
        <v>604</v>
      </c>
    </row>
    <row r="915" customFormat="false" ht="15" hidden="false" customHeight="false" outlineLevel="0" collapsed="false">
      <c r="A915" s="90" t="str">
        <f aca="false">Gov_Map!$H160&amp;""</f>
        <v>SRC_HW_033</v>
      </c>
      <c r="B915" s="71" t="s">
        <v>8132</v>
      </c>
      <c r="C915" s="58" t="n">
        <v>160</v>
      </c>
      <c r="D915" s="58" t="s">
        <v>8133</v>
      </c>
      <c r="E915" s="58" t="s">
        <v>8133</v>
      </c>
      <c r="F915" s="59" t="s">
        <v>604</v>
      </c>
    </row>
    <row r="916" customFormat="false" ht="15" hidden="false" customHeight="false" outlineLevel="0" collapsed="false">
      <c r="A916" s="90" t="str">
        <f aca="false">Gov_Map!$H161&amp;""</f>
        <v>SRC_HW_033</v>
      </c>
      <c r="B916" s="71" t="s">
        <v>8132</v>
      </c>
      <c r="C916" s="58" t="n">
        <v>161</v>
      </c>
      <c r="D916" s="58" t="s">
        <v>8133</v>
      </c>
      <c r="E916" s="58" t="s">
        <v>8133</v>
      </c>
      <c r="F916" s="59" t="s">
        <v>604</v>
      </c>
    </row>
    <row r="917" customFormat="false" ht="15" hidden="false" customHeight="false" outlineLevel="0" collapsed="false">
      <c r="A917" s="90" t="str">
        <f aca="false">Gov_Map!$H162&amp;""</f>
        <v>SRC_HW_034</v>
      </c>
      <c r="B917" s="71" t="s">
        <v>8132</v>
      </c>
      <c r="C917" s="58" t="n">
        <v>162</v>
      </c>
      <c r="D917" s="58" t="s">
        <v>8133</v>
      </c>
      <c r="E917" s="58" t="s">
        <v>8133</v>
      </c>
      <c r="F917" s="59" t="s">
        <v>604</v>
      </c>
    </row>
    <row r="918" customFormat="false" ht="15" hidden="false" customHeight="false" outlineLevel="0" collapsed="false">
      <c r="A918" s="90" t="str">
        <f aca="false">Gov_Map!$H163&amp;""</f>
        <v>—</v>
      </c>
      <c r="B918" s="71" t="s">
        <v>8132</v>
      </c>
      <c r="C918" s="58" t="n">
        <v>163</v>
      </c>
      <c r="D918" s="58" t="s">
        <v>8133</v>
      </c>
      <c r="E918" s="58" t="s">
        <v>8133</v>
      </c>
      <c r="F918" s="59" t="s">
        <v>604</v>
      </c>
    </row>
    <row r="919" customFormat="false" ht="15" hidden="false" customHeight="false" outlineLevel="0" collapsed="false">
      <c r="A919" s="90" t="str">
        <f aca="false">Gov_Map!$H164&amp;""</f>
        <v>SRC_HW_019</v>
      </c>
      <c r="B919" s="71" t="s">
        <v>8132</v>
      </c>
      <c r="C919" s="58" t="n">
        <v>164</v>
      </c>
      <c r="D919" s="58" t="s">
        <v>8133</v>
      </c>
      <c r="E919" s="58" t="s">
        <v>8133</v>
      </c>
      <c r="F919" s="59" t="s">
        <v>604</v>
      </c>
    </row>
    <row r="920" customFormat="false" ht="15" hidden="false" customHeight="false" outlineLevel="0" collapsed="false">
      <c r="A920" s="90" t="str">
        <f aca="false">Gov_Map!$H165&amp;""</f>
        <v>SRC_HW_042</v>
      </c>
      <c r="B920" s="71" t="s">
        <v>8132</v>
      </c>
      <c r="C920" s="58" t="n">
        <v>165</v>
      </c>
      <c r="D920" s="58" t="s">
        <v>8133</v>
      </c>
      <c r="E920" s="58" t="s">
        <v>8133</v>
      </c>
      <c r="F920" s="59" t="s">
        <v>604</v>
      </c>
    </row>
    <row r="921" customFormat="false" ht="15" hidden="false" customHeight="false" outlineLevel="0" collapsed="false">
      <c r="A921" s="90" t="str">
        <f aca="false">Gov_Map!$H166&amp;""</f>
        <v>SRC_HW_042</v>
      </c>
      <c r="B921" s="71" t="s">
        <v>8132</v>
      </c>
      <c r="C921" s="58" t="n">
        <v>166</v>
      </c>
      <c r="D921" s="58" t="s">
        <v>8133</v>
      </c>
      <c r="E921" s="58" t="s">
        <v>8133</v>
      </c>
      <c r="F921" s="59" t="s">
        <v>604</v>
      </c>
    </row>
    <row r="922" customFormat="false" ht="15" hidden="false" customHeight="false" outlineLevel="0" collapsed="false">
      <c r="A922" s="90" t="str">
        <f aca="false">Gov_Map!$H167&amp;""</f>
        <v>SRC_HW_039</v>
      </c>
      <c r="B922" s="71" t="s">
        <v>8132</v>
      </c>
      <c r="C922" s="58" t="n">
        <v>167</v>
      </c>
      <c r="D922" s="58" t="s">
        <v>8133</v>
      </c>
      <c r="E922" s="58" t="s">
        <v>8133</v>
      </c>
      <c r="F922" s="59" t="s">
        <v>604</v>
      </c>
    </row>
    <row r="923" customFormat="false" ht="15" hidden="false" customHeight="false" outlineLevel="0" collapsed="false">
      <c r="A923" s="90" t="str">
        <f aca="false">Gov_Map!$H168&amp;""</f>
        <v>—</v>
      </c>
      <c r="B923" s="71" t="s">
        <v>8132</v>
      </c>
      <c r="C923" s="58" t="n">
        <v>168</v>
      </c>
      <c r="D923" s="58" t="s">
        <v>8133</v>
      </c>
      <c r="E923" s="58" t="s">
        <v>8133</v>
      </c>
      <c r="F923" s="59" t="s">
        <v>604</v>
      </c>
    </row>
    <row r="924" customFormat="false" ht="15" hidden="false" customHeight="false" outlineLevel="0" collapsed="false">
      <c r="A924" s="90" t="str">
        <f aca="false">Gov_Map!$H169&amp;""</f>
        <v>SRC_HW_040</v>
      </c>
      <c r="B924" s="71" t="s">
        <v>8132</v>
      </c>
      <c r="C924" s="58" t="n">
        <v>169</v>
      </c>
      <c r="D924" s="58" t="s">
        <v>8133</v>
      </c>
      <c r="E924" s="58" t="s">
        <v>8133</v>
      </c>
      <c r="F924" s="59" t="s">
        <v>604</v>
      </c>
    </row>
    <row r="925" customFormat="false" ht="15" hidden="false" customHeight="false" outlineLevel="0" collapsed="false">
      <c r="A925" s="90" t="str">
        <f aca="false">Gov_Map!$H170&amp;""</f>
        <v>SRC_HW_043</v>
      </c>
      <c r="B925" s="71" t="s">
        <v>8132</v>
      </c>
      <c r="C925" s="58" t="n">
        <v>170</v>
      </c>
      <c r="D925" s="58" t="s">
        <v>8133</v>
      </c>
      <c r="E925" s="58" t="s">
        <v>8133</v>
      </c>
      <c r="F925" s="59" t="s">
        <v>604</v>
      </c>
    </row>
    <row r="926" customFormat="false" ht="15" hidden="false" customHeight="false" outlineLevel="0" collapsed="false">
      <c r="A926" s="90" t="str">
        <f aca="false">Gov_Map!$H171&amp;""</f>
        <v>SRC_HW_043</v>
      </c>
      <c r="B926" s="71" t="s">
        <v>8132</v>
      </c>
      <c r="C926" s="58" t="n">
        <v>171</v>
      </c>
      <c r="D926" s="58" t="s">
        <v>8133</v>
      </c>
      <c r="E926" s="58" t="s">
        <v>8133</v>
      </c>
      <c r="F926" s="59" t="s">
        <v>604</v>
      </c>
    </row>
    <row r="927" customFormat="false" ht="15" hidden="false" customHeight="false" outlineLevel="0" collapsed="false">
      <c r="A927" s="90" t="str">
        <f aca="false">Gov_Map!$H172&amp;""</f>
        <v>SRC_HW_038</v>
      </c>
      <c r="B927" s="71" t="s">
        <v>8132</v>
      </c>
      <c r="C927" s="58" t="n">
        <v>172</v>
      </c>
      <c r="D927" s="58" t="s">
        <v>8133</v>
      </c>
      <c r="E927" s="58" t="s">
        <v>8133</v>
      </c>
      <c r="F927" s="59" t="s">
        <v>604</v>
      </c>
    </row>
    <row r="928" customFormat="false" ht="15" hidden="false" customHeight="false" outlineLevel="0" collapsed="false">
      <c r="A928" s="90" t="str">
        <f aca="false">Gov_Map!$H173&amp;""</f>
        <v>SRC_HW_063</v>
      </c>
      <c r="B928" s="71" t="s">
        <v>8132</v>
      </c>
      <c r="C928" s="58" t="n">
        <v>173</v>
      </c>
      <c r="D928" s="58" t="s">
        <v>8133</v>
      </c>
      <c r="E928" s="58" t="s">
        <v>8133</v>
      </c>
      <c r="F928" s="59" t="s">
        <v>604</v>
      </c>
    </row>
    <row r="929" customFormat="false" ht="15" hidden="false" customHeight="false" outlineLevel="0" collapsed="false">
      <c r="A929" s="90" t="str">
        <f aca="false">Gov_Map!$H174&amp;""</f>
        <v>—</v>
      </c>
      <c r="B929" s="71" t="s">
        <v>8132</v>
      </c>
      <c r="C929" s="58" t="n">
        <v>174</v>
      </c>
      <c r="D929" s="58" t="s">
        <v>8133</v>
      </c>
      <c r="E929" s="58" t="s">
        <v>8133</v>
      </c>
      <c r="F929" s="59" t="s">
        <v>604</v>
      </c>
    </row>
    <row r="930" customFormat="false" ht="15" hidden="false" customHeight="false" outlineLevel="0" collapsed="false">
      <c r="A930" s="90" t="str">
        <f aca="false">Gov_Map!$H175&amp;""</f>
        <v>SRC_HW_037</v>
      </c>
      <c r="B930" s="71" t="s">
        <v>8132</v>
      </c>
      <c r="C930" s="58" t="n">
        <v>175</v>
      </c>
      <c r="D930" s="58" t="s">
        <v>8133</v>
      </c>
      <c r="E930" s="58" t="s">
        <v>8133</v>
      </c>
      <c r="F930" s="59" t="s">
        <v>604</v>
      </c>
    </row>
    <row r="931" customFormat="false" ht="15" hidden="false" customHeight="false" outlineLevel="0" collapsed="false">
      <c r="A931" s="90" t="str">
        <f aca="false">Gov_Map!$H176&amp;""</f>
        <v>—</v>
      </c>
      <c r="B931" s="71" t="s">
        <v>8132</v>
      </c>
      <c r="C931" s="58" t="n">
        <v>176</v>
      </c>
      <c r="D931" s="58" t="s">
        <v>8133</v>
      </c>
      <c r="E931" s="58" t="s">
        <v>8133</v>
      </c>
      <c r="F931" s="59" t="s">
        <v>604</v>
      </c>
    </row>
    <row r="932" customFormat="false" ht="15" hidden="false" customHeight="false" outlineLevel="0" collapsed="false">
      <c r="A932" s="90" t="str">
        <f aca="false">Gov_Map!$H177&amp;""</f>
        <v>SRC_HW_037</v>
      </c>
      <c r="B932" s="71" t="s">
        <v>8132</v>
      </c>
      <c r="C932" s="58" t="n">
        <v>177</v>
      </c>
      <c r="D932" s="58" t="s">
        <v>8133</v>
      </c>
      <c r="E932" s="58" t="s">
        <v>8133</v>
      </c>
      <c r="F932" s="59" t="s">
        <v>604</v>
      </c>
    </row>
    <row r="933" customFormat="false" ht="15" hidden="false" customHeight="false" outlineLevel="0" collapsed="false">
      <c r="A933" s="90" t="str">
        <f aca="false">Gov_Map!$H178&amp;""</f>
        <v>—</v>
      </c>
      <c r="B933" s="71" t="s">
        <v>8132</v>
      </c>
      <c r="C933" s="58" t="n">
        <v>178</v>
      </c>
      <c r="D933" s="58" t="s">
        <v>8133</v>
      </c>
      <c r="E933" s="58" t="s">
        <v>8133</v>
      </c>
      <c r="F933" s="59" t="s">
        <v>604</v>
      </c>
    </row>
    <row r="934" customFormat="false" ht="15" hidden="false" customHeight="false" outlineLevel="0" collapsed="false">
      <c r="A934" s="90" t="str">
        <f aca="false">Gov_Map!$H179&amp;""</f>
        <v>SRC_MOD_005</v>
      </c>
      <c r="B934" s="71" t="s">
        <v>8132</v>
      </c>
      <c r="C934" s="58" t="n">
        <v>179</v>
      </c>
      <c r="D934" s="58" t="s">
        <v>8133</v>
      </c>
      <c r="E934" s="58" t="s">
        <v>8133</v>
      </c>
      <c r="F934" s="59" t="s">
        <v>604</v>
      </c>
    </row>
    <row r="935" customFormat="false" ht="15" hidden="false" customHeight="false" outlineLevel="0" collapsed="false">
      <c r="A935" s="90" t="str">
        <f aca="false">Gov_Map!$H180&amp;""</f>
        <v>SRC_MOD_001</v>
      </c>
      <c r="B935" s="71" t="s">
        <v>8132</v>
      </c>
      <c r="C935" s="58" t="n">
        <v>180</v>
      </c>
      <c r="D935" s="58" t="s">
        <v>8133</v>
      </c>
      <c r="E935" s="58" t="s">
        <v>8133</v>
      </c>
      <c r="F935" s="59" t="s">
        <v>604</v>
      </c>
    </row>
    <row r="936" customFormat="false" ht="15" hidden="false" customHeight="false" outlineLevel="0" collapsed="false">
      <c r="A936" s="90" t="str">
        <f aca="false">Gov_Map!$H181&amp;""</f>
        <v>SRC_MOD_006</v>
      </c>
      <c r="B936" s="71" t="s">
        <v>8132</v>
      </c>
      <c r="C936" s="58" t="n">
        <v>181</v>
      </c>
      <c r="D936" s="58" t="s">
        <v>8133</v>
      </c>
      <c r="E936" s="58" t="s">
        <v>8133</v>
      </c>
      <c r="F936" s="59" t="s">
        <v>604</v>
      </c>
    </row>
    <row r="937" customFormat="false" ht="15" hidden="false" customHeight="false" outlineLevel="0" collapsed="false">
      <c r="A937" s="90" t="str">
        <f aca="false">Gov_Map!$H182&amp;""</f>
        <v>SRC_MOD_002</v>
      </c>
      <c r="B937" s="71" t="s">
        <v>8132</v>
      </c>
      <c r="C937" s="58" t="n">
        <v>182</v>
      </c>
      <c r="D937" s="58" t="s">
        <v>8133</v>
      </c>
      <c r="E937" s="58" t="s">
        <v>8133</v>
      </c>
      <c r="F937" s="59" t="s">
        <v>604</v>
      </c>
    </row>
    <row r="938" customFormat="false" ht="15" hidden="false" customHeight="false" outlineLevel="0" collapsed="false">
      <c r="A938" s="90" t="str">
        <f aca="false">Gov_Map!$H183&amp;""</f>
        <v>SRC_MOD_007</v>
      </c>
      <c r="B938" s="71" t="s">
        <v>8132</v>
      </c>
      <c r="C938" s="58" t="n">
        <v>183</v>
      </c>
      <c r="D938" s="58" t="s">
        <v>8133</v>
      </c>
      <c r="E938" s="58" t="s">
        <v>8133</v>
      </c>
      <c r="F938" s="59" t="s">
        <v>604</v>
      </c>
    </row>
    <row r="939" customFormat="false" ht="15" hidden="false" customHeight="false" outlineLevel="0" collapsed="false">
      <c r="A939" s="90" t="str">
        <f aca="false">Gov_Map!$H184&amp;""</f>
        <v>SRC_MOD_003</v>
      </c>
      <c r="B939" s="71" t="s">
        <v>8132</v>
      </c>
      <c r="C939" s="58" t="n">
        <v>184</v>
      </c>
      <c r="D939" s="58" t="s">
        <v>8133</v>
      </c>
      <c r="E939" s="58" t="s">
        <v>8133</v>
      </c>
      <c r="F939" s="59" t="s">
        <v>604</v>
      </c>
    </row>
    <row r="940" customFormat="false" ht="15" hidden="false" customHeight="false" outlineLevel="0" collapsed="false">
      <c r="A940" s="90" t="str">
        <f aca="false">Gov_Map!$H185&amp;""</f>
        <v>SRC_MOD_009</v>
      </c>
      <c r="B940" s="71" t="s">
        <v>8132</v>
      </c>
      <c r="C940" s="58" t="n">
        <v>185</v>
      </c>
      <c r="D940" s="58" t="s">
        <v>8133</v>
      </c>
      <c r="E940" s="58" t="s">
        <v>8133</v>
      </c>
      <c r="F940" s="59" t="s">
        <v>604</v>
      </c>
    </row>
    <row r="941" customFormat="false" ht="15" hidden="false" customHeight="false" outlineLevel="0" collapsed="false">
      <c r="A941" s="90" t="str">
        <f aca="false">Gov_Map!$H186&amp;""</f>
        <v>SRC_MOD_009</v>
      </c>
      <c r="B941" s="71" t="s">
        <v>8132</v>
      </c>
      <c r="C941" s="58" t="n">
        <v>186</v>
      </c>
      <c r="D941" s="58" t="s">
        <v>8133</v>
      </c>
      <c r="E941" s="58" t="s">
        <v>8133</v>
      </c>
      <c r="F941" s="59" t="s">
        <v>604</v>
      </c>
    </row>
    <row r="942" customFormat="false" ht="15" hidden="false" customHeight="false" outlineLevel="0" collapsed="false">
      <c r="A942" s="90" t="str">
        <f aca="false">Gov_Map!$H187&amp;""</f>
        <v>SRC_MOD_010</v>
      </c>
      <c r="B942" s="71" t="s">
        <v>8132</v>
      </c>
      <c r="C942" s="58" t="n">
        <v>187</v>
      </c>
      <c r="D942" s="58" t="s">
        <v>8133</v>
      </c>
      <c r="E942" s="58" t="s">
        <v>8133</v>
      </c>
      <c r="F942" s="59" t="s">
        <v>604</v>
      </c>
    </row>
    <row r="943" customFormat="false" ht="15" hidden="false" customHeight="false" outlineLevel="0" collapsed="false">
      <c r="A943" s="90" t="str">
        <f aca="false">Gov_Map!$H188&amp;""</f>
        <v>SRC_MOD_011</v>
      </c>
      <c r="B943" s="71" t="s">
        <v>8132</v>
      </c>
      <c r="C943" s="58" t="n">
        <v>188</v>
      </c>
      <c r="D943" s="58" t="s">
        <v>8133</v>
      </c>
      <c r="E943" s="58" t="s">
        <v>8133</v>
      </c>
      <c r="F943" s="59" t="s">
        <v>604</v>
      </c>
    </row>
    <row r="944" customFormat="false" ht="15" hidden="false" customHeight="false" outlineLevel="0" collapsed="false">
      <c r="A944" s="90" t="str">
        <f aca="false">Gov_Map!$H189&amp;""</f>
        <v>SRC_MOD_012</v>
      </c>
      <c r="B944" s="71" t="s">
        <v>8132</v>
      </c>
      <c r="C944" s="58" t="n">
        <v>189</v>
      </c>
      <c r="D944" s="58" t="s">
        <v>8133</v>
      </c>
      <c r="E944" s="58" t="s">
        <v>8133</v>
      </c>
      <c r="F944" s="59" t="s">
        <v>604</v>
      </c>
    </row>
    <row r="945" customFormat="false" ht="15" hidden="false" customHeight="false" outlineLevel="0" collapsed="false">
      <c r="A945" s="90" t="str">
        <f aca="false">Gov_Map!$H190&amp;""</f>
        <v>SRC_MOD_012</v>
      </c>
      <c r="B945" s="71" t="s">
        <v>8132</v>
      </c>
      <c r="C945" s="58" t="n">
        <v>190</v>
      </c>
      <c r="D945" s="58" t="s">
        <v>8133</v>
      </c>
      <c r="E945" s="58" t="s">
        <v>8133</v>
      </c>
      <c r="F945" s="59" t="s">
        <v>604</v>
      </c>
    </row>
    <row r="946" customFormat="false" ht="15" hidden="false" customHeight="false" outlineLevel="0" collapsed="false">
      <c r="A946" s="90" t="str">
        <f aca="false">Gov_Map!$H191&amp;""</f>
        <v>SRC_MOD_013</v>
      </c>
      <c r="B946" s="71" t="s">
        <v>8132</v>
      </c>
      <c r="C946" s="58" t="n">
        <v>191</v>
      </c>
      <c r="D946" s="58" t="s">
        <v>8133</v>
      </c>
      <c r="E946" s="58" t="s">
        <v>8133</v>
      </c>
      <c r="F946" s="59" t="s">
        <v>604</v>
      </c>
    </row>
    <row r="947" customFormat="false" ht="15" hidden="false" customHeight="false" outlineLevel="0" collapsed="false">
      <c r="A947" s="90" t="str">
        <f aca="false">Gov_Map!$H192&amp;""</f>
        <v>SRC_MOD_013</v>
      </c>
      <c r="B947" s="71" t="s">
        <v>8132</v>
      </c>
      <c r="C947" s="58" t="n">
        <v>192</v>
      </c>
      <c r="D947" s="58" t="s">
        <v>8133</v>
      </c>
      <c r="E947" s="58" t="s">
        <v>8133</v>
      </c>
      <c r="F947" s="59" t="s">
        <v>604</v>
      </c>
    </row>
    <row r="948" customFormat="false" ht="15" hidden="false" customHeight="false" outlineLevel="0" collapsed="false">
      <c r="A948" s="90" t="str">
        <f aca="false">Gov_Map!$H193&amp;""</f>
        <v>SRC_MOD_014</v>
      </c>
      <c r="B948" s="71" t="s">
        <v>8132</v>
      </c>
      <c r="C948" s="58" t="n">
        <v>193</v>
      </c>
      <c r="D948" s="58" t="s">
        <v>8133</v>
      </c>
      <c r="E948" s="58" t="s">
        <v>8133</v>
      </c>
      <c r="F948" s="59" t="s">
        <v>604</v>
      </c>
    </row>
    <row r="949" customFormat="false" ht="15" hidden="false" customHeight="false" outlineLevel="0" collapsed="false">
      <c r="A949" s="90" t="str">
        <f aca="false">Gov_Map!$H194&amp;""</f>
        <v>SRC_MOD_014</v>
      </c>
      <c r="B949" s="71" t="s">
        <v>8132</v>
      </c>
      <c r="C949" s="58" t="n">
        <v>194</v>
      </c>
      <c r="D949" s="58" t="s">
        <v>8133</v>
      </c>
      <c r="E949" s="58" t="s">
        <v>8133</v>
      </c>
      <c r="F949" s="59" t="s">
        <v>604</v>
      </c>
    </row>
    <row r="950" customFormat="false" ht="15" hidden="false" customHeight="false" outlineLevel="0" collapsed="false">
      <c r="A950" s="90" t="str">
        <f aca="false">Gov_Map!$H195&amp;""</f>
        <v>SRC_MOD_015</v>
      </c>
      <c r="B950" s="71" t="s">
        <v>8132</v>
      </c>
      <c r="C950" s="58" t="n">
        <v>195</v>
      </c>
      <c r="D950" s="58" t="s">
        <v>8133</v>
      </c>
      <c r="E950" s="58" t="s">
        <v>8133</v>
      </c>
      <c r="F950" s="59" t="s">
        <v>604</v>
      </c>
    </row>
    <row r="951" customFormat="false" ht="15" hidden="false" customHeight="false" outlineLevel="0" collapsed="false">
      <c r="A951" s="90" t="str">
        <f aca="false">Gov_Map!$H196&amp;""</f>
        <v>SRC_MOD_015</v>
      </c>
      <c r="B951" s="71" t="s">
        <v>8132</v>
      </c>
      <c r="C951" s="58" t="n">
        <v>196</v>
      </c>
      <c r="D951" s="58" t="s">
        <v>8133</v>
      </c>
      <c r="E951" s="58" t="s">
        <v>8133</v>
      </c>
      <c r="F951" s="59" t="s">
        <v>604</v>
      </c>
    </row>
    <row r="952" customFormat="false" ht="15" hidden="false" customHeight="false" outlineLevel="0" collapsed="false">
      <c r="A952" s="90" t="str">
        <f aca="false">Gov_Map!$H197&amp;""</f>
        <v>SRC_MOD_016</v>
      </c>
      <c r="B952" s="71" t="s">
        <v>8132</v>
      </c>
      <c r="C952" s="58" t="n">
        <v>197</v>
      </c>
      <c r="D952" s="58" t="s">
        <v>8133</v>
      </c>
      <c r="E952" s="58" t="s">
        <v>8133</v>
      </c>
      <c r="F952" s="59" t="s">
        <v>604</v>
      </c>
    </row>
    <row r="953" customFormat="false" ht="15" hidden="false" customHeight="false" outlineLevel="0" collapsed="false">
      <c r="A953" s="90" t="str">
        <f aca="false">Gov_Map!$H198&amp;""</f>
        <v>SRC_MOD_016</v>
      </c>
      <c r="B953" s="71" t="s">
        <v>8132</v>
      </c>
      <c r="C953" s="58" t="n">
        <v>198</v>
      </c>
      <c r="D953" s="58" t="s">
        <v>8133</v>
      </c>
      <c r="E953" s="58" t="s">
        <v>8133</v>
      </c>
      <c r="F953" s="59" t="s">
        <v>604</v>
      </c>
    </row>
    <row r="954" customFormat="false" ht="15" hidden="false" customHeight="false" outlineLevel="0" collapsed="false">
      <c r="A954" s="90" t="str">
        <f aca="false">Gov_Map!$H199&amp;""</f>
        <v>SRC_MOD_017</v>
      </c>
      <c r="B954" s="71" t="s">
        <v>8132</v>
      </c>
      <c r="C954" s="58" t="n">
        <v>199</v>
      </c>
      <c r="D954" s="58" t="s">
        <v>8133</v>
      </c>
      <c r="E954" s="58" t="s">
        <v>8133</v>
      </c>
      <c r="F954" s="59" t="s">
        <v>604</v>
      </c>
    </row>
    <row r="955" customFormat="false" ht="15" hidden="false" customHeight="false" outlineLevel="0" collapsed="false">
      <c r="A955" s="90" t="str">
        <f aca="false">Gov_Map!$H200&amp;""</f>
        <v>SRC_MOD_017</v>
      </c>
      <c r="B955" s="71" t="s">
        <v>8132</v>
      </c>
      <c r="C955" s="58" t="n">
        <v>200</v>
      </c>
      <c r="D955" s="58" t="s">
        <v>8133</v>
      </c>
      <c r="E955" s="58" t="s">
        <v>8133</v>
      </c>
      <c r="F955" s="59" t="s">
        <v>604</v>
      </c>
    </row>
    <row r="956" customFormat="false" ht="15" hidden="false" customHeight="false" outlineLevel="0" collapsed="false">
      <c r="A956" s="90" t="str">
        <f aca="false">Gov_Map!$H201&amp;""</f>
        <v>SRC_MOD_004</v>
      </c>
      <c r="B956" s="71" t="s">
        <v>8132</v>
      </c>
      <c r="C956" s="58" t="n">
        <v>201</v>
      </c>
      <c r="D956" s="58" t="s">
        <v>8133</v>
      </c>
      <c r="E956" s="58" t="s">
        <v>8133</v>
      </c>
      <c r="F956" s="59" t="s">
        <v>604</v>
      </c>
    </row>
    <row r="957" customFormat="false" ht="15" hidden="false" customHeight="false" outlineLevel="0" collapsed="false">
      <c r="A957" s="90" t="str">
        <f aca="false">Gov_Map!$H202&amp;""</f>
        <v>SRC_MOD_008</v>
      </c>
      <c r="B957" s="71" t="s">
        <v>8132</v>
      </c>
      <c r="C957" s="58" t="n">
        <v>202</v>
      </c>
      <c r="D957" s="58" t="s">
        <v>8133</v>
      </c>
      <c r="E957" s="58" t="s">
        <v>8133</v>
      </c>
      <c r="F957" s="59" t="s">
        <v>604</v>
      </c>
    </row>
    <row r="958" customFormat="false" ht="15" hidden="false" customHeight="false" outlineLevel="0" collapsed="false">
      <c r="A958" s="90" t="str">
        <f aca="false">Gov_Map!$H203&amp;""</f>
        <v>SRC_MOD_052</v>
      </c>
      <c r="B958" s="71" t="s">
        <v>8132</v>
      </c>
      <c r="C958" s="58" t="n">
        <v>203</v>
      </c>
      <c r="D958" s="58" t="s">
        <v>8133</v>
      </c>
      <c r="E958" s="58" t="s">
        <v>8133</v>
      </c>
      <c r="F958" s="59" t="s">
        <v>604</v>
      </c>
    </row>
    <row r="959" customFormat="false" ht="15" hidden="false" customHeight="false" outlineLevel="0" collapsed="false">
      <c r="A959" s="90" t="str">
        <f aca="false">Gov_Map!$H204&amp;""</f>
        <v>SRC_MOD_053</v>
      </c>
      <c r="B959" s="71" t="s">
        <v>8132</v>
      </c>
      <c r="C959" s="58" t="n">
        <v>204</v>
      </c>
      <c r="D959" s="58" t="s">
        <v>8133</v>
      </c>
      <c r="E959" s="58" t="s">
        <v>8133</v>
      </c>
      <c r="F959" s="59" t="s">
        <v>604</v>
      </c>
    </row>
    <row r="960" customFormat="false" ht="15" hidden="false" customHeight="false" outlineLevel="0" collapsed="false">
      <c r="A960" s="90" t="str">
        <f aca="false">Gov_Map!$H205&amp;""</f>
        <v>SRC_MOD_018</v>
      </c>
      <c r="B960" s="71" t="s">
        <v>8132</v>
      </c>
      <c r="C960" s="58" t="n">
        <v>205</v>
      </c>
      <c r="D960" s="58" t="s">
        <v>8133</v>
      </c>
      <c r="E960" s="58" t="s">
        <v>8133</v>
      </c>
      <c r="F960" s="59" t="s">
        <v>604</v>
      </c>
    </row>
    <row r="961" customFormat="false" ht="15" hidden="false" customHeight="false" outlineLevel="0" collapsed="false">
      <c r="A961" s="90" t="str">
        <f aca="false">Gov_Map!$H206&amp;""</f>
        <v>SRC_MOD_018</v>
      </c>
      <c r="B961" s="71" t="s">
        <v>8132</v>
      </c>
      <c r="C961" s="58" t="n">
        <v>206</v>
      </c>
      <c r="D961" s="58" t="s">
        <v>8133</v>
      </c>
      <c r="E961" s="58" t="s">
        <v>8133</v>
      </c>
      <c r="F961" s="59" t="s">
        <v>604</v>
      </c>
    </row>
    <row r="962" customFormat="false" ht="15" hidden="false" customHeight="false" outlineLevel="0" collapsed="false">
      <c r="A962" s="90" t="str">
        <f aca="false">Gov_Map!$H207&amp;""</f>
        <v>—</v>
      </c>
      <c r="B962" s="71" t="s">
        <v>8132</v>
      </c>
      <c r="C962" s="58" t="n">
        <v>207</v>
      </c>
      <c r="D962" s="58" t="s">
        <v>8133</v>
      </c>
      <c r="E962" s="58" t="s">
        <v>8133</v>
      </c>
      <c r="F962" s="59" t="s">
        <v>604</v>
      </c>
    </row>
    <row r="963" customFormat="false" ht="15" hidden="false" customHeight="false" outlineLevel="0" collapsed="false">
      <c r="A963" s="90" t="str">
        <f aca="false">Gov_Map!$H208&amp;""</f>
        <v>—</v>
      </c>
      <c r="B963" s="71" t="s">
        <v>8132</v>
      </c>
      <c r="C963" s="58" t="n">
        <v>208</v>
      </c>
      <c r="D963" s="58" t="s">
        <v>8133</v>
      </c>
      <c r="E963" s="58" t="s">
        <v>8133</v>
      </c>
      <c r="F963" s="59" t="s">
        <v>604</v>
      </c>
    </row>
    <row r="964" customFormat="false" ht="15" hidden="false" customHeight="false" outlineLevel="0" collapsed="false">
      <c r="A964" s="90" t="str">
        <f aca="false">Gov_Map!$H209&amp;""</f>
        <v>—</v>
      </c>
      <c r="B964" s="71" t="s">
        <v>8132</v>
      </c>
      <c r="C964" s="58" t="n">
        <v>209</v>
      </c>
      <c r="D964" s="58" t="s">
        <v>8133</v>
      </c>
      <c r="E964" s="58" t="s">
        <v>8133</v>
      </c>
      <c r="F964" s="59" t="s">
        <v>604</v>
      </c>
    </row>
    <row r="965" customFormat="false" ht="15" hidden="false" customHeight="false" outlineLevel="0" collapsed="false">
      <c r="A965" s="90" t="str">
        <f aca="false">Gov_Map!$H210&amp;""</f>
        <v>—</v>
      </c>
      <c r="B965" s="71" t="s">
        <v>8132</v>
      </c>
      <c r="C965" s="58" t="n">
        <v>210</v>
      </c>
      <c r="D965" s="58" t="s">
        <v>8133</v>
      </c>
      <c r="E965" s="58" t="s">
        <v>8133</v>
      </c>
      <c r="F965" s="59" t="s">
        <v>604</v>
      </c>
    </row>
    <row r="966" customFormat="false" ht="15" hidden="false" customHeight="false" outlineLevel="0" collapsed="false">
      <c r="A966" s="90" t="str">
        <f aca="false">Gov_Map!$H211&amp;""</f>
        <v>—</v>
      </c>
      <c r="B966" s="71" t="s">
        <v>8132</v>
      </c>
      <c r="C966" s="58" t="n">
        <v>211</v>
      </c>
      <c r="D966" s="58" t="s">
        <v>8133</v>
      </c>
      <c r="E966" s="58" t="s">
        <v>8133</v>
      </c>
      <c r="F966" s="59" t="s">
        <v>604</v>
      </c>
    </row>
    <row r="967" customFormat="false" ht="15" hidden="false" customHeight="false" outlineLevel="0" collapsed="false">
      <c r="A967" s="90" t="str">
        <f aca="false">Gov_Map!$H212&amp;""</f>
        <v>—</v>
      </c>
      <c r="B967" s="71" t="s">
        <v>8132</v>
      </c>
      <c r="C967" s="58" t="n">
        <v>212</v>
      </c>
      <c r="D967" s="58" t="s">
        <v>8133</v>
      </c>
      <c r="E967" s="58" t="s">
        <v>8133</v>
      </c>
      <c r="F967" s="59" t="s">
        <v>604</v>
      </c>
    </row>
    <row r="968" customFormat="false" ht="15" hidden="false" customHeight="false" outlineLevel="0" collapsed="false">
      <c r="A968" s="90" t="str">
        <f aca="false">Gov_Map!$H213&amp;""</f>
        <v>—</v>
      </c>
      <c r="B968" s="71" t="s">
        <v>8132</v>
      </c>
      <c r="C968" s="58" t="n">
        <v>213</v>
      </c>
      <c r="D968" s="58" t="s">
        <v>8133</v>
      </c>
      <c r="E968" s="58" t="s">
        <v>8133</v>
      </c>
      <c r="F968" s="59" t="s">
        <v>604</v>
      </c>
    </row>
    <row r="969" customFormat="false" ht="15" hidden="false" customHeight="false" outlineLevel="0" collapsed="false">
      <c r="A969" s="90" t="str">
        <f aca="false">Gov_Map!$H214&amp;""</f>
        <v>—</v>
      </c>
      <c r="B969" s="71" t="s">
        <v>8132</v>
      </c>
      <c r="C969" s="58" t="n">
        <v>214</v>
      </c>
      <c r="D969" s="58" t="s">
        <v>8133</v>
      </c>
      <c r="E969" s="58" t="s">
        <v>8133</v>
      </c>
      <c r="F969" s="59" t="s">
        <v>604</v>
      </c>
    </row>
    <row r="970" customFormat="false" ht="15" hidden="false" customHeight="false" outlineLevel="0" collapsed="false">
      <c r="A970" s="90" t="str">
        <f aca="false">Gov_Map!$H215&amp;""</f>
        <v>—</v>
      </c>
      <c r="B970" s="71" t="s">
        <v>8132</v>
      </c>
      <c r="C970" s="58" t="n">
        <v>215</v>
      </c>
      <c r="D970" s="58" t="s">
        <v>8133</v>
      </c>
      <c r="E970" s="58" t="s">
        <v>8133</v>
      </c>
      <c r="F970" s="59" t="s">
        <v>604</v>
      </c>
    </row>
    <row r="971" customFormat="false" ht="15" hidden="false" customHeight="false" outlineLevel="0" collapsed="false">
      <c r="A971" s="90" t="str">
        <f aca="false">Gov_Map!$H216&amp;""</f>
        <v>—</v>
      </c>
      <c r="B971" s="71" t="s">
        <v>8132</v>
      </c>
      <c r="C971" s="58" t="n">
        <v>216</v>
      </c>
      <c r="D971" s="58" t="s">
        <v>8133</v>
      </c>
      <c r="E971" s="58" t="s">
        <v>8133</v>
      </c>
      <c r="F971" s="59" t="s">
        <v>604</v>
      </c>
    </row>
    <row r="972" customFormat="false" ht="15" hidden="false" customHeight="false" outlineLevel="0" collapsed="false">
      <c r="A972" s="90" t="str">
        <f aca="false">Gov_Map!$H217&amp;""</f>
        <v>—</v>
      </c>
      <c r="B972" s="71" t="s">
        <v>8132</v>
      </c>
      <c r="C972" s="58" t="n">
        <v>217</v>
      </c>
      <c r="D972" s="58" t="s">
        <v>8133</v>
      </c>
      <c r="E972" s="58" t="s">
        <v>8133</v>
      </c>
      <c r="F972" s="59" t="s">
        <v>604</v>
      </c>
    </row>
    <row r="973" customFormat="false" ht="15" hidden="false" customHeight="false" outlineLevel="0" collapsed="false">
      <c r="A973" s="90" t="str">
        <f aca="false">Gov_Map!$H218&amp;""</f>
        <v>—</v>
      </c>
      <c r="B973" s="71" t="s">
        <v>8132</v>
      </c>
      <c r="C973" s="58" t="n">
        <v>218</v>
      </c>
      <c r="D973" s="58" t="s">
        <v>8133</v>
      </c>
      <c r="E973" s="58" t="s">
        <v>8133</v>
      </c>
      <c r="F973" s="59" t="s">
        <v>604</v>
      </c>
    </row>
    <row r="974" customFormat="false" ht="15" hidden="false" customHeight="false" outlineLevel="0" collapsed="false">
      <c r="A974" s="90" t="str">
        <f aca="false">Gov_Map!$H219&amp;""</f>
        <v>—</v>
      </c>
      <c r="B974" s="71" t="s">
        <v>8132</v>
      </c>
      <c r="C974" s="58" t="n">
        <v>219</v>
      </c>
      <c r="D974" s="58" t="s">
        <v>8133</v>
      </c>
      <c r="E974" s="58" t="s">
        <v>8133</v>
      </c>
      <c r="F974" s="59" t="s">
        <v>604</v>
      </c>
    </row>
    <row r="975" customFormat="false" ht="15" hidden="false" customHeight="false" outlineLevel="0" collapsed="false">
      <c r="A975" s="90" t="str">
        <f aca="false">Gov_Map!$H220&amp;""</f>
        <v>—</v>
      </c>
      <c r="B975" s="71" t="s">
        <v>8132</v>
      </c>
      <c r="C975" s="58" t="n">
        <v>220</v>
      </c>
      <c r="D975" s="58" t="s">
        <v>8133</v>
      </c>
      <c r="E975" s="58" t="s">
        <v>8133</v>
      </c>
      <c r="F975" s="59" t="s">
        <v>604</v>
      </c>
    </row>
    <row r="976" customFormat="false" ht="15" hidden="false" customHeight="false" outlineLevel="0" collapsed="false">
      <c r="A976" s="90" t="str">
        <f aca="false">Gov_Map!$H221&amp;""</f>
        <v>—</v>
      </c>
      <c r="B976" s="71" t="s">
        <v>8132</v>
      </c>
      <c r="C976" s="58" t="n">
        <v>221</v>
      </c>
      <c r="D976" s="58" t="s">
        <v>8133</v>
      </c>
      <c r="E976" s="58" t="s">
        <v>8133</v>
      </c>
      <c r="F976" s="59" t="s">
        <v>604</v>
      </c>
    </row>
    <row r="977" customFormat="false" ht="15" hidden="false" customHeight="false" outlineLevel="0" collapsed="false">
      <c r="A977" s="90" t="str">
        <f aca="false">Gov_Map!$H222&amp;""</f>
        <v>—</v>
      </c>
      <c r="B977" s="71" t="s">
        <v>8132</v>
      </c>
      <c r="C977" s="58" t="n">
        <v>222</v>
      </c>
      <c r="D977" s="58" t="s">
        <v>8133</v>
      </c>
      <c r="E977" s="58" t="s">
        <v>8133</v>
      </c>
      <c r="F977" s="59" t="s">
        <v>604</v>
      </c>
    </row>
    <row r="978" customFormat="false" ht="15" hidden="false" customHeight="false" outlineLevel="0" collapsed="false">
      <c r="A978" s="90" t="str">
        <f aca="false">Gov_Map!$H223&amp;""</f>
        <v>—</v>
      </c>
      <c r="B978" s="71" t="s">
        <v>8132</v>
      </c>
      <c r="C978" s="58" t="n">
        <v>223</v>
      </c>
      <c r="D978" s="58" t="s">
        <v>8133</v>
      </c>
      <c r="E978" s="58" t="s">
        <v>8133</v>
      </c>
      <c r="F978" s="59" t="s">
        <v>604</v>
      </c>
    </row>
    <row r="979" customFormat="false" ht="15" hidden="false" customHeight="false" outlineLevel="0" collapsed="false">
      <c r="A979" s="90" t="str">
        <f aca="false">Gov_Map!$H224&amp;""</f>
        <v>—</v>
      </c>
      <c r="B979" s="71" t="s">
        <v>8132</v>
      </c>
      <c r="C979" s="58" t="n">
        <v>224</v>
      </c>
      <c r="D979" s="58" t="s">
        <v>8133</v>
      </c>
      <c r="E979" s="58" t="s">
        <v>8133</v>
      </c>
      <c r="F979" s="59" t="s">
        <v>604</v>
      </c>
    </row>
    <row r="980" customFormat="false" ht="15" hidden="false" customHeight="false" outlineLevel="0" collapsed="false">
      <c r="A980" s="90" t="str">
        <f aca="false">Gov_Map!$H225&amp;""</f>
        <v>—</v>
      </c>
      <c r="B980" s="71" t="s">
        <v>8132</v>
      </c>
      <c r="C980" s="58" t="n">
        <v>225</v>
      </c>
      <c r="D980" s="58" t="s">
        <v>8133</v>
      </c>
      <c r="E980" s="58" t="s">
        <v>8133</v>
      </c>
      <c r="F980" s="59" t="s">
        <v>604</v>
      </c>
    </row>
    <row r="981" customFormat="false" ht="15" hidden="false" customHeight="false" outlineLevel="0" collapsed="false">
      <c r="A981" s="90" t="str">
        <f aca="false">Gov_Map!$H226&amp;""</f>
        <v>—</v>
      </c>
      <c r="B981" s="71" t="s">
        <v>8132</v>
      </c>
      <c r="C981" s="58" t="n">
        <v>226</v>
      </c>
      <c r="D981" s="58" t="s">
        <v>8133</v>
      </c>
      <c r="E981" s="58" t="s">
        <v>8133</v>
      </c>
      <c r="F981" s="59" t="s">
        <v>604</v>
      </c>
    </row>
    <row r="982" customFormat="false" ht="15" hidden="false" customHeight="false" outlineLevel="0" collapsed="false">
      <c r="A982" s="90" t="str">
        <f aca="false">Gov_Map!$H227&amp;""</f>
        <v>—</v>
      </c>
      <c r="B982" s="71" t="s">
        <v>8132</v>
      </c>
      <c r="C982" s="58" t="n">
        <v>227</v>
      </c>
      <c r="D982" s="58" t="s">
        <v>8133</v>
      </c>
      <c r="E982" s="58" t="s">
        <v>8133</v>
      </c>
      <c r="F982" s="59" t="s">
        <v>604</v>
      </c>
    </row>
    <row r="983" customFormat="false" ht="15" hidden="false" customHeight="false" outlineLevel="0" collapsed="false">
      <c r="A983" s="90" t="str">
        <f aca="false">Gov_Map!$H228&amp;""</f>
        <v>—</v>
      </c>
      <c r="B983" s="71" t="s">
        <v>8132</v>
      </c>
      <c r="C983" s="58" t="n">
        <v>228</v>
      </c>
      <c r="D983" s="58" t="s">
        <v>8133</v>
      </c>
      <c r="E983" s="58" t="s">
        <v>8133</v>
      </c>
      <c r="F983" s="59" t="s">
        <v>604</v>
      </c>
    </row>
    <row r="984" customFormat="false" ht="15" hidden="false" customHeight="false" outlineLevel="0" collapsed="false">
      <c r="A984" s="90" t="str">
        <f aca="false">Gov_Map!$H229&amp;""</f>
        <v>—</v>
      </c>
      <c r="B984" s="71" t="s">
        <v>8132</v>
      </c>
      <c r="C984" s="58" t="n">
        <v>229</v>
      </c>
      <c r="D984" s="58" t="s">
        <v>8133</v>
      </c>
      <c r="E984" s="58" t="s">
        <v>8133</v>
      </c>
      <c r="F984" s="59" t="s">
        <v>604</v>
      </c>
    </row>
    <row r="985" customFormat="false" ht="15" hidden="false" customHeight="false" outlineLevel="0" collapsed="false">
      <c r="A985" s="90" t="str">
        <f aca="false">Gov_Map!$H230&amp;""</f>
        <v>—</v>
      </c>
      <c r="B985" s="71" t="s">
        <v>8132</v>
      </c>
      <c r="C985" s="58" t="n">
        <v>230</v>
      </c>
      <c r="D985" s="58" t="s">
        <v>8133</v>
      </c>
      <c r="E985" s="58" t="s">
        <v>8133</v>
      </c>
      <c r="F985" s="59" t="s">
        <v>604</v>
      </c>
    </row>
    <row r="986" customFormat="false" ht="15" hidden="false" customHeight="false" outlineLevel="0" collapsed="false">
      <c r="A986" s="90" t="str">
        <f aca="false">Gov_Map!$H231&amp;""</f>
        <v>SRC_PERF_035</v>
      </c>
      <c r="B986" s="71" t="s">
        <v>8132</v>
      </c>
      <c r="C986" s="58" t="n">
        <v>231</v>
      </c>
      <c r="D986" s="58" t="s">
        <v>8133</v>
      </c>
      <c r="E986" s="58" t="s">
        <v>8133</v>
      </c>
      <c r="F986" s="59" t="s">
        <v>604</v>
      </c>
    </row>
    <row r="987" customFormat="false" ht="15" hidden="false" customHeight="false" outlineLevel="0" collapsed="false">
      <c r="A987" s="90" t="str">
        <f aca="false">Gov_Map!$H232&amp;""</f>
        <v>SRC_PERF_005</v>
      </c>
      <c r="B987" s="71" t="s">
        <v>8132</v>
      </c>
      <c r="C987" s="58" t="n">
        <v>232</v>
      </c>
      <c r="D987" s="58" t="s">
        <v>8133</v>
      </c>
      <c r="E987" s="58" t="s">
        <v>8133</v>
      </c>
      <c r="F987" s="59" t="s">
        <v>604</v>
      </c>
    </row>
    <row r="988" customFormat="false" ht="15" hidden="false" customHeight="false" outlineLevel="0" collapsed="false">
      <c r="A988" s="90" t="str">
        <f aca="false">Gov_Map!$H233&amp;""</f>
        <v>—</v>
      </c>
      <c r="B988" s="71" t="s">
        <v>8132</v>
      </c>
      <c r="C988" s="58" t="n">
        <v>233</v>
      </c>
      <c r="D988" s="58" t="s">
        <v>8133</v>
      </c>
      <c r="E988" s="58" t="s">
        <v>8133</v>
      </c>
      <c r="F988" s="59" t="s">
        <v>604</v>
      </c>
    </row>
    <row r="989" customFormat="false" ht="15" hidden="false" customHeight="false" outlineLevel="0" collapsed="false">
      <c r="A989" s="90" t="str">
        <f aca="false">Gov_Map!$H234&amp;""</f>
        <v>—</v>
      </c>
      <c r="B989" s="71" t="s">
        <v>8132</v>
      </c>
      <c r="C989" s="58" t="n">
        <v>234</v>
      </c>
      <c r="D989" s="58" t="s">
        <v>8133</v>
      </c>
      <c r="E989" s="58" t="s">
        <v>8133</v>
      </c>
      <c r="F989" s="59" t="s">
        <v>604</v>
      </c>
    </row>
    <row r="990" customFormat="false" ht="15" hidden="false" customHeight="false" outlineLevel="0" collapsed="false">
      <c r="A990" s="90" t="str">
        <f aca="false">Gov_Map!$H235&amp;""</f>
        <v>—</v>
      </c>
      <c r="B990" s="71" t="s">
        <v>8132</v>
      </c>
      <c r="C990" s="58" t="n">
        <v>235</v>
      </c>
      <c r="D990" s="58" t="s">
        <v>8133</v>
      </c>
      <c r="E990" s="58" t="s">
        <v>8133</v>
      </c>
      <c r="F990" s="59" t="s">
        <v>604</v>
      </c>
    </row>
    <row r="991" customFormat="false" ht="15" hidden="false" customHeight="false" outlineLevel="0" collapsed="false">
      <c r="A991" s="90" t="str">
        <f aca="false">Gov_Map!$H236&amp;""</f>
        <v>—</v>
      </c>
      <c r="B991" s="71" t="s">
        <v>8132</v>
      </c>
      <c r="C991" s="58" t="n">
        <v>236</v>
      </c>
      <c r="D991" s="58" t="s">
        <v>8133</v>
      </c>
      <c r="E991" s="58" t="s">
        <v>8133</v>
      </c>
      <c r="F991" s="59" t="s">
        <v>604</v>
      </c>
    </row>
    <row r="992" customFormat="false" ht="15" hidden="false" customHeight="false" outlineLevel="0" collapsed="false">
      <c r="A992" s="90" t="str">
        <f aca="false">Gov_Map!$H237&amp;""</f>
        <v>—</v>
      </c>
      <c r="B992" s="71" t="s">
        <v>8132</v>
      </c>
      <c r="C992" s="58" t="n">
        <v>237</v>
      </c>
      <c r="D992" s="58" t="s">
        <v>8133</v>
      </c>
      <c r="E992" s="58" t="s">
        <v>8133</v>
      </c>
      <c r="F992" s="59" t="s">
        <v>604</v>
      </c>
    </row>
    <row r="993" customFormat="false" ht="15" hidden="false" customHeight="false" outlineLevel="0" collapsed="false">
      <c r="A993" s="90" t="str">
        <f aca="false">Gov_Map!$H238&amp;""</f>
        <v>—</v>
      </c>
      <c r="B993" s="71" t="s">
        <v>8132</v>
      </c>
      <c r="C993" s="58" t="n">
        <v>238</v>
      </c>
      <c r="D993" s="58" t="s">
        <v>8133</v>
      </c>
      <c r="E993" s="58" t="s">
        <v>8133</v>
      </c>
      <c r="F993" s="59" t="s">
        <v>604</v>
      </c>
    </row>
    <row r="994" customFormat="false" ht="15" hidden="false" customHeight="false" outlineLevel="0" collapsed="false">
      <c r="A994" s="90" t="str">
        <f aca="false">Gov_Map!$H239&amp;""</f>
        <v>—</v>
      </c>
      <c r="B994" s="71" t="s">
        <v>8132</v>
      </c>
      <c r="C994" s="58" t="n">
        <v>239</v>
      </c>
      <c r="D994" s="58" t="s">
        <v>8133</v>
      </c>
      <c r="E994" s="58" t="s">
        <v>8133</v>
      </c>
      <c r="F994" s="59" t="s">
        <v>604</v>
      </c>
    </row>
    <row r="995" customFormat="false" ht="15" hidden="false" customHeight="false" outlineLevel="0" collapsed="false">
      <c r="A995" s="90" t="str">
        <f aca="false">Gov_Map!$H240&amp;""</f>
        <v>—</v>
      </c>
      <c r="B995" s="71" t="s">
        <v>8132</v>
      </c>
      <c r="C995" s="58" t="n">
        <v>240</v>
      </c>
      <c r="D995" s="58" t="s">
        <v>8133</v>
      </c>
      <c r="E995" s="58" t="s">
        <v>8133</v>
      </c>
      <c r="F995" s="59" t="s">
        <v>604</v>
      </c>
    </row>
    <row r="996" customFormat="false" ht="15" hidden="false" customHeight="false" outlineLevel="0" collapsed="false">
      <c r="A996" s="90" t="str">
        <f aca="false">Gov_Map!$H241&amp;""</f>
        <v>—</v>
      </c>
      <c r="B996" s="71" t="s">
        <v>8132</v>
      </c>
      <c r="C996" s="58" t="n">
        <v>241</v>
      </c>
      <c r="D996" s="58" t="s">
        <v>8133</v>
      </c>
      <c r="E996" s="58" t="s">
        <v>8133</v>
      </c>
      <c r="F996" s="59" t="s">
        <v>604</v>
      </c>
    </row>
    <row r="997" customFormat="false" ht="15" hidden="false" customHeight="false" outlineLevel="0" collapsed="false">
      <c r="A997" s="90" t="str">
        <f aca="false">Gov_Map!$H242&amp;""</f>
        <v>—</v>
      </c>
      <c r="B997" s="71" t="s">
        <v>8132</v>
      </c>
      <c r="C997" s="58" t="n">
        <v>242</v>
      </c>
      <c r="D997" s="58" t="s">
        <v>8133</v>
      </c>
      <c r="E997" s="58" t="s">
        <v>8133</v>
      </c>
      <c r="F997" s="59" t="s">
        <v>604</v>
      </c>
    </row>
    <row r="998" customFormat="false" ht="15" hidden="false" customHeight="false" outlineLevel="0" collapsed="false">
      <c r="A998" s="90" t="str">
        <f aca="false">Gov_Map!$H243&amp;""</f>
        <v>SRC_PERF_018</v>
      </c>
      <c r="B998" s="71" t="s">
        <v>8132</v>
      </c>
      <c r="C998" s="58" t="n">
        <v>243</v>
      </c>
      <c r="D998" s="58" t="s">
        <v>8133</v>
      </c>
      <c r="E998" s="58" t="s">
        <v>8133</v>
      </c>
      <c r="F998" s="59" t="s">
        <v>604</v>
      </c>
    </row>
    <row r="999" customFormat="false" ht="15" hidden="false" customHeight="false" outlineLevel="0" collapsed="false">
      <c r="A999" s="90" t="str">
        <f aca="false">Gov_Map!$H244&amp;""</f>
        <v>SRC_PERF_019</v>
      </c>
      <c r="B999" s="71" t="s">
        <v>8132</v>
      </c>
      <c r="C999" s="58" t="n">
        <v>244</v>
      </c>
      <c r="D999" s="58" t="s">
        <v>8133</v>
      </c>
      <c r="E999" s="58" t="s">
        <v>8133</v>
      </c>
      <c r="F999" s="59" t="s">
        <v>604</v>
      </c>
    </row>
    <row r="1000" customFormat="false" ht="15" hidden="false" customHeight="false" outlineLevel="0" collapsed="false">
      <c r="A1000" s="90" t="str">
        <f aca="false">Gov_Map!$H245&amp;""</f>
        <v>SRC_PERF_020</v>
      </c>
      <c r="B1000" s="71" t="s">
        <v>8132</v>
      </c>
      <c r="C1000" s="58" t="n">
        <v>245</v>
      </c>
      <c r="D1000" s="58" t="s">
        <v>8133</v>
      </c>
      <c r="E1000" s="58" t="s">
        <v>8133</v>
      </c>
      <c r="F1000" s="59" t="s">
        <v>604</v>
      </c>
    </row>
    <row r="1001" customFormat="false" ht="15" hidden="false" customHeight="false" outlineLevel="0" collapsed="false">
      <c r="A1001" s="90" t="str">
        <f aca="false">Gov_Map!$H246&amp;""</f>
        <v>—</v>
      </c>
      <c r="B1001" s="71" t="s">
        <v>8132</v>
      </c>
      <c r="C1001" s="58" t="n">
        <v>246</v>
      </c>
      <c r="D1001" s="58" t="s">
        <v>8133</v>
      </c>
      <c r="E1001" s="58" t="s">
        <v>8133</v>
      </c>
      <c r="F1001" s="59" t="s">
        <v>604</v>
      </c>
    </row>
    <row r="1002" customFormat="false" ht="15" hidden="false" customHeight="false" outlineLevel="0" collapsed="false">
      <c r="A1002" s="90" t="str">
        <f aca="false">Gov_Map!$H247&amp;""</f>
        <v>—</v>
      </c>
      <c r="B1002" s="71" t="s">
        <v>8132</v>
      </c>
      <c r="C1002" s="58" t="n">
        <v>247</v>
      </c>
      <c r="D1002" s="58" t="s">
        <v>8133</v>
      </c>
      <c r="E1002" s="58" t="s">
        <v>8133</v>
      </c>
      <c r="F1002" s="59" t="s">
        <v>604</v>
      </c>
    </row>
    <row r="1003" customFormat="false" ht="15" hidden="false" customHeight="false" outlineLevel="0" collapsed="false">
      <c r="A1003" s="90" t="str">
        <f aca="false">Gov_Map!$H248&amp;""</f>
        <v>—</v>
      </c>
      <c r="B1003" s="71" t="s">
        <v>8132</v>
      </c>
      <c r="C1003" s="58" t="n">
        <v>248</v>
      </c>
      <c r="D1003" s="58" t="s">
        <v>8133</v>
      </c>
      <c r="E1003" s="58" t="s">
        <v>8133</v>
      </c>
      <c r="F1003" s="59" t="s">
        <v>604</v>
      </c>
    </row>
    <row r="1004" customFormat="false" ht="15" hidden="false" customHeight="false" outlineLevel="0" collapsed="false">
      <c r="A1004" s="90" t="str">
        <f aca="false">Gov_Map!$H249&amp;""</f>
        <v>—</v>
      </c>
      <c r="B1004" s="71" t="s">
        <v>8132</v>
      </c>
      <c r="C1004" s="58" t="n">
        <v>249</v>
      </c>
      <c r="D1004" s="58" t="s">
        <v>8133</v>
      </c>
      <c r="E1004" s="58" t="s">
        <v>8133</v>
      </c>
      <c r="F1004" s="59" t="s">
        <v>604</v>
      </c>
    </row>
    <row r="1005" customFormat="false" ht="15" hidden="false" customHeight="false" outlineLevel="0" collapsed="false">
      <c r="A1005" s="90" t="str">
        <f aca="false">Gov_Map!$H250&amp;""</f>
        <v>—</v>
      </c>
      <c r="B1005" s="71" t="s">
        <v>8132</v>
      </c>
      <c r="C1005" s="58" t="n">
        <v>250</v>
      </c>
      <c r="D1005" s="58" t="s">
        <v>8133</v>
      </c>
      <c r="E1005" s="58" t="s">
        <v>8133</v>
      </c>
      <c r="F1005" s="59" t="s">
        <v>604</v>
      </c>
    </row>
    <row r="1006" customFormat="false" ht="15" hidden="false" customHeight="false" outlineLevel="0" collapsed="false">
      <c r="A1006" s="90" t="str">
        <f aca="false">Gov_Map!$H251&amp;""</f>
        <v>—</v>
      </c>
      <c r="B1006" s="71" t="s">
        <v>8132</v>
      </c>
      <c r="C1006" s="58" t="n">
        <v>251</v>
      </c>
      <c r="D1006" s="58" t="s">
        <v>8133</v>
      </c>
      <c r="E1006" s="58" t="s">
        <v>8133</v>
      </c>
      <c r="F1006" s="59" t="s">
        <v>604</v>
      </c>
    </row>
    <row r="1007" customFormat="false" ht="15" hidden="false" customHeight="false" outlineLevel="0" collapsed="false">
      <c r="A1007" s="90" t="str">
        <f aca="false">Gov_Map!$H252&amp;""</f>
        <v>—</v>
      </c>
      <c r="B1007" s="71" t="s">
        <v>8132</v>
      </c>
      <c r="C1007" s="58" t="n">
        <v>252</v>
      </c>
      <c r="D1007" s="58" t="s">
        <v>8133</v>
      </c>
      <c r="E1007" s="58" t="s">
        <v>8133</v>
      </c>
      <c r="F1007" s="59" t="s">
        <v>604</v>
      </c>
    </row>
    <row r="1008" customFormat="false" ht="15" hidden="false" customHeight="false" outlineLevel="0" collapsed="false">
      <c r="A1008" s="90" t="str">
        <f aca="false">Gov_Map!$H253&amp;""</f>
        <v>—</v>
      </c>
      <c r="B1008" s="71" t="s">
        <v>8132</v>
      </c>
      <c r="C1008" s="58" t="n">
        <v>253</v>
      </c>
      <c r="D1008" s="58" t="s">
        <v>8133</v>
      </c>
      <c r="E1008" s="58" t="s">
        <v>8133</v>
      </c>
      <c r="F1008" s="59" t="s">
        <v>604</v>
      </c>
    </row>
    <row r="1009" customFormat="false" ht="15" hidden="false" customHeight="false" outlineLevel="0" collapsed="false">
      <c r="A1009" s="90" t="str">
        <f aca="false">Gov_Map!$H254&amp;""</f>
        <v>—</v>
      </c>
      <c r="B1009" s="71" t="s">
        <v>8132</v>
      </c>
      <c r="C1009" s="58" t="n">
        <v>254</v>
      </c>
      <c r="D1009" s="58" t="s">
        <v>8133</v>
      </c>
      <c r="E1009" s="58" t="s">
        <v>8133</v>
      </c>
      <c r="F1009" s="59" t="s">
        <v>604</v>
      </c>
    </row>
    <row r="1010" customFormat="false" ht="15" hidden="false" customHeight="false" outlineLevel="0" collapsed="false">
      <c r="A1010" s="90" t="str">
        <f aca="false">Gov_Map!$H255&amp;""</f>
        <v>—</v>
      </c>
      <c r="B1010" s="71" t="s">
        <v>8132</v>
      </c>
      <c r="C1010" s="58" t="n">
        <v>255</v>
      </c>
      <c r="D1010" s="58" t="s">
        <v>8133</v>
      </c>
      <c r="E1010" s="58" t="s">
        <v>8133</v>
      </c>
      <c r="F1010" s="59" t="s">
        <v>604</v>
      </c>
    </row>
    <row r="1011" customFormat="false" ht="15" hidden="false" customHeight="false" outlineLevel="0" collapsed="false">
      <c r="A1011" s="90" t="str">
        <f aca="false">Gov_Map!$H256&amp;""</f>
        <v>—</v>
      </c>
      <c r="B1011" s="71" t="s">
        <v>8132</v>
      </c>
      <c r="C1011" s="58" t="n">
        <v>256</v>
      </c>
      <c r="D1011" s="58" t="s">
        <v>8133</v>
      </c>
      <c r="E1011" s="58" t="s">
        <v>8133</v>
      </c>
      <c r="F1011" s="59" t="s">
        <v>604</v>
      </c>
    </row>
    <row r="1012" customFormat="false" ht="15" hidden="false" customHeight="false" outlineLevel="0" collapsed="false">
      <c r="A1012" s="90" t="str">
        <f aca="false">Gov_Map!$H257&amp;""</f>
        <v>—</v>
      </c>
      <c r="B1012" s="71" t="s">
        <v>8132</v>
      </c>
      <c r="C1012" s="58" t="n">
        <v>257</v>
      </c>
      <c r="D1012" s="58" t="s">
        <v>8133</v>
      </c>
      <c r="E1012" s="58" t="s">
        <v>8133</v>
      </c>
      <c r="F1012" s="59" t="s">
        <v>604</v>
      </c>
    </row>
    <row r="1013" customFormat="false" ht="15" hidden="false" customHeight="false" outlineLevel="0" collapsed="false">
      <c r="A1013" s="90" t="str">
        <f aca="false">Gov_Map!$H258&amp;""</f>
        <v>—</v>
      </c>
      <c r="B1013" s="71" t="s">
        <v>8132</v>
      </c>
      <c r="C1013" s="58" t="n">
        <v>258</v>
      </c>
      <c r="D1013" s="58" t="s">
        <v>8133</v>
      </c>
      <c r="E1013" s="58" t="s">
        <v>8133</v>
      </c>
      <c r="F1013" s="59" t="s">
        <v>604</v>
      </c>
    </row>
    <row r="1014" customFormat="false" ht="15" hidden="false" customHeight="false" outlineLevel="0" collapsed="false">
      <c r="A1014" s="90" t="str">
        <f aca="false">Gov_Map!$H259&amp;""</f>
        <v>—</v>
      </c>
      <c r="B1014" s="71" t="s">
        <v>8132</v>
      </c>
      <c r="C1014" s="58" t="n">
        <v>259</v>
      </c>
      <c r="D1014" s="58" t="s">
        <v>8133</v>
      </c>
      <c r="E1014" s="58" t="s">
        <v>8133</v>
      </c>
      <c r="F1014" s="59" t="s">
        <v>604</v>
      </c>
    </row>
    <row r="1015" customFormat="false" ht="15" hidden="false" customHeight="false" outlineLevel="0" collapsed="false">
      <c r="A1015" s="90" t="str">
        <f aca="false">Gov_Map!$H260&amp;""</f>
        <v>—</v>
      </c>
      <c r="B1015" s="71" t="s">
        <v>8132</v>
      </c>
      <c r="C1015" s="58" t="n">
        <v>260</v>
      </c>
      <c r="D1015" s="58" t="s">
        <v>8133</v>
      </c>
      <c r="E1015" s="58" t="s">
        <v>8133</v>
      </c>
      <c r="F1015" s="59" t="s">
        <v>604</v>
      </c>
    </row>
    <row r="1016" customFormat="false" ht="15" hidden="false" customHeight="false" outlineLevel="0" collapsed="false">
      <c r="A1016" s="90" t="str">
        <f aca="false">Gov_Map!$H261&amp;""</f>
        <v>—</v>
      </c>
      <c r="B1016" s="71" t="s">
        <v>8132</v>
      </c>
      <c r="C1016" s="58" t="n">
        <v>261</v>
      </c>
      <c r="D1016" s="58" t="s">
        <v>8133</v>
      </c>
      <c r="E1016" s="58" t="s">
        <v>8133</v>
      </c>
      <c r="F1016" s="59" t="s">
        <v>604</v>
      </c>
    </row>
    <row r="1017" customFormat="false" ht="15" hidden="false" customHeight="false" outlineLevel="0" collapsed="false">
      <c r="A1017" s="90" t="str">
        <f aca="false">Gov_Map!$H262&amp;""</f>
        <v>—</v>
      </c>
      <c r="B1017" s="71" t="s">
        <v>8132</v>
      </c>
      <c r="C1017" s="58" t="n">
        <v>262</v>
      </c>
      <c r="D1017" s="58" t="s">
        <v>8133</v>
      </c>
      <c r="E1017" s="58" t="s">
        <v>8133</v>
      </c>
      <c r="F1017" s="59" t="s">
        <v>604</v>
      </c>
    </row>
    <row r="1018" customFormat="false" ht="15" hidden="false" customHeight="false" outlineLevel="0" collapsed="false">
      <c r="A1018" s="90" t="str">
        <f aca="false">Gov_Map!$H263&amp;""</f>
        <v>—</v>
      </c>
      <c r="B1018" s="71" t="s">
        <v>8132</v>
      </c>
      <c r="C1018" s="58" t="n">
        <v>263</v>
      </c>
      <c r="D1018" s="58" t="s">
        <v>8133</v>
      </c>
      <c r="E1018" s="58" t="s">
        <v>8133</v>
      </c>
      <c r="F1018" s="59" t="s">
        <v>604</v>
      </c>
    </row>
    <row r="1019" customFormat="false" ht="15" hidden="false" customHeight="false" outlineLevel="0" collapsed="false">
      <c r="A1019" s="90" t="str">
        <f aca="false">Gov_Map!$H264&amp;""</f>
        <v>—</v>
      </c>
      <c r="B1019" s="71" t="s">
        <v>8132</v>
      </c>
      <c r="C1019" s="58" t="n">
        <v>264</v>
      </c>
      <c r="D1019" s="58" t="s">
        <v>8133</v>
      </c>
      <c r="E1019" s="58" t="s">
        <v>8133</v>
      </c>
      <c r="F1019" s="59" t="s">
        <v>604</v>
      </c>
    </row>
    <row r="1020" customFormat="false" ht="15" hidden="false" customHeight="false" outlineLevel="0" collapsed="false">
      <c r="A1020" s="90" t="str">
        <f aca="false">Gov_Map!$H265&amp;""</f>
        <v>—</v>
      </c>
      <c r="B1020" s="71" t="s">
        <v>8132</v>
      </c>
      <c r="C1020" s="58" t="n">
        <v>265</v>
      </c>
      <c r="D1020" s="58" t="s">
        <v>8133</v>
      </c>
      <c r="E1020" s="58" t="s">
        <v>8133</v>
      </c>
      <c r="F1020" s="59" t="s">
        <v>604</v>
      </c>
    </row>
    <row r="1021" customFormat="false" ht="15" hidden="false" customHeight="false" outlineLevel="0" collapsed="false">
      <c r="A1021" s="90" t="str">
        <f aca="false">Gov_Map!$H266&amp;""</f>
        <v>—</v>
      </c>
      <c r="B1021" s="71" t="s">
        <v>8132</v>
      </c>
      <c r="C1021" s="58" t="n">
        <v>266</v>
      </c>
      <c r="D1021" s="58" t="s">
        <v>8133</v>
      </c>
      <c r="E1021" s="58" t="s">
        <v>8133</v>
      </c>
      <c r="F1021" s="59" t="s">
        <v>604</v>
      </c>
    </row>
    <row r="1022" customFormat="false" ht="15" hidden="false" customHeight="false" outlineLevel="0" collapsed="false">
      <c r="A1022" s="90" t="str">
        <f aca="false">Gov_Map!$H267&amp;""</f>
        <v>—</v>
      </c>
      <c r="B1022" s="71" t="s">
        <v>8132</v>
      </c>
      <c r="C1022" s="58" t="n">
        <v>267</v>
      </c>
      <c r="D1022" s="58" t="s">
        <v>8133</v>
      </c>
      <c r="E1022" s="58" t="s">
        <v>8133</v>
      </c>
      <c r="F1022" s="59" t="s">
        <v>604</v>
      </c>
    </row>
    <row r="1023" customFormat="false" ht="15" hidden="false" customHeight="false" outlineLevel="0" collapsed="false">
      <c r="A1023" s="90" t="str">
        <f aca="false">Gov_Map!$H268&amp;""</f>
        <v>—</v>
      </c>
      <c r="B1023" s="71" t="s">
        <v>8132</v>
      </c>
      <c r="C1023" s="58" t="n">
        <v>268</v>
      </c>
      <c r="D1023" s="58" t="s">
        <v>8133</v>
      </c>
      <c r="E1023" s="58" t="s">
        <v>8133</v>
      </c>
      <c r="F1023" s="59" t="s">
        <v>604</v>
      </c>
    </row>
    <row r="1024" customFormat="false" ht="15" hidden="false" customHeight="false" outlineLevel="0" collapsed="false">
      <c r="A1024" s="90" t="str">
        <f aca="false">Gov_Map!$H269&amp;""</f>
        <v>—</v>
      </c>
      <c r="B1024" s="71" t="s">
        <v>8132</v>
      </c>
      <c r="C1024" s="58" t="n">
        <v>269</v>
      </c>
      <c r="D1024" s="58" t="s">
        <v>8133</v>
      </c>
      <c r="E1024" s="58" t="s">
        <v>8133</v>
      </c>
      <c r="F1024" s="59" t="s">
        <v>604</v>
      </c>
    </row>
    <row r="1025" customFormat="false" ht="15" hidden="false" customHeight="false" outlineLevel="0" collapsed="false">
      <c r="A1025" s="90" t="str">
        <f aca="false">Gov_Map!$H270&amp;""</f>
        <v>—</v>
      </c>
      <c r="B1025" s="71" t="s">
        <v>8132</v>
      </c>
      <c r="C1025" s="58" t="n">
        <v>270</v>
      </c>
      <c r="D1025" s="58" t="s">
        <v>8133</v>
      </c>
      <c r="E1025" s="58" t="s">
        <v>8133</v>
      </c>
      <c r="F1025" s="59" t="s">
        <v>604</v>
      </c>
    </row>
    <row r="1026" customFormat="false" ht="15" hidden="false" customHeight="false" outlineLevel="0" collapsed="false">
      <c r="A1026" s="90" t="str">
        <f aca="false">Gov_Map!$H271&amp;""</f>
        <v>—</v>
      </c>
      <c r="B1026" s="71" t="s">
        <v>8132</v>
      </c>
      <c r="C1026" s="58" t="n">
        <v>271</v>
      </c>
      <c r="D1026" s="58" t="s">
        <v>8133</v>
      </c>
      <c r="E1026" s="58" t="s">
        <v>8133</v>
      </c>
      <c r="F1026" s="59" t="s">
        <v>604</v>
      </c>
    </row>
    <row r="1027" customFormat="false" ht="15" hidden="false" customHeight="false" outlineLevel="0" collapsed="false">
      <c r="A1027" s="90" t="str">
        <f aca="false">Gov_Map!$H272&amp;""</f>
        <v>—</v>
      </c>
      <c r="B1027" s="71" t="s">
        <v>8132</v>
      </c>
      <c r="C1027" s="58" t="n">
        <v>272</v>
      </c>
      <c r="D1027" s="58" t="s">
        <v>8133</v>
      </c>
      <c r="E1027" s="58" t="s">
        <v>8133</v>
      </c>
      <c r="F1027" s="59" t="s">
        <v>604</v>
      </c>
    </row>
    <row r="1028" customFormat="false" ht="15" hidden="false" customHeight="false" outlineLevel="0" collapsed="false">
      <c r="A1028" s="90" t="str">
        <f aca="false">Gov_Map!$H273&amp;""</f>
        <v>—</v>
      </c>
      <c r="B1028" s="71" t="s">
        <v>8132</v>
      </c>
      <c r="C1028" s="58" t="n">
        <v>273</v>
      </c>
      <c r="D1028" s="58" t="s">
        <v>8133</v>
      </c>
      <c r="E1028" s="58" t="s">
        <v>8133</v>
      </c>
      <c r="F1028" s="59" t="s">
        <v>604</v>
      </c>
    </row>
    <row r="1029" customFormat="false" ht="15" hidden="false" customHeight="false" outlineLevel="0" collapsed="false">
      <c r="A1029" s="90" t="str">
        <f aca="false">Gov_Map!$H274&amp;""</f>
        <v>—</v>
      </c>
      <c r="B1029" s="71" t="s">
        <v>8132</v>
      </c>
      <c r="C1029" s="58" t="n">
        <v>274</v>
      </c>
      <c r="D1029" s="58" t="s">
        <v>8133</v>
      </c>
      <c r="E1029" s="58" t="s">
        <v>8133</v>
      </c>
      <c r="F1029" s="59" t="s">
        <v>604</v>
      </c>
    </row>
    <row r="1030" customFormat="false" ht="15" hidden="false" customHeight="false" outlineLevel="0" collapsed="false">
      <c r="A1030" s="90" t="str">
        <f aca="false">Gov_Map!$H275&amp;""</f>
        <v>—</v>
      </c>
      <c r="B1030" s="71" t="s">
        <v>8132</v>
      </c>
      <c r="C1030" s="58" t="n">
        <v>275</v>
      </c>
      <c r="D1030" s="58" t="s">
        <v>8133</v>
      </c>
      <c r="E1030" s="58" t="s">
        <v>8133</v>
      </c>
      <c r="F1030" s="59" t="s">
        <v>604</v>
      </c>
    </row>
    <row r="1031" customFormat="false" ht="15" hidden="false" customHeight="false" outlineLevel="0" collapsed="false">
      <c r="A1031" s="90" t="str">
        <f aca="false">Gov_Map!$H276&amp;""</f>
        <v>—</v>
      </c>
      <c r="B1031" s="71" t="s">
        <v>8132</v>
      </c>
      <c r="C1031" s="58" t="n">
        <v>276</v>
      </c>
      <c r="D1031" s="58" t="s">
        <v>8133</v>
      </c>
      <c r="E1031" s="58" t="s">
        <v>8133</v>
      </c>
      <c r="F1031" s="59" t="s">
        <v>604</v>
      </c>
    </row>
    <row r="1032" customFormat="false" ht="15" hidden="false" customHeight="false" outlineLevel="0" collapsed="false">
      <c r="A1032" s="90" t="str">
        <f aca="false">Gov_Map!$H277&amp;""</f>
        <v>—</v>
      </c>
      <c r="B1032" s="71" t="s">
        <v>8132</v>
      </c>
      <c r="C1032" s="58" t="n">
        <v>277</v>
      </c>
      <c r="D1032" s="58" t="s">
        <v>8133</v>
      </c>
      <c r="E1032" s="58" t="s">
        <v>8133</v>
      </c>
      <c r="F1032" s="59" t="s">
        <v>604</v>
      </c>
    </row>
    <row r="1033" customFormat="false" ht="15" hidden="false" customHeight="false" outlineLevel="0" collapsed="false">
      <c r="A1033" s="90" t="str">
        <f aca="false">Gov_Map!$H278&amp;""</f>
        <v>—</v>
      </c>
      <c r="B1033" s="71" t="s">
        <v>8132</v>
      </c>
      <c r="C1033" s="58" t="n">
        <v>278</v>
      </c>
      <c r="D1033" s="58" t="s">
        <v>8133</v>
      </c>
      <c r="E1033" s="58" t="s">
        <v>8133</v>
      </c>
      <c r="F1033" s="59" t="s">
        <v>604</v>
      </c>
    </row>
    <row r="1034" customFormat="false" ht="15" hidden="false" customHeight="false" outlineLevel="0" collapsed="false">
      <c r="A1034" s="90" t="str">
        <f aca="false">Gov_Map!$H279&amp;""</f>
        <v>—</v>
      </c>
      <c r="B1034" s="71" t="s">
        <v>8132</v>
      </c>
      <c r="C1034" s="58" t="n">
        <v>279</v>
      </c>
      <c r="D1034" s="58" t="s">
        <v>8133</v>
      </c>
      <c r="E1034" s="58" t="s">
        <v>8133</v>
      </c>
      <c r="F1034" s="59" t="s">
        <v>604</v>
      </c>
    </row>
    <row r="1035" customFormat="false" ht="15" hidden="false" customHeight="false" outlineLevel="0" collapsed="false">
      <c r="A1035" s="90" t="str">
        <f aca="false">Gov_Map!$H280&amp;""</f>
        <v>—</v>
      </c>
      <c r="B1035" s="71" t="s">
        <v>8132</v>
      </c>
      <c r="C1035" s="58" t="n">
        <v>280</v>
      </c>
      <c r="D1035" s="58" t="s">
        <v>8133</v>
      </c>
      <c r="E1035" s="58" t="s">
        <v>8133</v>
      </c>
      <c r="F1035" s="59" t="s">
        <v>604</v>
      </c>
    </row>
    <row r="1036" customFormat="false" ht="15" hidden="false" customHeight="false" outlineLevel="0" collapsed="false">
      <c r="A1036" s="90" t="str">
        <f aca="false">Gov_Map!$H281&amp;""</f>
        <v>—</v>
      </c>
      <c r="B1036" s="71" t="s">
        <v>8132</v>
      </c>
      <c r="C1036" s="58" t="n">
        <v>281</v>
      </c>
      <c r="D1036" s="58" t="s">
        <v>8133</v>
      </c>
      <c r="E1036" s="58" t="s">
        <v>8133</v>
      </c>
      <c r="F1036" s="59" t="s">
        <v>604</v>
      </c>
    </row>
    <row r="1037" customFormat="false" ht="15" hidden="false" customHeight="false" outlineLevel="0" collapsed="false">
      <c r="A1037" s="90" t="str">
        <f aca="false">Gov_Map!$H282&amp;""</f>
        <v>—</v>
      </c>
      <c r="B1037" s="71" t="s">
        <v>8132</v>
      </c>
      <c r="C1037" s="58" t="n">
        <v>282</v>
      </c>
      <c r="D1037" s="58" t="s">
        <v>8133</v>
      </c>
      <c r="E1037" s="58" t="s">
        <v>8133</v>
      </c>
      <c r="F1037" s="59" t="s">
        <v>604</v>
      </c>
    </row>
    <row r="1038" customFormat="false" ht="15" hidden="false" customHeight="false" outlineLevel="0" collapsed="false">
      <c r="A1038" s="90" t="str">
        <f aca="false">Gov_Map!$H283&amp;""</f>
        <v>—</v>
      </c>
      <c r="B1038" s="71" t="s">
        <v>8132</v>
      </c>
      <c r="C1038" s="58" t="n">
        <v>283</v>
      </c>
      <c r="D1038" s="58" t="s">
        <v>8133</v>
      </c>
      <c r="E1038" s="58" t="s">
        <v>8133</v>
      </c>
      <c r="F1038" s="59" t="s">
        <v>604</v>
      </c>
    </row>
    <row r="1039" customFormat="false" ht="15" hidden="false" customHeight="false" outlineLevel="0" collapsed="false">
      <c r="A1039" s="90" t="str">
        <f aca="false">Gov_Map!$H284&amp;""</f>
        <v>—</v>
      </c>
      <c r="B1039" s="71" t="s">
        <v>8132</v>
      </c>
      <c r="C1039" s="58" t="n">
        <v>284</v>
      </c>
      <c r="D1039" s="58" t="s">
        <v>8133</v>
      </c>
      <c r="E1039" s="58" t="s">
        <v>8133</v>
      </c>
      <c r="F1039" s="59" t="s">
        <v>604</v>
      </c>
    </row>
    <row r="1040" customFormat="false" ht="15" hidden="false" customHeight="false" outlineLevel="0" collapsed="false">
      <c r="A1040" s="90" t="str">
        <f aca="false">Gov_Map!$H285&amp;""</f>
        <v>—</v>
      </c>
      <c r="B1040" s="71" t="s">
        <v>8132</v>
      </c>
      <c r="C1040" s="58" t="n">
        <v>285</v>
      </c>
      <c r="D1040" s="58" t="s">
        <v>8133</v>
      </c>
      <c r="E1040" s="58" t="s">
        <v>8133</v>
      </c>
      <c r="F1040" s="59" t="s">
        <v>604</v>
      </c>
    </row>
    <row r="1041" customFormat="false" ht="15" hidden="false" customHeight="false" outlineLevel="0" collapsed="false">
      <c r="A1041" s="90" t="str">
        <f aca="false">Gov_Map!$H286&amp;""</f>
        <v>—</v>
      </c>
      <c r="B1041" s="71" t="s">
        <v>8132</v>
      </c>
      <c r="C1041" s="58" t="n">
        <v>286</v>
      </c>
      <c r="D1041" s="58" t="s">
        <v>8133</v>
      </c>
      <c r="E1041" s="58" t="s">
        <v>8133</v>
      </c>
      <c r="F1041" s="59" t="s">
        <v>604</v>
      </c>
    </row>
    <row r="1042" customFormat="false" ht="15" hidden="false" customHeight="false" outlineLevel="0" collapsed="false">
      <c r="A1042" s="90" t="str">
        <f aca="false">Gov_Map!$H287&amp;""</f>
        <v>—</v>
      </c>
      <c r="B1042" s="71" t="s">
        <v>8132</v>
      </c>
      <c r="C1042" s="58" t="n">
        <v>287</v>
      </c>
      <c r="D1042" s="58" t="s">
        <v>8133</v>
      </c>
      <c r="E1042" s="58" t="s">
        <v>8133</v>
      </c>
      <c r="F1042" s="59" t="s">
        <v>604</v>
      </c>
    </row>
    <row r="1043" customFormat="false" ht="15" hidden="false" customHeight="false" outlineLevel="0" collapsed="false">
      <c r="A1043" s="90" t="str">
        <f aca="false">Gov_Map!$H288&amp;""</f>
        <v>—</v>
      </c>
      <c r="B1043" s="71" t="s">
        <v>8132</v>
      </c>
      <c r="C1043" s="58" t="n">
        <v>288</v>
      </c>
      <c r="D1043" s="58" t="s">
        <v>8133</v>
      </c>
      <c r="E1043" s="58" t="s">
        <v>8133</v>
      </c>
      <c r="F1043" s="59" t="s">
        <v>604</v>
      </c>
    </row>
    <row r="1044" customFormat="false" ht="15" hidden="false" customHeight="false" outlineLevel="0" collapsed="false">
      <c r="A1044" s="90" t="str">
        <f aca="false">Gov_Map!$H289&amp;""</f>
        <v>—</v>
      </c>
      <c r="B1044" s="71" t="s">
        <v>8132</v>
      </c>
      <c r="C1044" s="58" t="n">
        <v>289</v>
      </c>
      <c r="D1044" s="58" t="s">
        <v>8133</v>
      </c>
      <c r="E1044" s="58" t="s">
        <v>8133</v>
      </c>
      <c r="F1044" s="59" t="s">
        <v>604</v>
      </c>
    </row>
    <row r="1045" customFormat="false" ht="15" hidden="false" customHeight="false" outlineLevel="0" collapsed="false">
      <c r="A1045" s="90" t="str">
        <f aca="false">Gov_Map!$H290&amp;""</f>
        <v>—</v>
      </c>
      <c r="B1045" s="71" t="s">
        <v>8132</v>
      </c>
      <c r="C1045" s="58" t="n">
        <v>290</v>
      </c>
      <c r="D1045" s="58" t="s">
        <v>8133</v>
      </c>
      <c r="E1045" s="58" t="s">
        <v>8133</v>
      </c>
      <c r="F1045" s="59" t="s">
        <v>604</v>
      </c>
    </row>
    <row r="1046" customFormat="false" ht="15" hidden="false" customHeight="false" outlineLevel="0" collapsed="false">
      <c r="A1046" s="90" t="str">
        <f aca="false">Gov_Map!$H291&amp;""</f>
        <v>—</v>
      </c>
      <c r="B1046" s="71" t="s">
        <v>8132</v>
      </c>
      <c r="C1046" s="58" t="n">
        <v>291</v>
      </c>
      <c r="D1046" s="58" t="s">
        <v>8133</v>
      </c>
      <c r="E1046" s="58" t="s">
        <v>8133</v>
      </c>
      <c r="F1046" s="59" t="s">
        <v>604</v>
      </c>
    </row>
    <row r="1047" customFormat="false" ht="15" hidden="false" customHeight="false" outlineLevel="0" collapsed="false">
      <c r="A1047" s="90" t="str">
        <f aca="false">Gov_Map!$H292&amp;""</f>
        <v>—</v>
      </c>
      <c r="B1047" s="71" t="s">
        <v>8132</v>
      </c>
      <c r="C1047" s="58" t="n">
        <v>292</v>
      </c>
      <c r="D1047" s="58" t="s">
        <v>8133</v>
      </c>
      <c r="E1047" s="58" t="s">
        <v>8133</v>
      </c>
      <c r="F1047" s="59" t="s">
        <v>604</v>
      </c>
    </row>
    <row r="1048" customFormat="false" ht="15" hidden="false" customHeight="false" outlineLevel="0" collapsed="false">
      <c r="A1048" s="90" t="str">
        <f aca="false">Gov_Map!$H293&amp;""</f>
        <v>—</v>
      </c>
      <c r="B1048" s="71" t="s">
        <v>8132</v>
      </c>
      <c r="C1048" s="58" t="n">
        <v>293</v>
      </c>
      <c r="D1048" s="58" t="s">
        <v>8133</v>
      </c>
      <c r="E1048" s="58" t="s">
        <v>8133</v>
      </c>
      <c r="F1048" s="59" t="s">
        <v>604</v>
      </c>
    </row>
    <row r="1049" customFormat="false" ht="15" hidden="false" customHeight="false" outlineLevel="0" collapsed="false">
      <c r="A1049" s="90" t="str">
        <f aca="false">Gov_Map!$H294&amp;""</f>
        <v>—</v>
      </c>
      <c r="B1049" s="71" t="s">
        <v>8132</v>
      </c>
      <c r="C1049" s="58" t="n">
        <v>294</v>
      </c>
      <c r="D1049" s="58" t="s">
        <v>8133</v>
      </c>
      <c r="E1049" s="58" t="s">
        <v>8133</v>
      </c>
      <c r="F1049" s="59" t="s">
        <v>604</v>
      </c>
    </row>
    <row r="1050" customFormat="false" ht="15" hidden="false" customHeight="false" outlineLevel="0" collapsed="false">
      <c r="A1050" s="90" t="str">
        <f aca="false">Gov_Map!$H295&amp;""</f>
        <v>—</v>
      </c>
      <c r="B1050" s="71" t="s">
        <v>8132</v>
      </c>
      <c r="C1050" s="58" t="n">
        <v>295</v>
      </c>
      <c r="D1050" s="58" t="s">
        <v>8133</v>
      </c>
      <c r="E1050" s="58" t="s">
        <v>8133</v>
      </c>
      <c r="F1050" s="59" t="s">
        <v>604</v>
      </c>
    </row>
    <row r="1051" customFormat="false" ht="15" hidden="false" customHeight="false" outlineLevel="0" collapsed="false">
      <c r="A1051" s="90" t="str">
        <f aca="false">Gov_Map!$H296&amp;""</f>
        <v>—</v>
      </c>
      <c r="B1051" s="71" t="s">
        <v>8132</v>
      </c>
      <c r="C1051" s="58" t="n">
        <v>296</v>
      </c>
      <c r="D1051" s="58" t="s">
        <v>8133</v>
      </c>
      <c r="E1051" s="58" t="s">
        <v>8133</v>
      </c>
      <c r="F1051" s="59" t="s">
        <v>604</v>
      </c>
    </row>
    <row r="1052" customFormat="false" ht="15" hidden="false" customHeight="false" outlineLevel="0" collapsed="false">
      <c r="A1052" s="90" t="str">
        <f aca="false">Gov_Map!$H297&amp;""</f>
        <v>—</v>
      </c>
      <c r="B1052" s="71" t="s">
        <v>8132</v>
      </c>
      <c r="C1052" s="58" t="n">
        <v>297</v>
      </c>
      <c r="D1052" s="58" t="s">
        <v>8133</v>
      </c>
      <c r="E1052" s="58" t="s">
        <v>8133</v>
      </c>
      <c r="F1052" s="59" t="s">
        <v>604</v>
      </c>
    </row>
    <row r="1053" customFormat="false" ht="15" hidden="false" customHeight="false" outlineLevel="0" collapsed="false">
      <c r="A1053" s="90" t="str">
        <f aca="false">Gov_Map!$H298&amp;""</f>
        <v>—</v>
      </c>
      <c r="B1053" s="71" t="s">
        <v>8132</v>
      </c>
      <c r="C1053" s="58" t="n">
        <v>298</v>
      </c>
      <c r="D1053" s="58" t="s">
        <v>8133</v>
      </c>
      <c r="E1053" s="58" t="s">
        <v>8133</v>
      </c>
      <c r="F1053" s="59" t="s">
        <v>604</v>
      </c>
    </row>
    <row r="1054" customFormat="false" ht="15" hidden="false" customHeight="false" outlineLevel="0" collapsed="false">
      <c r="A1054" s="90" t="str">
        <f aca="false">Gov_Map!$H299&amp;""</f>
        <v>—</v>
      </c>
      <c r="B1054" s="71" t="s">
        <v>8132</v>
      </c>
      <c r="C1054" s="58" t="n">
        <v>299</v>
      </c>
      <c r="D1054" s="58" t="s">
        <v>8133</v>
      </c>
      <c r="E1054" s="58" t="s">
        <v>8133</v>
      </c>
      <c r="F1054" s="59" t="s">
        <v>604</v>
      </c>
    </row>
    <row r="1055" customFormat="false" ht="15" hidden="false" customHeight="false" outlineLevel="0" collapsed="false">
      <c r="A1055" s="90" t="str">
        <f aca="false">Gov_Map!$H300&amp;""</f>
        <v>—</v>
      </c>
      <c r="B1055" s="71" t="s">
        <v>8132</v>
      </c>
      <c r="C1055" s="58" t="n">
        <v>300</v>
      </c>
      <c r="D1055" s="58" t="s">
        <v>8133</v>
      </c>
      <c r="E1055" s="58" t="s">
        <v>8133</v>
      </c>
      <c r="F1055" s="59" t="s">
        <v>604</v>
      </c>
    </row>
    <row r="1056" customFormat="false" ht="15" hidden="false" customHeight="false" outlineLevel="0" collapsed="false">
      <c r="A1056" s="90" t="str">
        <f aca="false">Gov_Map!$H301&amp;""</f>
        <v>—</v>
      </c>
      <c r="B1056" s="71" t="s">
        <v>8132</v>
      </c>
      <c r="C1056" s="58" t="n">
        <v>301</v>
      </c>
      <c r="D1056" s="58" t="s">
        <v>8133</v>
      </c>
      <c r="E1056" s="58" t="s">
        <v>8133</v>
      </c>
      <c r="F1056" s="59" t="s">
        <v>604</v>
      </c>
    </row>
    <row r="1057" customFormat="false" ht="15" hidden="false" customHeight="false" outlineLevel="0" collapsed="false">
      <c r="A1057" s="90" t="str">
        <f aca="false">Gov_Map!$H302&amp;""</f>
        <v>—</v>
      </c>
      <c r="B1057" s="71" t="s">
        <v>8132</v>
      </c>
      <c r="C1057" s="58" t="n">
        <v>302</v>
      </c>
      <c r="D1057" s="58" t="s">
        <v>8133</v>
      </c>
      <c r="E1057" s="58" t="s">
        <v>8133</v>
      </c>
      <c r="F1057" s="59" t="s">
        <v>604</v>
      </c>
    </row>
    <row r="1058" customFormat="false" ht="15" hidden="false" customHeight="false" outlineLevel="0" collapsed="false">
      <c r="A1058" s="90" t="str">
        <f aca="false">Gov_Map!$H303&amp;""</f>
        <v>—</v>
      </c>
      <c r="B1058" s="71" t="s">
        <v>8132</v>
      </c>
      <c r="C1058" s="58" t="n">
        <v>303</v>
      </c>
      <c r="D1058" s="58" t="s">
        <v>8133</v>
      </c>
      <c r="E1058" s="58" t="s">
        <v>8133</v>
      </c>
      <c r="F1058" s="59" t="s">
        <v>604</v>
      </c>
    </row>
    <row r="1059" customFormat="false" ht="15" hidden="false" customHeight="false" outlineLevel="0" collapsed="false">
      <c r="A1059" s="90" t="str">
        <f aca="false">Gov_Map!$H304&amp;""</f>
        <v>—</v>
      </c>
      <c r="B1059" s="71" t="s">
        <v>8132</v>
      </c>
      <c r="C1059" s="58" t="n">
        <v>304</v>
      </c>
      <c r="D1059" s="58" t="s">
        <v>8133</v>
      </c>
      <c r="E1059" s="58" t="s">
        <v>8133</v>
      </c>
      <c r="F1059" s="59" t="s">
        <v>604</v>
      </c>
    </row>
    <row r="1060" customFormat="false" ht="15" hidden="false" customHeight="false" outlineLevel="0" collapsed="false">
      <c r="A1060" s="90" t="str">
        <f aca="false">Gov_Map!$H305&amp;""</f>
        <v>—</v>
      </c>
      <c r="B1060" s="71" t="s">
        <v>8132</v>
      </c>
      <c r="C1060" s="58" t="n">
        <v>305</v>
      </c>
      <c r="D1060" s="58" t="s">
        <v>8133</v>
      </c>
      <c r="E1060" s="58" t="s">
        <v>8133</v>
      </c>
      <c r="F1060" s="59" t="s">
        <v>604</v>
      </c>
    </row>
    <row r="1061" customFormat="false" ht="15" hidden="false" customHeight="false" outlineLevel="0" collapsed="false">
      <c r="A1061" s="90" t="str">
        <f aca="false">Gov_Map!$H306&amp;""</f>
        <v>SRC_HAR_001</v>
      </c>
      <c r="B1061" s="71" t="s">
        <v>8132</v>
      </c>
      <c r="C1061" s="58" t="n">
        <v>306</v>
      </c>
      <c r="D1061" s="58" t="s">
        <v>8133</v>
      </c>
      <c r="E1061" s="58" t="s">
        <v>8133</v>
      </c>
      <c r="F1061" s="59" t="s">
        <v>604</v>
      </c>
    </row>
    <row r="1062" customFormat="false" ht="15" hidden="false" customHeight="false" outlineLevel="0" collapsed="false">
      <c r="A1062" s="90" t="str">
        <f aca="false">Gov_Map!$H307&amp;""</f>
        <v>SRC_HAR_002</v>
      </c>
      <c r="B1062" s="71" t="s">
        <v>8132</v>
      </c>
      <c r="C1062" s="58" t="n">
        <v>307</v>
      </c>
      <c r="D1062" s="58" t="s">
        <v>8133</v>
      </c>
      <c r="E1062" s="58" t="s">
        <v>8133</v>
      </c>
      <c r="F1062" s="59" t="s">
        <v>604</v>
      </c>
    </row>
    <row r="1063" customFormat="false" ht="15" hidden="false" customHeight="false" outlineLevel="0" collapsed="false">
      <c r="A1063" s="90" t="str">
        <f aca="false">Gov_Map!$H308&amp;""</f>
        <v>SRC_PERF_041</v>
      </c>
      <c r="B1063" s="71" t="s">
        <v>8132</v>
      </c>
      <c r="C1063" s="58" t="n">
        <v>308</v>
      </c>
      <c r="D1063" s="58" t="s">
        <v>8133</v>
      </c>
      <c r="E1063" s="58" t="s">
        <v>8133</v>
      </c>
      <c r="F1063" s="59" t="s">
        <v>604</v>
      </c>
    </row>
    <row r="1064" customFormat="false" ht="15" hidden="false" customHeight="false" outlineLevel="0" collapsed="false">
      <c r="A1064" s="90" t="str">
        <f aca="false">Gov_Map!$H309&amp;""</f>
        <v>—</v>
      </c>
      <c r="B1064" s="71" t="s">
        <v>8132</v>
      </c>
      <c r="C1064" s="58" t="n">
        <v>309</v>
      </c>
      <c r="D1064" s="58" t="s">
        <v>8133</v>
      </c>
      <c r="E1064" s="58" t="s">
        <v>8133</v>
      </c>
      <c r="F1064" s="59" t="s">
        <v>604</v>
      </c>
    </row>
    <row r="1065" customFormat="false" ht="15" hidden="false" customHeight="false" outlineLevel="0" collapsed="false">
      <c r="A1065" s="90" t="str">
        <f aca="false">Gov_Map!$H310&amp;""</f>
        <v>SRC_PERF_009</v>
      </c>
      <c r="B1065" s="71" t="s">
        <v>8132</v>
      </c>
      <c r="C1065" s="58" t="n">
        <v>310</v>
      </c>
      <c r="D1065" s="58" t="s">
        <v>8133</v>
      </c>
      <c r="E1065" s="58" t="s">
        <v>8133</v>
      </c>
      <c r="F1065" s="59" t="s">
        <v>604</v>
      </c>
    </row>
    <row r="1066" customFormat="false" ht="15" hidden="false" customHeight="false" outlineLevel="0" collapsed="false">
      <c r="A1066" s="90" t="str">
        <f aca="false">Gov_Map!$H311&amp;""</f>
        <v>SRC_PERF_009</v>
      </c>
      <c r="B1066" s="71" t="s">
        <v>8132</v>
      </c>
      <c r="C1066" s="58" t="n">
        <v>311</v>
      </c>
      <c r="D1066" s="58" t="s">
        <v>8133</v>
      </c>
      <c r="E1066" s="58" t="s">
        <v>8133</v>
      </c>
      <c r="F1066" s="59" t="s">
        <v>604</v>
      </c>
    </row>
    <row r="1067" customFormat="false" ht="15" hidden="false" customHeight="false" outlineLevel="0" collapsed="false">
      <c r="A1067" s="90" t="str">
        <f aca="false">Gov_Map!$H312&amp;""</f>
        <v>SRC_PERF_009</v>
      </c>
      <c r="B1067" s="71" t="s">
        <v>8132</v>
      </c>
      <c r="C1067" s="58" t="n">
        <v>312</v>
      </c>
      <c r="D1067" s="58" t="s">
        <v>8133</v>
      </c>
      <c r="E1067" s="58" t="s">
        <v>8133</v>
      </c>
      <c r="F1067" s="59" t="s">
        <v>604</v>
      </c>
    </row>
    <row r="1068" customFormat="false" ht="15" hidden="false" customHeight="false" outlineLevel="0" collapsed="false">
      <c r="A1068" s="90" t="str">
        <f aca="false">Gov_Map!$H313&amp;""</f>
        <v>SRC_PERF_009</v>
      </c>
      <c r="B1068" s="71" t="s">
        <v>8132</v>
      </c>
      <c r="C1068" s="58" t="n">
        <v>313</v>
      </c>
      <c r="D1068" s="58" t="s">
        <v>8133</v>
      </c>
      <c r="E1068" s="58" t="s">
        <v>8133</v>
      </c>
      <c r="F1068" s="59" t="s">
        <v>604</v>
      </c>
    </row>
    <row r="1069" customFormat="false" ht="15" hidden="false" customHeight="false" outlineLevel="0" collapsed="false">
      <c r="A1069" s="90" t="str">
        <f aca="false">Gov_Map!$H314&amp;""</f>
        <v>SRC_PERF_009</v>
      </c>
      <c r="B1069" s="71" t="s">
        <v>8132</v>
      </c>
      <c r="C1069" s="58" t="n">
        <v>314</v>
      </c>
      <c r="D1069" s="58" t="s">
        <v>8133</v>
      </c>
      <c r="E1069" s="58" t="s">
        <v>8133</v>
      </c>
      <c r="F1069" s="59" t="s">
        <v>604</v>
      </c>
    </row>
    <row r="1070" customFormat="false" ht="15" hidden="false" customHeight="false" outlineLevel="0" collapsed="false">
      <c r="A1070" s="90" t="str">
        <f aca="false">Gov_Map!$H315&amp;""</f>
        <v>SRC_PERF_010</v>
      </c>
      <c r="B1070" s="71" t="s">
        <v>8132</v>
      </c>
      <c r="C1070" s="58" t="n">
        <v>315</v>
      </c>
      <c r="D1070" s="58" t="s">
        <v>8133</v>
      </c>
      <c r="E1070" s="58" t="s">
        <v>8133</v>
      </c>
      <c r="F1070" s="59" t="s">
        <v>604</v>
      </c>
    </row>
    <row r="1071" customFormat="false" ht="15" hidden="false" customHeight="false" outlineLevel="0" collapsed="false">
      <c r="A1071" s="90" t="str">
        <f aca="false">Gov_Map!$H316&amp;""</f>
        <v>SRC_PERF_010</v>
      </c>
      <c r="B1071" s="71" t="s">
        <v>8132</v>
      </c>
      <c r="C1071" s="58" t="n">
        <v>316</v>
      </c>
      <c r="D1071" s="58" t="s">
        <v>8133</v>
      </c>
      <c r="E1071" s="58" t="s">
        <v>8133</v>
      </c>
      <c r="F1071" s="59" t="s">
        <v>604</v>
      </c>
    </row>
    <row r="1072" customFormat="false" ht="15" hidden="false" customHeight="false" outlineLevel="0" collapsed="false">
      <c r="A1072" s="90" t="str">
        <f aca="false">Gov_Map!$H317&amp;""</f>
        <v>SRC_PERF_010</v>
      </c>
      <c r="B1072" s="71" t="s">
        <v>8132</v>
      </c>
      <c r="C1072" s="58" t="n">
        <v>317</v>
      </c>
      <c r="D1072" s="58" t="s">
        <v>8133</v>
      </c>
      <c r="E1072" s="58" t="s">
        <v>8133</v>
      </c>
      <c r="F1072" s="59" t="s">
        <v>604</v>
      </c>
    </row>
    <row r="1073" customFormat="false" ht="15" hidden="false" customHeight="false" outlineLevel="0" collapsed="false">
      <c r="A1073" s="90" t="str">
        <f aca="false">Gov_Map!$H318&amp;""</f>
        <v>SRC_PERF_010</v>
      </c>
      <c r="B1073" s="71" t="s">
        <v>8132</v>
      </c>
      <c r="C1073" s="58" t="n">
        <v>318</v>
      </c>
      <c r="D1073" s="58" t="s">
        <v>8133</v>
      </c>
      <c r="E1073" s="58" t="s">
        <v>8133</v>
      </c>
      <c r="F1073" s="59" t="s">
        <v>604</v>
      </c>
    </row>
    <row r="1074" customFormat="false" ht="15" hidden="false" customHeight="false" outlineLevel="0" collapsed="false">
      <c r="A1074" s="90" t="str">
        <f aca="false">Gov_Map!$H319&amp;""</f>
        <v>SRC_PERF_010</v>
      </c>
      <c r="B1074" s="71" t="s">
        <v>8132</v>
      </c>
      <c r="C1074" s="58" t="n">
        <v>319</v>
      </c>
      <c r="D1074" s="58" t="s">
        <v>8133</v>
      </c>
      <c r="E1074" s="58" t="s">
        <v>8133</v>
      </c>
      <c r="F1074" s="59" t="s">
        <v>604</v>
      </c>
    </row>
    <row r="1075" customFormat="false" ht="15" hidden="false" customHeight="false" outlineLevel="0" collapsed="false">
      <c r="A1075" s="90" t="str">
        <f aca="false">Gov_Map!$H320&amp;""</f>
        <v>SRC_PERF_004</v>
      </c>
      <c r="B1075" s="71" t="s">
        <v>8132</v>
      </c>
      <c r="C1075" s="58" t="n">
        <v>320</v>
      </c>
      <c r="D1075" s="58" t="s">
        <v>8133</v>
      </c>
      <c r="E1075" s="58" t="s">
        <v>8133</v>
      </c>
      <c r="F1075" s="59" t="s">
        <v>604</v>
      </c>
    </row>
    <row r="1076" customFormat="false" ht="15" hidden="false" customHeight="false" outlineLevel="0" collapsed="false">
      <c r="A1076" s="90" t="str">
        <f aca="false">Gov_Map!$H321&amp;""</f>
        <v>SRC_PERF_004</v>
      </c>
      <c r="B1076" s="71" t="s">
        <v>8132</v>
      </c>
      <c r="C1076" s="58" t="n">
        <v>321</v>
      </c>
      <c r="D1076" s="58" t="s">
        <v>8133</v>
      </c>
      <c r="E1076" s="58" t="s">
        <v>8133</v>
      </c>
      <c r="F1076" s="59" t="s">
        <v>604</v>
      </c>
    </row>
    <row r="1077" customFormat="false" ht="15" hidden="false" customHeight="false" outlineLevel="0" collapsed="false">
      <c r="A1077" s="90" t="str">
        <f aca="false">Gov_Map!$H322&amp;""</f>
        <v>SRC_PERF_004</v>
      </c>
      <c r="B1077" s="71" t="s">
        <v>8132</v>
      </c>
      <c r="C1077" s="58" t="n">
        <v>322</v>
      </c>
      <c r="D1077" s="58" t="s">
        <v>8133</v>
      </c>
      <c r="E1077" s="58" t="s">
        <v>8133</v>
      </c>
      <c r="F1077" s="59" t="s">
        <v>604</v>
      </c>
    </row>
    <row r="1078" customFormat="false" ht="15" hidden="false" customHeight="false" outlineLevel="0" collapsed="false">
      <c r="A1078" s="90" t="str">
        <f aca="false">Gov_Map!$H323&amp;""</f>
        <v>SRC_PERF_004</v>
      </c>
      <c r="B1078" s="71" t="s">
        <v>8132</v>
      </c>
      <c r="C1078" s="58" t="n">
        <v>323</v>
      </c>
      <c r="D1078" s="58" t="s">
        <v>8133</v>
      </c>
      <c r="E1078" s="58" t="s">
        <v>8133</v>
      </c>
      <c r="F1078" s="59" t="s">
        <v>604</v>
      </c>
    </row>
    <row r="1079" customFormat="false" ht="15" hidden="false" customHeight="false" outlineLevel="0" collapsed="false">
      <c r="A1079" s="90" t="str">
        <f aca="false">Gov_Map!$H324&amp;""</f>
        <v>SRC_PERF_004</v>
      </c>
      <c r="B1079" s="71" t="s">
        <v>8132</v>
      </c>
      <c r="C1079" s="58" t="n">
        <v>324</v>
      </c>
      <c r="D1079" s="58" t="s">
        <v>8133</v>
      </c>
      <c r="E1079" s="58" t="s">
        <v>8133</v>
      </c>
      <c r="F1079" s="59" t="s">
        <v>604</v>
      </c>
    </row>
    <row r="1080" customFormat="false" ht="15" hidden="false" customHeight="false" outlineLevel="0" collapsed="false">
      <c r="A1080" s="90" t="str">
        <f aca="false">Gov_Map!$H325&amp;""</f>
        <v>SRC_PERF_001</v>
      </c>
      <c r="B1080" s="71" t="s">
        <v>8132</v>
      </c>
      <c r="C1080" s="58" t="n">
        <v>325</v>
      </c>
      <c r="D1080" s="58" t="s">
        <v>8133</v>
      </c>
      <c r="E1080" s="58" t="s">
        <v>8133</v>
      </c>
      <c r="F1080" s="59" t="s">
        <v>604</v>
      </c>
    </row>
    <row r="1081" customFormat="false" ht="15" hidden="false" customHeight="false" outlineLevel="0" collapsed="false">
      <c r="A1081" s="90" t="str">
        <f aca="false">Gov_Map!$H326&amp;""</f>
        <v>SRC_PERF_001</v>
      </c>
      <c r="B1081" s="71" t="s">
        <v>8132</v>
      </c>
      <c r="C1081" s="58" t="n">
        <v>326</v>
      </c>
      <c r="D1081" s="58" t="s">
        <v>8133</v>
      </c>
      <c r="E1081" s="58" t="s">
        <v>8133</v>
      </c>
      <c r="F1081" s="59" t="s">
        <v>604</v>
      </c>
    </row>
    <row r="1082" customFormat="false" ht="15" hidden="false" customHeight="false" outlineLevel="0" collapsed="false">
      <c r="A1082" s="90" t="str">
        <f aca="false">Gov_Map!$H327&amp;""</f>
        <v>SRC_PERF_001</v>
      </c>
      <c r="B1082" s="71" t="s">
        <v>8132</v>
      </c>
      <c r="C1082" s="58" t="n">
        <v>327</v>
      </c>
      <c r="D1082" s="58" t="s">
        <v>8133</v>
      </c>
      <c r="E1082" s="58" t="s">
        <v>8133</v>
      </c>
      <c r="F1082" s="59" t="s">
        <v>604</v>
      </c>
    </row>
    <row r="1083" customFormat="false" ht="15" hidden="false" customHeight="false" outlineLevel="0" collapsed="false">
      <c r="A1083" s="90" t="str">
        <f aca="false">Gov_Map!$H328&amp;""</f>
        <v>SRC_PERF_001</v>
      </c>
      <c r="B1083" s="71" t="s">
        <v>8132</v>
      </c>
      <c r="C1083" s="58" t="n">
        <v>328</v>
      </c>
      <c r="D1083" s="58" t="s">
        <v>8133</v>
      </c>
      <c r="E1083" s="58" t="s">
        <v>8133</v>
      </c>
      <c r="F1083" s="59" t="s">
        <v>604</v>
      </c>
    </row>
    <row r="1084" customFormat="false" ht="15" hidden="false" customHeight="false" outlineLevel="0" collapsed="false">
      <c r="A1084" s="90" t="str">
        <f aca="false">Gov_Map!$H329&amp;""</f>
        <v>SRC_PERF_001</v>
      </c>
      <c r="B1084" s="71" t="s">
        <v>8132</v>
      </c>
      <c r="C1084" s="58" t="n">
        <v>329</v>
      </c>
      <c r="D1084" s="58" t="s">
        <v>8133</v>
      </c>
      <c r="E1084" s="58" t="s">
        <v>8133</v>
      </c>
      <c r="F1084" s="59" t="s">
        <v>604</v>
      </c>
    </row>
    <row r="1085" customFormat="false" ht="15" hidden="false" customHeight="false" outlineLevel="0" collapsed="false">
      <c r="A1085" s="90" t="str">
        <f aca="false">Gov_Map!$H330&amp;""</f>
        <v>SRC_PERF_002</v>
      </c>
      <c r="B1085" s="71" t="s">
        <v>8132</v>
      </c>
      <c r="C1085" s="58" t="n">
        <v>330</v>
      </c>
      <c r="D1085" s="58" t="s">
        <v>8133</v>
      </c>
      <c r="E1085" s="58" t="s">
        <v>8133</v>
      </c>
      <c r="F1085" s="59" t="s">
        <v>604</v>
      </c>
    </row>
    <row r="1086" customFormat="false" ht="15" hidden="false" customHeight="false" outlineLevel="0" collapsed="false">
      <c r="A1086" s="90" t="str">
        <f aca="false">Gov_Map!$H331&amp;""</f>
        <v>SRC_PERF_002</v>
      </c>
      <c r="B1086" s="71" t="s">
        <v>8132</v>
      </c>
      <c r="C1086" s="58" t="n">
        <v>331</v>
      </c>
      <c r="D1086" s="58" t="s">
        <v>8133</v>
      </c>
      <c r="E1086" s="58" t="s">
        <v>8133</v>
      </c>
      <c r="F1086" s="59" t="s">
        <v>604</v>
      </c>
    </row>
    <row r="1087" customFormat="false" ht="15" hidden="false" customHeight="false" outlineLevel="0" collapsed="false">
      <c r="A1087" s="90" t="str">
        <f aca="false">Gov_Map!$H332&amp;""</f>
        <v>SRC_PERF_002</v>
      </c>
      <c r="B1087" s="71" t="s">
        <v>8132</v>
      </c>
      <c r="C1087" s="58" t="n">
        <v>332</v>
      </c>
      <c r="D1087" s="58" t="s">
        <v>8133</v>
      </c>
      <c r="E1087" s="58" t="s">
        <v>8133</v>
      </c>
      <c r="F1087" s="59" t="s">
        <v>604</v>
      </c>
    </row>
    <row r="1088" customFormat="false" ht="15" hidden="false" customHeight="false" outlineLevel="0" collapsed="false">
      <c r="A1088" s="90" t="str">
        <f aca="false">Gov_Map!$H333&amp;""</f>
        <v>SRC_PERF_002</v>
      </c>
      <c r="B1088" s="71" t="s">
        <v>8132</v>
      </c>
      <c r="C1088" s="58" t="n">
        <v>333</v>
      </c>
      <c r="D1088" s="58" t="s">
        <v>8133</v>
      </c>
      <c r="E1088" s="58" t="s">
        <v>8133</v>
      </c>
      <c r="F1088" s="59" t="s">
        <v>604</v>
      </c>
    </row>
    <row r="1089" customFormat="false" ht="15" hidden="false" customHeight="false" outlineLevel="0" collapsed="false">
      <c r="A1089" s="90" t="str">
        <f aca="false">Gov_Map!$H334&amp;""</f>
        <v>SRC_PERF_002</v>
      </c>
      <c r="B1089" s="71" t="s">
        <v>8132</v>
      </c>
      <c r="C1089" s="58" t="n">
        <v>334</v>
      </c>
      <c r="D1089" s="58" t="s">
        <v>8133</v>
      </c>
      <c r="E1089" s="58" t="s">
        <v>8133</v>
      </c>
      <c r="F1089" s="59" t="s">
        <v>604</v>
      </c>
    </row>
    <row r="1090" customFormat="false" ht="15" hidden="false" customHeight="false" outlineLevel="0" collapsed="false">
      <c r="A1090" s="90" t="str">
        <f aca="false">Gov_Map!$H335&amp;""</f>
        <v>SRC_PERF_014</v>
      </c>
      <c r="B1090" s="71" t="s">
        <v>8132</v>
      </c>
      <c r="C1090" s="58" t="n">
        <v>335</v>
      </c>
      <c r="D1090" s="58" t="s">
        <v>8133</v>
      </c>
      <c r="E1090" s="58" t="s">
        <v>8133</v>
      </c>
      <c r="F1090" s="59" t="s">
        <v>604</v>
      </c>
    </row>
    <row r="1091" customFormat="false" ht="15" hidden="false" customHeight="false" outlineLevel="0" collapsed="false">
      <c r="A1091" s="90" t="str">
        <f aca="false">Gov_Map!$H336&amp;""</f>
        <v>SRC_PERF_014</v>
      </c>
      <c r="B1091" s="71" t="s">
        <v>8132</v>
      </c>
      <c r="C1091" s="58" t="n">
        <v>336</v>
      </c>
      <c r="D1091" s="58" t="s">
        <v>8133</v>
      </c>
      <c r="E1091" s="58" t="s">
        <v>8133</v>
      </c>
      <c r="F1091" s="59" t="s">
        <v>604</v>
      </c>
    </row>
    <row r="1092" customFormat="false" ht="15" hidden="false" customHeight="false" outlineLevel="0" collapsed="false">
      <c r="A1092" s="90" t="str">
        <f aca="false">Gov_Map!$H337&amp;""</f>
        <v>SRC_PERF_014</v>
      </c>
      <c r="B1092" s="71" t="s">
        <v>8132</v>
      </c>
      <c r="C1092" s="58" t="n">
        <v>337</v>
      </c>
      <c r="D1092" s="58" t="s">
        <v>8133</v>
      </c>
      <c r="E1092" s="58" t="s">
        <v>8133</v>
      </c>
      <c r="F1092" s="59" t="s">
        <v>604</v>
      </c>
    </row>
    <row r="1093" customFormat="false" ht="15" hidden="false" customHeight="false" outlineLevel="0" collapsed="false">
      <c r="A1093" s="90" t="str">
        <f aca="false">Gov_Map!$H338&amp;""</f>
        <v>SRC_PERF_014</v>
      </c>
      <c r="B1093" s="71" t="s">
        <v>8132</v>
      </c>
      <c r="C1093" s="58" t="n">
        <v>338</v>
      </c>
      <c r="D1093" s="58" t="s">
        <v>8133</v>
      </c>
      <c r="E1093" s="58" t="s">
        <v>8133</v>
      </c>
      <c r="F1093" s="59" t="s">
        <v>604</v>
      </c>
    </row>
    <row r="1094" customFormat="false" ht="15" hidden="false" customHeight="false" outlineLevel="0" collapsed="false">
      <c r="A1094" s="90" t="str">
        <f aca="false">Gov_Map!$H339&amp;""</f>
        <v>SRC_PERF_014</v>
      </c>
      <c r="B1094" s="71" t="s">
        <v>8132</v>
      </c>
      <c r="C1094" s="58" t="n">
        <v>339</v>
      </c>
      <c r="D1094" s="58" t="s">
        <v>8133</v>
      </c>
      <c r="E1094" s="58" t="s">
        <v>8133</v>
      </c>
      <c r="F1094" s="59" t="s">
        <v>604</v>
      </c>
    </row>
    <row r="1095" customFormat="false" ht="15" hidden="false" customHeight="false" outlineLevel="0" collapsed="false">
      <c r="A1095" s="90" t="str">
        <f aca="false">Gov_Map!$H340&amp;""</f>
        <v>SRC_PERF_015</v>
      </c>
      <c r="B1095" s="71" t="s">
        <v>8132</v>
      </c>
      <c r="C1095" s="58" t="n">
        <v>340</v>
      </c>
      <c r="D1095" s="58" t="s">
        <v>8133</v>
      </c>
      <c r="E1095" s="58" t="s">
        <v>8133</v>
      </c>
      <c r="F1095" s="59" t="s">
        <v>604</v>
      </c>
    </row>
    <row r="1096" customFormat="false" ht="15" hidden="false" customHeight="false" outlineLevel="0" collapsed="false">
      <c r="A1096" s="90" t="str">
        <f aca="false">Gov_Map!$H341&amp;""</f>
        <v>SRC_PERF_015</v>
      </c>
      <c r="B1096" s="71" t="s">
        <v>8132</v>
      </c>
      <c r="C1096" s="58" t="n">
        <v>341</v>
      </c>
      <c r="D1096" s="58" t="s">
        <v>8133</v>
      </c>
      <c r="E1096" s="58" t="s">
        <v>8133</v>
      </c>
      <c r="F1096" s="59" t="s">
        <v>604</v>
      </c>
    </row>
    <row r="1097" customFormat="false" ht="15" hidden="false" customHeight="false" outlineLevel="0" collapsed="false">
      <c r="A1097" s="90" t="str">
        <f aca="false">Gov_Map!$H342&amp;""</f>
        <v>SRC_PERF_015</v>
      </c>
      <c r="B1097" s="71" t="s">
        <v>8132</v>
      </c>
      <c r="C1097" s="58" t="n">
        <v>342</v>
      </c>
      <c r="D1097" s="58" t="s">
        <v>8133</v>
      </c>
      <c r="E1097" s="58" t="s">
        <v>8133</v>
      </c>
      <c r="F1097" s="59" t="s">
        <v>604</v>
      </c>
    </row>
    <row r="1098" customFormat="false" ht="15" hidden="false" customHeight="false" outlineLevel="0" collapsed="false">
      <c r="A1098" s="90" t="str">
        <f aca="false">Gov_Map!$H343&amp;""</f>
        <v>SRC_PERF_015</v>
      </c>
      <c r="B1098" s="71" t="s">
        <v>8132</v>
      </c>
      <c r="C1098" s="58" t="n">
        <v>343</v>
      </c>
      <c r="D1098" s="58" t="s">
        <v>8133</v>
      </c>
      <c r="E1098" s="58" t="s">
        <v>8133</v>
      </c>
      <c r="F1098" s="59" t="s">
        <v>604</v>
      </c>
    </row>
    <row r="1099" customFormat="false" ht="15" hidden="false" customHeight="false" outlineLevel="0" collapsed="false">
      <c r="A1099" s="90" t="str">
        <f aca="false">Gov_Map!$H344&amp;""</f>
        <v>SRC_PERF_015</v>
      </c>
      <c r="B1099" s="71" t="s">
        <v>8132</v>
      </c>
      <c r="C1099" s="58" t="n">
        <v>344</v>
      </c>
      <c r="D1099" s="58" t="s">
        <v>8133</v>
      </c>
      <c r="E1099" s="58" t="s">
        <v>8133</v>
      </c>
      <c r="F1099" s="59" t="s">
        <v>604</v>
      </c>
    </row>
    <row r="1100" customFormat="false" ht="15" hidden="false" customHeight="false" outlineLevel="0" collapsed="false">
      <c r="A1100" s="90" t="str">
        <f aca="false">Gov_Map!$H345&amp;""</f>
        <v>SRC_PERF_042</v>
      </c>
      <c r="B1100" s="71" t="s">
        <v>8132</v>
      </c>
      <c r="C1100" s="58" t="n">
        <v>345</v>
      </c>
      <c r="D1100" s="58" t="s">
        <v>8133</v>
      </c>
      <c r="E1100" s="58" t="s">
        <v>8133</v>
      </c>
      <c r="F1100" s="59" t="s">
        <v>604</v>
      </c>
    </row>
    <row r="1101" customFormat="false" ht="15" hidden="false" customHeight="false" outlineLevel="0" collapsed="false">
      <c r="A1101" s="90" t="str">
        <f aca="false">Gov_Map!$H346&amp;""</f>
        <v>SRC_PERF_009</v>
      </c>
      <c r="B1101" s="71" t="s">
        <v>8132</v>
      </c>
      <c r="C1101" s="58" t="n">
        <v>346</v>
      </c>
      <c r="D1101" s="58" t="s">
        <v>8133</v>
      </c>
      <c r="E1101" s="58" t="s">
        <v>8133</v>
      </c>
      <c r="F1101" s="59" t="s">
        <v>604</v>
      </c>
    </row>
    <row r="1102" customFormat="false" ht="15" hidden="false" customHeight="false" outlineLevel="0" collapsed="false">
      <c r="A1102" s="90" t="str">
        <f aca="false">Gov_Map!$H347&amp;""</f>
        <v>SRC_PERF_009</v>
      </c>
      <c r="B1102" s="71" t="s">
        <v>8132</v>
      </c>
      <c r="C1102" s="58" t="n">
        <v>347</v>
      </c>
      <c r="D1102" s="58" t="s">
        <v>8133</v>
      </c>
      <c r="E1102" s="58" t="s">
        <v>8133</v>
      </c>
      <c r="F1102" s="59" t="s">
        <v>604</v>
      </c>
    </row>
    <row r="1103" customFormat="false" ht="15" hidden="false" customHeight="false" outlineLevel="0" collapsed="false">
      <c r="A1103" s="90" t="str">
        <f aca="false">Gov_Map!$H348&amp;""</f>
        <v>SRC_PERF_009</v>
      </c>
      <c r="B1103" s="71" t="s">
        <v>8132</v>
      </c>
      <c r="C1103" s="58" t="n">
        <v>348</v>
      </c>
      <c r="D1103" s="58" t="s">
        <v>8133</v>
      </c>
      <c r="E1103" s="58" t="s">
        <v>8133</v>
      </c>
      <c r="F1103" s="59" t="s">
        <v>604</v>
      </c>
    </row>
    <row r="1104" customFormat="false" ht="15" hidden="false" customHeight="false" outlineLevel="0" collapsed="false">
      <c r="A1104" s="90" t="str">
        <f aca="false">Gov_Map!$H349&amp;""</f>
        <v>SRC_PERF_009</v>
      </c>
      <c r="B1104" s="71" t="s">
        <v>8132</v>
      </c>
      <c r="C1104" s="58" t="n">
        <v>349</v>
      </c>
      <c r="D1104" s="58" t="s">
        <v>8133</v>
      </c>
      <c r="E1104" s="58" t="s">
        <v>8133</v>
      </c>
      <c r="F1104" s="59" t="s">
        <v>604</v>
      </c>
    </row>
    <row r="1105" customFormat="false" ht="15" hidden="false" customHeight="false" outlineLevel="0" collapsed="false">
      <c r="A1105" s="90" t="str">
        <f aca="false">Gov_Map!$H350&amp;""</f>
        <v>—</v>
      </c>
      <c r="B1105" s="71" t="s">
        <v>8132</v>
      </c>
      <c r="C1105" s="58" t="n">
        <v>350</v>
      </c>
      <c r="D1105" s="58" t="s">
        <v>8133</v>
      </c>
      <c r="E1105" s="58" t="s">
        <v>8133</v>
      </c>
      <c r="F1105" s="59" t="s">
        <v>604</v>
      </c>
    </row>
    <row r="1106" customFormat="false" ht="15" hidden="false" customHeight="false" outlineLevel="0" collapsed="false">
      <c r="A1106" s="90" t="str">
        <f aca="false">Gov_Map!$H351&amp;""</f>
        <v>—</v>
      </c>
      <c r="B1106" s="71" t="s">
        <v>8132</v>
      </c>
      <c r="C1106" s="58" t="n">
        <v>351</v>
      </c>
      <c r="D1106" s="58" t="s">
        <v>8133</v>
      </c>
      <c r="E1106" s="58" t="s">
        <v>8133</v>
      </c>
      <c r="F1106" s="59" t="s">
        <v>604</v>
      </c>
    </row>
    <row r="1107" customFormat="false" ht="15" hidden="false" customHeight="false" outlineLevel="0" collapsed="false">
      <c r="A1107" s="90" t="str">
        <f aca="false">Gov_Map!$H352&amp;""</f>
        <v>—</v>
      </c>
      <c r="B1107" s="71" t="s">
        <v>8132</v>
      </c>
      <c r="C1107" s="58" t="n">
        <v>352</v>
      </c>
      <c r="D1107" s="58" t="s">
        <v>8133</v>
      </c>
      <c r="E1107" s="58" t="s">
        <v>8133</v>
      </c>
      <c r="F1107" s="59" t="s">
        <v>604</v>
      </c>
    </row>
    <row r="1108" customFormat="false" ht="15" hidden="false" customHeight="false" outlineLevel="0" collapsed="false">
      <c r="A1108" s="90" t="str">
        <f aca="false">Gov_Map!$H353&amp;""</f>
        <v>—</v>
      </c>
      <c r="B1108" s="71" t="s">
        <v>8132</v>
      </c>
      <c r="C1108" s="58" t="n">
        <v>353</v>
      </c>
      <c r="D1108" s="58" t="s">
        <v>8133</v>
      </c>
      <c r="E1108" s="58" t="s">
        <v>8133</v>
      </c>
      <c r="F1108" s="59" t="s">
        <v>604</v>
      </c>
    </row>
    <row r="1109" customFormat="false" ht="15" hidden="false" customHeight="false" outlineLevel="0" collapsed="false">
      <c r="A1109" s="90" t="str">
        <f aca="false">Gov_Map!$H354&amp;""</f>
        <v>—</v>
      </c>
      <c r="B1109" s="71" t="s">
        <v>8132</v>
      </c>
      <c r="C1109" s="58" t="n">
        <v>354</v>
      </c>
      <c r="D1109" s="58" t="s">
        <v>8133</v>
      </c>
      <c r="E1109" s="58" t="s">
        <v>8133</v>
      </c>
      <c r="F1109" s="59" t="s">
        <v>604</v>
      </c>
    </row>
    <row r="1110" customFormat="false" ht="15" hidden="false" customHeight="false" outlineLevel="0" collapsed="false">
      <c r="A1110" s="90" t="str">
        <f aca="false">Gov_Map!$H355&amp;""</f>
        <v>—</v>
      </c>
      <c r="B1110" s="71" t="s">
        <v>8132</v>
      </c>
      <c r="C1110" s="58" t="n">
        <v>355</v>
      </c>
      <c r="D1110" s="58" t="s">
        <v>8133</v>
      </c>
      <c r="E1110" s="58" t="s">
        <v>8133</v>
      </c>
      <c r="F1110" s="59" t="s">
        <v>604</v>
      </c>
    </row>
    <row r="1111" customFormat="false" ht="15" hidden="false" customHeight="false" outlineLevel="0" collapsed="false">
      <c r="A1111" s="90" t="str">
        <f aca="false">Gov_Map!$H356&amp;""</f>
        <v>—</v>
      </c>
      <c r="B1111" s="71" t="s">
        <v>8132</v>
      </c>
      <c r="C1111" s="58" t="n">
        <v>356</v>
      </c>
      <c r="D1111" s="58" t="s">
        <v>8133</v>
      </c>
      <c r="E1111" s="58" t="s">
        <v>8133</v>
      </c>
      <c r="F1111" s="59" t="s">
        <v>604</v>
      </c>
    </row>
    <row r="1112" customFormat="false" ht="15" hidden="false" customHeight="false" outlineLevel="0" collapsed="false">
      <c r="A1112" s="90" t="str">
        <f aca="false">Gov_Map!$H357&amp;""</f>
        <v>—</v>
      </c>
      <c r="B1112" s="71" t="s">
        <v>8132</v>
      </c>
      <c r="C1112" s="58" t="n">
        <v>357</v>
      </c>
      <c r="D1112" s="58" t="s">
        <v>8133</v>
      </c>
      <c r="E1112" s="58" t="s">
        <v>8133</v>
      </c>
      <c r="F1112" s="59" t="s">
        <v>604</v>
      </c>
    </row>
    <row r="1113" customFormat="false" ht="15" hidden="false" customHeight="false" outlineLevel="0" collapsed="false">
      <c r="A1113" s="90" t="str">
        <f aca="false">Gov_Map!$H358&amp;""</f>
        <v>—</v>
      </c>
      <c r="B1113" s="71" t="s">
        <v>8132</v>
      </c>
      <c r="C1113" s="58" t="n">
        <v>358</v>
      </c>
      <c r="D1113" s="58" t="s">
        <v>8133</v>
      </c>
      <c r="E1113" s="58" t="s">
        <v>8133</v>
      </c>
      <c r="F1113" s="59" t="s">
        <v>604</v>
      </c>
    </row>
    <row r="1114" customFormat="false" ht="15" hidden="false" customHeight="false" outlineLevel="0" collapsed="false">
      <c r="A1114" s="90" t="str">
        <f aca="false">Gov_Map!$H359&amp;""</f>
        <v>—</v>
      </c>
      <c r="B1114" s="71" t="s">
        <v>8132</v>
      </c>
      <c r="C1114" s="58" t="n">
        <v>359</v>
      </c>
      <c r="D1114" s="58" t="s">
        <v>8133</v>
      </c>
      <c r="E1114" s="58" t="s">
        <v>8133</v>
      </c>
      <c r="F1114" s="59" t="s">
        <v>604</v>
      </c>
    </row>
    <row r="1115" customFormat="false" ht="15" hidden="false" customHeight="false" outlineLevel="0" collapsed="false">
      <c r="A1115" s="90" t="str">
        <f aca="false">Gov_Map!$H360&amp;""</f>
        <v>—</v>
      </c>
      <c r="B1115" s="71" t="s">
        <v>8132</v>
      </c>
      <c r="C1115" s="58" t="n">
        <v>360</v>
      </c>
      <c r="D1115" s="58" t="s">
        <v>8133</v>
      </c>
      <c r="E1115" s="58" t="s">
        <v>8133</v>
      </c>
      <c r="F1115" s="59" t="s">
        <v>604</v>
      </c>
    </row>
    <row r="1116" customFormat="false" ht="15" hidden="false" customHeight="false" outlineLevel="0" collapsed="false">
      <c r="A1116" s="90" t="str">
        <f aca="false">Gov_Map!$H361&amp;""</f>
        <v>SRC_MOD_020</v>
      </c>
      <c r="B1116" s="71" t="s">
        <v>8132</v>
      </c>
      <c r="C1116" s="58" t="n">
        <v>361</v>
      </c>
      <c r="D1116" s="58" t="s">
        <v>8133</v>
      </c>
      <c r="E1116" s="58" t="s">
        <v>8133</v>
      </c>
      <c r="F1116" s="59" t="s">
        <v>604</v>
      </c>
    </row>
    <row r="1117" customFormat="false" ht="15" hidden="false" customHeight="false" outlineLevel="0" collapsed="false">
      <c r="A1117" s="90" t="str">
        <f aca="false">Gov_Map!$H362&amp;""</f>
        <v>SRC_MOD_021</v>
      </c>
      <c r="B1117" s="71" t="s">
        <v>8132</v>
      </c>
      <c r="C1117" s="58" t="n">
        <v>362</v>
      </c>
      <c r="D1117" s="58" t="s">
        <v>8133</v>
      </c>
      <c r="E1117" s="58" t="s">
        <v>8133</v>
      </c>
      <c r="F1117" s="59" t="s">
        <v>604</v>
      </c>
    </row>
    <row r="1118" customFormat="false" ht="15" hidden="false" customHeight="false" outlineLevel="0" collapsed="false">
      <c r="A1118" s="90" t="str">
        <f aca="false">Gov_Map!$H363&amp;""</f>
        <v>SRC_MOD_022</v>
      </c>
      <c r="B1118" s="71" t="s">
        <v>8132</v>
      </c>
      <c r="C1118" s="58" t="n">
        <v>363</v>
      </c>
      <c r="D1118" s="58" t="s">
        <v>8133</v>
      </c>
      <c r="E1118" s="58" t="s">
        <v>8133</v>
      </c>
      <c r="F1118" s="59" t="s">
        <v>604</v>
      </c>
    </row>
    <row r="1119" customFormat="false" ht="15" hidden="false" customHeight="false" outlineLevel="0" collapsed="false">
      <c r="A1119" s="90" t="str">
        <f aca="false">Gov_Map!$H364&amp;""</f>
        <v>SRC_MOD_023</v>
      </c>
      <c r="B1119" s="71" t="s">
        <v>8132</v>
      </c>
      <c r="C1119" s="58" t="n">
        <v>364</v>
      </c>
      <c r="D1119" s="58" t="s">
        <v>8133</v>
      </c>
      <c r="E1119" s="58" t="s">
        <v>8133</v>
      </c>
      <c r="F1119" s="59" t="s">
        <v>604</v>
      </c>
    </row>
    <row r="1120" customFormat="false" ht="15" hidden="false" customHeight="false" outlineLevel="0" collapsed="false">
      <c r="A1120" s="90" t="str">
        <f aca="false">Gov_Map!$H365&amp;""</f>
        <v>SRC_MOD_024</v>
      </c>
      <c r="B1120" s="71" t="s">
        <v>8132</v>
      </c>
      <c r="C1120" s="58" t="n">
        <v>365</v>
      </c>
      <c r="D1120" s="58" t="s">
        <v>8133</v>
      </c>
      <c r="E1120" s="58" t="s">
        <v>8133</v>
      </c>
      <c r="F1120" s="59" t="s">
        <v>604</v>
      </c>
    </row>
    <row r="1121" customFormat="false" ht="15" hidden="false" customHeight="false" outlineLevel="0" collapsed="false">
      <c r="A1121" s="90" t="str">
        <f aca="false">Gov_Map!$H366&amp;""</f>
        <v>SRC_MOD_025</v>
      </c>
      <c r="B1121" s="71" t="s">
        <v>8132</v>
      </c>
      <c r="C1121" s="58" t="n">
        <v>366</v>
      </c>
      <c r="D1121" s="58" t="s">
        <v>8133</v>
      </c>
      <c r="E1121" s="58" t="s">
        <v>8133</v>
      </c>
      <c r="F1121" s="59" t="s">
        <v>604</v>
      </c>
    </row>
    <row r="1122" customFormat="false" ht="15" hidden="false" customHeight="false" outlineLevel="0" collapsed="false">
      <c r="A1122" s="90" t="str">
        <f aca="false">Gov_Map!$H367&amp;""</f>
        <v>SRC_MOD_026</v>
      </c>
      <c r="B1122" s="71" t="s">
        <v>8132</v>
      </c>
      <c r="C1122" s="58" t="n">
        <v>367</v>
      </c>
      <c r="D1122" s="58" t="s">
        <v>8133</v>
      </c>
      <c r="E1122" s="58" t="s">
        <v>8133</v>
      </c>
      <c r="F1122" s="59" t="s">
        <v>604</v>
      </c>
    </row>
    <row r="1123" customFormat="false" ht="15" hidden="false" customHeight="false" outlineLevel="0" collapsed="false">
      <c r="A1123" s="90" t="str">
        <f aca="false">Gov_Map!$H368&amp;""</f>
        <v>SRC_MOD_027</v>
      </c>
      <c r="B1123" s="71" t="s">
        <v>8132</v>
      </c>
      <c r="C1123" s="58" t="n">
        <v>368</v>
      </c>
      <c r="D1123" s="58" t="s">
        <v>8133</v>
      </c>
      <c r="E1123" s="58" t="s">
        <v>8133</v>
      </c>
      <c r="F1123" s="59" t="s">
        <v>604</v>
      </c>
    </row>
    <row r="1124" customFormat="false" ht="15" hidden="false" customHeight="false" outlineLevel="0" collapsed="false">
      <c r="A1124" s="90" t="str">
        <f aca="false">Gov_Map!$H369&amp;""</f>
        <v>SRC_MOD_028</v>
      </c>
      <c r="B1124" s="71" t="s">
        <v>8132</v>
      </c>
      <c r="C1124" s="58" t="n">
        <v>369</v>
      </c>
      <c r="D1124" s="58" t="s">
        <v>8133</v>
      </c>
      <c r="E1124" s="58" t="s">
        <v>8133</v>
      </c>
      <c r="F1124" s="59" t="s">
        <v>604</v>
      </c>
    </row>
    <row r="1125" customFormat="false" ht="15" hidden="false" customHeight="false" outlineLevel="0" collapsed="false">
      <c r="A1125" s="90" t="str">
        <f aca="false">Gov_Map!$H370&amp;""</f>
        <v>SRC_MOD_049</v>
      </c>
      <c r="B1125" s="71" t="s">
        <v>8132</v>
      </c>
      <c r="C1125" s="58" t="n">
        <v>370</v>
      </c>
      <c r="D1125" s="58" t="s">
        <v>8133</v>
      </c>
      <c r="E1125" s="58" t="s">
        <v>8133</v>
      </c>
      <c r="F1125" s="59" t="s">
        <v>604</v>
      </c>
    </row>
    <row r="1126" customFormat="false" ht="15" hidden="false" customHeight="false" outlineLevel="0" collapsed="false">
      <c r="A1126" s="90" t="str">
        <f aca="false">Gov_Map!$H371&amp;""</f>
        <v>SRC_PERF_029</v>
      </c>
      <c r="B1126" s="71" t="s">
        <v>8132</v>
      </c>
      <c r="C1126" s="58" t="n">
        <v>371</v>
      </c>
      <c r="D1126" s="58" t="s">
        <v>8133</v>
      </c>
      <c r="E1126" s="58" t="s">
        <v>8133</v>
      </c>
      <c r="F1126" s="59" t="s">
        <v>604</v>
      </c>
    </row>
    <row r="1127" customFormat="false" ht="15" hidden="false" customHeight="false" outlineLevel="0" collapsed="false">
      <c r="A1127" s="90" t="str">
        <f aca="false">Gov_Map!$H372&amp;""</f>
        <v>SRC_PERF_030</v>
      </c>
      <c r="B1127" s="71" t="s">
        <v>8132</v>
      </c>
      <c r="C1127" s="58" t="n">
        <v>372</v>
      </c>
      <c r="D1127" s="58" t="s">
        <v>8133</v>
      </c>
      <c r="E1127" s="58" t="s">
        <v>8133</v>
      </c>
      <c r="F1127" s="59" t="s">
        <v>604</v>
      </c>
    </row>
    <row r="1128" customFormat="false" ht="15" hidden="false" customHeight="false" outlineLevel="0" collapsed="false">
      <c r="A1128" s="90" t="str">
        <f aca="false">Gov_Map!$H373&amp;""</f>
        <v>—</v>
      </c>
      <c r="B1128" s="71" t="s">
        <v>8132</v>
      </c>
      <c r="C1128" s="58" t="n">
        <v>373</v>
      </c>
      <c r="D1128" s="58" t="s">
        <v>8133</v>
      </c>
      <c r="E1128" s="58" t="s">
        <v>8133</v>
      </c>
      <c r="F1128" s="59" t="s">
        <v>604</v>
      </c>
    </row>
    <row r="1129" customFormat="false" ht="15" hidden="false" customHeight="false" outlineLevel="0" collapsed="false">
      <c r="A1129" s="90" t="str">
        <f aca="false">Gov_Map!$H374&amp;""</f>
        <v>SRC_PERF_031</v>
      </c>
      <c r="B1129" s="71" t="s">
        <v>8132</v>
      </c>
      <c r="C1129" s="58" t="n">
        <v>374</v>
      </c>
      <c r="D1129" s="58" t="s">
        <v>8133</v>
      </c>
      <c r="E1129" s="58" t="s">
        <v>8133</v>
      </c>
      <c r="F1129" s="59" t="s">
        <v>604</v>
      </c>
    </row>
    <row r="1130" customFormat="false" ht="15" hidden="false" customHeight="false" outlineLevel="0" collapsed="false">
      <c r="A1130" s="90" t="str">
        <f aca="false">Gov_Map!$H375&amp;""</f>
        <v>SRC_PERF_031</v>
      </c>
      <c r="B1130" s="71" t="s">
        <v>8132</v>
      </c>
      <c r="C1130" s="58" t="n">
        <v>375</v>
      </c>
      <c r="D1130" s="58" t="s">
        <v>8133</v>
      </c>
      <c r="E1130" s="58" t="s">
        <v>8133</v>
      </c>
      <c r="F1130" s="59" t="s">
        <v>604</v>
      </c>
    </row>
    <row r="1131" customFormat="false" ht="15" hidden="false" customHeight="false" outlineLevel="0" collapsed="false">
      <c r="A1131" s="90" t="str">
        <f aca="false">Gov_Map!$H376&amp;""</f>
        <v>SRC_PERF_031</v>
      </c>
      <c r="B1131" s="71" t="s">
        <v>8132</v>
      </c>
      <c r="C1131" s="58" t="n">
        <v>376</v>
      </c>
      <c r="D1131" s="58" t="s">
        <v>8133</v>
      </c>
      <c r="E1131" s="58" t="s">
        <v>8133</v>
      </c>
      <c r="F1131" s="59" t="s">
        <v>604</v>
      </c>
    </row>
    <row r="1132" customFormat="false" ht="15" hidden="false" customHeight="false" outlineLevel="0" collapsed="false">
      <c r="A1132" s="90" t="str">
        <f aca="false">Gov_Map!$H377&amp;""</f>
        <v>SRC_PERF_032</v>
      </c>
      <c r="B1132" s="71" t="s">
        <v>8132</v>
      </c>
      <c r="C1132" s="58" t="n">
        <v>377</v>
      </c>
      <c r="D1132" s="58" t="s">
        <v>8133</v>
      </c>
      <c r="E1132" s="58" t="s">
        <v>8133</v>
      </c>
      <c r="F1132" s="59" t="s">
        <v>604</v>
      </c>
    </row>
    <row r="1133" customFormat="false" ht="15" hidden="false" customHeight="false" outlineLevel="0" collapsed="false">
      <c r="A1133" s="90" t="str">
        <f aca="false">Gov_Map!$H378&amp;""</f>
        <v>SRC_PERF_035</v>
      </c>
      <c r="B1133" s="71" t="s">
        <v>8132</v>
      </c>
      <c r="C1133" s="58" t="n">
        <v>378</v>
      </c>
      <c r="D1133" s="58" t="s">
        <v>8133</v>
      </c>
      <c r="E1133" s="58" t="s">
        <v>8133</v>
      </c>
      <c r="F1133" s="59" t="s">
        <v>604</v>
      </c>
    </row>
    <row r="1134" customFormat="false" ht="15" hidden="false" customHeight="false" outlineLevel="0" collapsed="false">
      <c r="A1134" s="90" t="str">
        <f aca="false">Gov_Map!$H379&amp;""</f>
        <v>SRC_PERF_035</v>
      </c>
      <c r="B1134" s="71" t="s">
        <v>8132</v>
      </c>
      <c r="C1134" s="58" t="n">
        <v>379</v>
      </c>
      <c r="D1134" s="58" t="s">
        <v>8133</v>
      </c>
      <c r="E1134" s="58" t="s">
        <v>8133</v>
      </c>
      <c r="F1134" s="59" t="s">
        <v>604</v>
      </c>
    </row>
    <row r="1135" customFormat="false" ht="15" hidden="false" customHeight="false" outlineLevel="0" collapsed="false">
      <c r="A1135" s="90" t="str">
        <f aca="false">Gov_Map!$H380&amp;""</f>
        <v>SRC_PERF_035</v>
      </c>
      <c r="B1135" s="71" t="s">
        <v>8132</v>
      </c>
      <c r="C1135" s="58" t="n">
        <v>380</v>
      </c>
      <c r="D1135" s="58" t="s">
        <v>8133</v>
      </c>
      <c r="E1135" s="58" t="s">
        <v>8133</v>
      </c>
      <c r="F1135" s="59" t="s">
        <v>604</v>
      </c>
    </row>
    <row r="1136" customFormat="false" ht="15" hidden="false" customHeight="false" outlineLevel="0" collapsed="false">
      <c r="A1136" s="90" t="str">
        <f aca="false">Gov_Map!$H381&amp;""</f>
        <v>SRC_PERF_035</v>
      </c>
      <c r="B1136" s="71" t="s">
        <v>8132</v>
      </c>
      <c r="C1136" s="58" t="n">
        <v>381</v>
      </c>
      <c r="D1136" s="58" t="s">
        <v>8133</v>
      </c>
      <c r="E1136" s="58" t="s">
        <v>8133</v>
      </c>
      <c r="F1136" s="59" t="s">
        <v>604</v>
      </c>
    </row>
    <row r="1137" customFormat="false" ht="15" hidden="false" customHeight="false" outlineLevel="0" collapsed="false">
      <c r="A1137" s="90" t="str">
        <f aca="false">Gov_Map!$H382&amp;""</f>
        <v>SRC_PERF_028</v>
      </c>
      <c r="B1137" s="71" t="s">
        <v>8132</v>
      </c>
      <c r="C1137" s="58" t="n">
        <v>382</v>
      </c>
      <c r="D1137" s="58" t="s">
        <v>8133</v>
      </c>
      <c r="E1137" s="58" t="s">
        <v>8133</v>
      </c>
      <c r="F1137" s="59" t="s">
        <v>604</v>
      </c>
    </row>
    <row r="1138" customFormat="false" ht="15" hidden="false" customHeight="false" outlineLevel="0" collapsed="false">
      <c r="A1138" s="90" t="str">
        <f aca="false">Gov_Map!$H383&amp;""</f>
        <v>SRC_PERF_025</v>
      </c>
      <c r="B1138" s="71" t="s">
        <v>8132</v>
      </c>
      <c r="C1138" s="58" t="n">
        <v>383</v>
      </c>
      <c r="D1138" s="58" t="s">
        <v>8133</v>
      </c>
      <c r="E1138" s="58" t="s">
        <v>8133</v>
      </c>
      <c r="F1138" s="59" t="s">
        <v>604</v>
      </c>
    </row>
    <row r="1139" customFormat="false" ht="15" hidden="false" customHeight="false" outlineLevel="0" collapsed="false">
      <c r="A1139" s="90" t="str">
        <f aca="false">Gov_Map!$H384&amp;""</f>
        <v>SRC_PERF_027</v>
      </c>
      <c r="B1139" s="71" t="s">
        <v>8132</v>
      </c>
      <c r="C1139" s="58" t="n">
        <v>384</v>
      </c>
      <c r="D1139" s="58" t="s">
        <v>8133</v>
      </c>
      <c r="E1139" s="58" t="s">
        <v>8133</v>
      </c>
      <c r="F1139" s="59" t="s">
        <v>604</v>
      </c>
    </row>
    <row r="1140" customFormat="false" ht="15" hidden="false" customHeight="false" outlineLevel="0" collapsed="false">
      <c r="A1140" s="90" t="str">
        <f aca="false">Gov_Map!$H385&amp;""</f>
        <v>SRC_PERF_026</v>
      </c>
      <c r="B1140" s="71" t="s">
        <v>8132</v>
      </c>
      <c r="C1140" s="58" t="n">
        <v>385</v>
      </c>
      <c r="D1140" s="58" t="s">
        <v>8133</v>
      </c>
      <c r="E1140" s="58" t="s">
        <v>8133</v>
      </c>
      <c r="F1140" s="59" t="s">
        <v>604</v>
      </c>
    </row>
    <row r="1141" customFormat="false" ht="15" hidden="false" customHeight="false" outlineLevel="0" collapsed="false">
      <c r="A1141" s="90" t="str">
        <f aca="false">Gov_Map!$H386&amp;""</f>
        <v>—</v>
      </c>
      <c r="B1141" s="71" t="s">
        <v>8132</v>
      </c>
      <c r="C1141" s="58" t="n">
        <v>386</v>
      </c>
      <c r="D1141" s="58" t="s">
        <v>8133</v>
      </c>
      <c r="E1141" s="58" t="s">
        <v>8133</v>
      </c>
      <c r="F1141" s="59" t="s">
        <v>604</v>
      </c>
    </row>
    <row r="1142" customFormat="false" ht="15" hidden="false" customHeight="false" outlineLevel="0" collapsed="false">
      <c r="A1142" s="90" t="str">
        <f aca="false">Gov_Map!$H387&amp;""</f>
        <v>SRC_HW_035</v>
      </c>
      <c r="B1142" s="71" t="s">
        <v>8132</v>
      </c>
      <c r="C1142" s="58" t="n">
        <v>387</v>
      </c>
      <c r="D1142" s="58" t="s">
        <v>8133</v>
      </c>
      <c r="E1142" s="58" t="s">
        <v>8133</v>
      </c>
      <c r="F1142" s="59" t="s">
        <v>604</v>
      </c>
    </row>
    <row r="1143" customFormat="false" ht="15" hidden="false" customHeight="false" outlineLevel="0" collapsed="false">
      <c r="A1143" s="90" t="str">
        <f aca="false">Gov_Map!$H388&amp;""</f>
        <v>—</v>
      </c>
      <c r="B1143" s="71" t="s">
        <v>8132</v>
      </c>
      <c r="C1143" s="58" t="n">
        <v>388</v>
      </c>
      <c r="D1143" s="58" t="s">
        <v>8133</v>
      </c>
      <c r="E1143" s="58" t="s">
        <v>8133</v>
      </c>
      <c r="F1143" s="59" t="s">
        <v>604</v>
      </c>
    </row>
    <row r="1144" customFormat="false" ht="15" hidden="false" customHeight="false" outlineLevel="0" collapsed="false">
      <c r="A1144" s="90" t="str">
        <f aca="false">Gov_Map!$H389&amp;""</f>
        <v>—</v>
      </c>
      <c r="B1144" s="71" t="s">
        <v>8132</v>
      </c>
      <c r="C1144" s="58" t="n">
        <v>389</v>
      </c>
      <c r="D1144" s="58" t="s">
        <v>8133</v>
      </c>
      <c r="E1144" s="58" t="s">
        <v>8133</v>
      </c>
      <c r="F1144" s="59" t="s">
        <v>604</v>
      </c>
    </row>
    <row r="1145" customFormat="false" ht="15" hidden="false" customHeight="false" outlineLevel="0" collapsed="false">
      <c r="A1145" s="90" t="str">
        <f aca="false">Gov_Map!$H390&amp;""</f>
        <v>—</v>
      </c>
      <c r="B1145" s="71" t="s">
        <v>8132</v>
      </c>
      <c r="C1145" s="58" t="n">
        <v>390</v>
      </c>
      <c r="D1145" s="58" t="s">
        <v>8133</v>
      </c>
      <c r="E1145" s="58" t="s">
        <v>8133</v>
      </c>
      <c r="F1145" s="59" t="s">
        <v>604</v>
      </c>
    </row>
    <row r="1146" customFormat="false" ht="15" hidden="false" customHeight="false" outlineLevel="0" collapsed="false">
      <c r="A1146" s="90" t="str">
        <f aca="false">Gov_Map!$H391&amp;""</f>
        <v>—</v>
      </c>
      <c r="B1146" s="71" t="s">
        <v>8132</v>
      </c>
      <c r="C1146" s="58" t="n">
        <v>391</v>
      </c>
      <c r="D1146" s="58" t="s">
        <v>8133</v>
      </c>
      <c r="E1146" s="58" t="s">
        <v>8133</v>
      </c>
      <c r="F1146" s="59" t="s">
        <v>604</v>
      </c>
    </row>
    <row r="1147" customFormat="false" ht="15" hidden="false" customHeight="false" outlineLevel="0" collapsed="false">
      <c r="A1147" s="90" t="str">
        <f aca="false">Gov_Map!$H392&amp;""</f>
        <v>—</v>
      </c>
      <c r="B1147" s="71" t="s">
        <v>8132</v>
      </c>
      <c r="C1147" s="58" t="n">
        <v>392</v>
      </c>
      <c r="D1147" s="58" t="s">
        <v>8133</v>
      </c>
      <c r="E1147" s="58" t="s">
        <v>8133</v>
      </c>
      <c r="F1147" s="59" t="s">
        <v>604</v>
      </c>
    </row>
    <row r="1148" customFormat="false" ht="15" hidden="false" customHeight="false" outlineLevel="0" collapsed="false">
      <c r="A1148" s="90" t="str">
        <f aca="false">Gov_Map!$H393&amp;""</f>
        <v>—</v>
      </c>
      <c r="B1148" s="71" t="s">
        <v>8132</v>
      </c>
      <c r="C1148" s="58" t="n">
        <v>393</v>
      </c>
      <c r="D1148" s="58" t="s">
        <v>8133</v>
      </c>
      <c r="E1148" s="58" t="s">
        <v>8133</v>
      </c>
      <c r="F1148" s="59" t="s">
        <v>604</v>
      </c>
    </row>
    <row r="1149" customFormat="false" ht="15" hidden="false" customHeight="false" outlineLevel="0" collapsed="false">
      <c r="A1149" s="90" t="str">
        <f aca="false">Gov_Map!$H394&amp;""</f>
        <v>—</v>
      </c>
      <c r="B1149" s="71" t="s">
        <v>8132</v>
      </c>
      <c r="C1149" s="58" t="n">
        <v>394</v>
      </c>
      <c r="D1149" s="58" t="s">
        <v>8133</v>
      </c>
      <c r="E1149" s="58" t="s">
        <v>8133</v>
      </c>
      <c r="F1149" s="59" t="s">
        <v>604</v>
      </c>
    </row>
    <row r="1150" customFormat="false" ht="15" hidden="false" customHeight="false" outlineLevel="0" collapsed="false">
      <c r="A1150" s="90" t="str">
        <f aca="false">Gov_Map!$H395&amp;""</f>
        <v>—</v>
      </c>
      <c r="B1150" s="71" t="s">
        <v>8132</v>
      </c>
      <c r="C1150" s="58" t="n">
        <v>395</v>
      </c>
      <c r="D1150" s="58" t="s">
        <v>8133</v>
      </c>
      <c r="E1150" s="58" t="s">
        <v>8133</v>
      </c>
      <c r="F1150" s="59" t="s">
        <v>604</v>
      </c>
    </row>
    <row r="1151" customFormat="false" ht="15" hidden="false" customHeight="false" outlineLevel="0" collapsed="false">
      <c r="A1151" s="90" t="str">
        <f aca="false">Gov_Map!$H396&amp;""</f>
        <v>—</v>
      </c>
      <c r="B1151" s="71" t="s">
        <v>8132</v>
      </c>
      <c r="C1151" s="58" t="n">
        <v>396</v>
      </c>
      <c r="D1151" s="58" t="s">
        <v>8133</v>
      </c>
      <c r="E1151" s="58" t="s">
        <v>8133</v>
      </c>
      <c r="F1151" s="59" t="s">
        <v>604</v>
      </c>
    </row>
    <row r="1152" customFormat="false" ht="15" hidden="false" customHeight="false" outlineLevel="0" collapsed="false">
      <c r="A1152" s="90" t="str">
        <f aca="false">Gov_Map!$H397&amp;""</f>
        <v>—</v>
      </c>
      <c r="B1152" s="71" t="s">
        <v>8132</v>
      </c>
      <c r="C1152" s="58" t="n">
        <v>397</v>
      </c>
      <c r="D1152" s="58" t="s">
        <v>8133</v>
      </c>
      <c r="E1152" s="58" t="s">
        <v>8133</v>
      </c>
      <c r="F1152" s="59" t="s">
        <v>604</v>
      </c>
    </row>
    <row r="1153" customFormat="false" ht="15" hidden="false" customHeight="false" outlineLevel="0" collapsed="false">
      <c r="A1153" s="90" t="str">
        <f aca="false">Gov_Map!$H398&amp;""</f>
        <v>—</v>
      </c>
      <c r="B1153" s="71" t="s">
        <v>8132</v>
      </c>
      <c r="C1153" s="58" t="n">
        <v>398</v>
      </c>
      <c r="D1153" s="58" t="s">
        <v>8133</v>
      </c>
      <c r="E1153" s="58" t="s">
        <v>8133</v>
      </c>
      <c r="F1153" s="59" t="s">
        <v>604</v>
      </c>
    </row>
    <row r="1154" customFormat="false" ht="15" hidden="false" customHeight="false" outlineLevel="0" collapsed="false">
      <c r="A1154" s="90" t="str">
        <f aca="false">Gov_Map!$H399&amp;""</f>
        <v>—</v>
      </c>
      <c r="B1154" s="71" t="s">
        <v>8132</v>
      </c>
      <c r="C1154" s="58" t="n">
        <v>399</v>
      </c>
      <c r="D1154" s="58" t="s">
        <v>8133</v>
      </c>
      <c r="E1154" s="58" t="s">
        <v>8133</v>
      </c>
      <c r="F1154" s="59" t="s">
        <v>604</v>
      </c>
    </row>
    <row r="1155" customFormat="false" ht="15" hidden="false" customHeight="false" outlineLevel="0" collapsed="false">
      <c r="A1155" s="90" t="str">
        <f aca="false">Gov_Map!$H400&amp;""</f>
        <v>—</v>
      </c>
      <c r="B1155" s="71" t="s">
        <v>8132</v>
      </c>
      <c r="C1155" s="58" t="n">
        <v>400</v>
      </c>
      <c r="D1155" s="58" t="s">
        <v>8133</v>
      </c>
      <c r="E1155" s="58" t="s">
        <v>8133</v>
      </c>
      <c r="F1155" s="59" t="s">
        <v>604</v>
      </c>
    </row>
    <row r="1156" customFormat="false" ht="15" hidden="false" customHeight="false" outlineLevel="0" collapsed="false">
      <c r="A1156" s="90" t="str">
        <f aca="false">Gov_Map!$H401&amp;""</f>
        <v>—</v>
      </c>
      <c r="B1156" s="71" t="s">
        <v>8132</v>
      </c>
      <c r="C1156" s="58" t="n">
        <v>401</v>
      </c>
      <c r="D1156" s="58" t="s">
        <v>8133</v>
      </c>
      <c r="E1156" s="58" t="s">
        <v>8133</v>
      </c>
      <c r="F1156" s="59" t="s">
        <v>604</v>
      </c>
    </row>
    <row r="1157" customFormat="false" ht="15" hidden="false" customHeight="false" outlineLevel="0" collapsed="false">
      <c r="A1157" s="90" t="str">
        <f aca="false">Gov_Map!$H402&amp;""</f>
        <v>—</v>
      </c>
      <c r="B1157" s="71" t="s">
        <v>8132</v>
      </c>
      <c r="C1157" s="58" t="n">
        <v>402</v>
      </c>
      <c r="D1157" s="58" t="s">
        <v>8133</v>
      </c>
      <c r="E1157" s="58" t="s">
        <v>8133</v>
      </c>
      <c r="F1157" s="59" t="s">
        <v>604</v>
      </c>
    </row>
    <row r="1158" customFormat="false" ht="15" hidden="false" customHeight="false" outlineLevel="0" collapsed="false">
      <c r="A1158" s="90" t="str">
        <f aca="false">Gov_Map!$H403&amp;""</f>
        <v>—</v>
      </c>
      <c r="B1158" s="71" t="s">
        <v>8132</v>
      </c>
      <c r="C1158" s="58" t="n">
        <v>403</v>
      </c>
      <c r="D1158" s="58" t="s">
        <v>8133</v>
      </c>
      <c r="E1158" s="58" t="s">
        <v>8133</v>
      </c>
      <c r="F1158" s="59" t="s">
        <v>604</v>
      </c>
    </row>
    <row r="1159" customFormat="false" ht="15" hidden="false" customHeight="false" outlineLevel="0" collapsed="false">
      <c r="A1159" s="90" t="str">
        <f aca="false">Gov_Map!$H404&amp;""</f>
        <v>—</v>
      </c>
      <c r="B1159" s="71" t="s">
        <v>8132</v>
      </c>
      <c r="C1159" s="58" t="n">
        <v>404</v>
      </c>
      <c r="D1159" s="58" t="s">
        <v>8133</v>
      </c>
      <c r="E1159" s="58" t="s">
        <v>8133</v>
      </c>
      <c r="F1159" s="59" t="s">
        <v>604</v>
      </c>
    </row>
    <row r="1160" customFormat="false" ht="15" hidden="false" customHeight="false" outlineLevel="0" collapsed="false">
      <c r="A1160" s="90" t="str">
        <f aca="false">Gov_Map!$H405&amp;""</f>
        <v>—</v>
      </c>
      <c r="B1160" s="71" t="s">
        <v>8132</v>
      </c>
      <c r="C1160" s="58" t="n">
        <v>405</v>
      </c>
      <c r="D1160" s="58" t="s">
        <v>8133</v>
      </c>
      <c r="E1160" s="58" t="s">
        <v>8133</v>
      </c>
      <c r="F1160" s="59" t="s">
        <v>604</v>
      </c>
    </row>
    <row r="1161" customFormat="false" ht="15" hidden="false" customHeight="false" outlineLevel="0" collapsed="false">
      <c r="A1161" s="90" t="str">
        <f aca="false">Gov_Map!$H406&amp;""</f>
        <v>—</v>
      </c>
      <c r="B1161" s="71" t="s">
        <v>8132</v>
      </c>
      <c r="C1161" s="58" t="n">
        <v>406</v>
      </c>
      <c r="D1161" s="58" t="s">
        <v>8133</v>
      </c>
      <c r="E1161" s="58" t="s">
        <v>8133</v>
      </c>
      <c r="F1161" s="59" t="s">
        <v>604</v>
      </c>
    </row>
    <row r="1162" customFormat="false" ht="15" hidden="false" customHeight="false" outlineLevel="0" collapsed="false">
      <c r="A1162" s="90" t="str">
        <f aca="false">Gov_Map!$H407&amp;""</f>
        <v>—</v>
      </c>
      <c r="B1162" s="71" t="s">
        <v>8132</v>
      </c>
      <c r="C1162" s="58" t="n">
        <v>407</v>
      </c>
      <c r="D1162" s="58" t="s">
        <v>8133</v>
      </c>
      <c r="E1162" s="58" t="s">
        <v>8133</v>
      </c>
      <c r="F1162" s="59" t="s">
        <v>604</v>
      </c>
    </row>
    <row r="1163" customFormat="false" ht="15" hidden="false" customHeight="false" outlineLevel="0" collapsed="false">
      <c r="A1163" s="90" t="str">
        <f aca="false">Gov_Map!$H408&amp;""</f>
        <v>—</v>
      </c>
      <c r="B1163" s="71" t="s">
        <v>8132</v>
      </c>
      <c r="C1163" s="58" t="n">
        <v>408</v>
      </c>
      <c r="D1163" s="58" t="s">
        <v>8133</v>
      </c>
      <c r="E1163" s="58" t="s">
        <v>8133</v>
      </c>
      <c r="F1163" s="59" t="s">
        <v>604</v>
      </c>
    </row>
    <row r="1164" customFormat="false" ht="15" hidden="false" customHeight="false" outlineLevel="0" collapsed="false">
      <c r="A1164" s="90" t="str">
        <f aca="false">Gov_Map!$H409&amp;""</f>
        <v>—</v>
      </c>
      <c r="B1164" s="71" t="s">
        <v>8132</v>
      </c>
      <c r="C1164" s="58" t="n">
        <v>409</v>
      </c>
      <c r="D1164" s="58" t="s">
        <v>8133</v>
      </c>
      <c r="E1164" s="58" t="s">
        <v>8133</v>
      </c>
      <c r="F1164" s="59" t="s">
        <v>604</v>
      </c>
    </row>
    <row r="1165" customFormat="false" ht="15" hidden="false" customHeight="false" outlineLevel="0" collapsed="false">
      <c r="A1165" s="90" t="str">
        <f aca="false">Gov_Map!$H410&amp;""</f>
        <v>—</v>
      </c>
      <c r="B1165" s="71" t="s">
        <v>8132</v>
      </c>
      <c r="C1165" s="58" t="n">
        <v>410</v>
      </c>
      <c r="D1165" s="58" t="s">
        <v>8133</v>
      </c>
      <c r="E1165" s="58" t="s">
        <v>8133</v>
      </c>
      <c r="F1165" s="59" t="s">
        <v>604</v>
      </c>
    </row>
    <row r="1166" customFormat="false" ht="15" hidden="false" customHeight="false" outlineLevel="0" collapsed="false">
      <c r="A1166" s="90" t="str">
        <f aca="false">Gov_Map!$H411&amp;""</f>
        <v>—</v>
      </c>
      <c r="B1166" s="71" t="s">
        <v>8132</v>
      </c>
      <c r="C1166" s="58" t="n">
        <v>411</v>
      </c>
      <c r="D1166" s="58" t="s">
        <v>8133</v>
      </c>
      <c r="E1166" s="58" t="s">
        <v>8133</v>
      </c>
      <c r="F1166" s="59" t="s">
        <v>604</v>
      </c>
    </row>
    <row r="1167" customFormat="false" ht="15" hidden="false" customHeight="false" outlineLevel="0" collapsed="false">
      <c r="A1167" s="90" t="str">
        <f aca="false">Gov_Map!$H412&amp;""</f>
        <v>—</v>
      </c>
      <c r="B1167" s="71" t="s">
        <v>8132</v>
      </c>
      <c r="C1167" s="58" t="n">
        <v>412</v>
      </c>
      <c r="D1167" s="58" t="s">
        <v>8133</v>
      </c>
      <c r="E1167" s="58" t="s">
        <v>8133</v>
      </c>
      <c r="F1167" s="59" t="s">
        <v>604</v>
      </c>
    </row>
    <row r="1168" customFormat="false" ht="15" hidden="false" customHeight="false" outlineLevel="0" collapsed="false">
      <c r="A1168" s="90" t="str">
        <f aca="false">Gov_Map!$H413&amp;""</f>
        <v>—</v>
      </c>
      <c r="B1168" s="71" t="s">
        <v>8132</v>
      </c>
      <c r="C1168" s="58" t="n">
        <v>413</v>
      </c>
      <c r="D1168" s="58" t="s">
        <v>8133</v>
      </c>
      <c r="E1168" s="58" t="s">
        <v>8133</v>
      </c>
      <c r="F1168" s="59" t="s">
        <v>604</v>
      </c>
    </row>
    <row r="1169" customFormat="false" ht="15" hidden="false" customHeight="false" outlineLevel="0" collapsed="false">
      <c r="A1169" s="90" t="str">
        <f aca="false">Gov_Map!$H414&amp;""</f>
        <v>—</v>
      </c>
      <c r="B1169" s="71" t="s">
        <v>8132</v>
      </c>
      <c r="C1169" s="58" t="n">
        <v>414</v>
      </c>
      <c r="D1169" s="58" t="s">
        <v>8133</v>
      </c>
      <c r="E1169" s="58" t="s">
        <v>8133</v>
      </c>
      <c r="F1169" s="59" t="s">
        <v>604</v>
      </c>
    </row>
    <row r="1170" customFormat="false" ht="15" hidden="false" customHeight="false" outlineLevel="0" collapsed="false">
      <c r="A1170" s="90" t="str">
        <f aca="false">Gov_Map!$H415&amp;""</f>
        <v>—</v>
      </c>
      <c r="B1170" s="71" t="s">
        <v>8132</v>
      </c>
      <c r="C1170" s="58" t="n">
        <v>415</v>
      </c>
      <c r="D1170" s="58" t="s">
        <v>8133</v>
      </c>
      <c r="E1170" s="58" t="s">
        <v>8133</v>
      </c>
      <c r="F1170" s="59" t="s">
        <v>604</v>
      </c>
    </row>
    <row r="1171" customFormat="false" ht="15" hidden="false" customHeight="false" outlineLevel="0" collapsed="false">
      <c r="A1171" s="90" t="str">
        <f aca="false">Gov_Map!$H416&amp;""</f>
        <v>—</v>
      </c>
      <c r="B1171" s="71" t="s">
        <v>8132</v>
      </c>
      <c r="C1171" s="58" t="n">
        <v>416</v>
      </c>
      <c r="D1171" s="58" t="s">
        <v>8133</v>
      </c>
      <c r="E1171" s="58" t="s">
        <v>8133</v>
      </c>
      <c r="F1171" s="59" t="s">
        <v>604</v>
      </c>
    </row>
    <row r="1172" customFormat="false" ht="15" hidden="false" customHeight="false" outlineLevel="0" collapsed="false">
      <c r="A1172" s="90" t="str">
        <f aca="false">Gov_Map!$H417&amp;""</f>
        <v>—</v>
      </c>
      <c r="B1172" s="71" t="s">
        <v>8132</v>
      </c>
      <c r="C1172" s="58" t="n">
        <v>417</v>
      </c>
      <c r="D1172" s="58" t="s">
        <v>8133</v>
      </c>
      <c r="E1172" s="58" t="s">
        <v>8133</v>
      </c>
      <c r="F1172" s="59" t="s">
        <v>604</v>
      </c>
    </row>
    <row r="1173" customFormat="false" ht="15" hidden="false" customHeight="false" outlineLevel="0" collapsed="false">
      <c r="A1173" s="90" t="str">
        <f aca="false">Gov_Map!$H418&amp;""</f>
        <v>—</v>
      </c>
      <c r="B1173" s="71" t="s">
        <v>8132</v>
      </c>
      <c r="C1173" s="58" t="n">
        <v>418</v>
      </c>
      <c r="D1173" s="58" t="s">
        <v>8133</v>
      </c>
      <c r="E1173" s="58" t="s">
        <v>8133</v>
      </c>
      <c r="F1173" s="59" t="s">
        <v>604</v>
      </c>
    </row>
    <row r="1174" customFormat="false" ht="15" hidden="false" customHeight="false" outlineLevel="0" collapsed="false">
      <c r="A1174" s="90" t="str">
        <f aca="false">Gov_Map!$H419&amp;""</f>
        <v>—</v>
      </c>
      <c r="B1174" s="71" t="s">
        <v>8132</v>
      </c>
      <c r="C1174" s="58" t="n">
        <v>419</v>
      </c>
      <c r="D1174" s="58" t="s">
        <v>8133</v>
      </c>
      <c r="E1174" s="58" t="s">
        <v>8133</v>
      </c>
      <c r="F1174" s="59" t="s">
        <v>604</v>
      </c>
    </row>
    <row r="1175" customFormat="false" ht="15" hidden="false" customHeight="false" outlineLevel="0" collapsed="false">
      <c r="A1175" s="90" t="str">
        <f aca="false">Gov_Map!$H420&amp;""</f>
        <v>—</v>
      </c>
      <c r="B1175" s="71" t="s">
        <v>8132</v>
      </c>
      <c r="C1175" s="58" t="n">
        <v>420</v>
      </c>
      <c r="D1175" s="58" t="s">
        <v>8133</v>
      </c>
      <c r="E1175" s="58" t="s">
        <v>8133</v>
      </c>
      <c r="F1175" s="59" t="s">
        <v>604</v>
      </c>
    </row>
    <row r="1176" customFormat="false" ht="15" hidden="false" customHeight="false" outlineLevel="0" collapsed="false">
      <c r="A1176" s="90" t="str">
        <f aca="false">Gov_Map!$H421&amp;""</f>
        <v>—</v>
      </c>
      <c r="B1176" s="71" t="s">
        <v>8132</v>
      </c>
      <c r="C1176" s="58" t="n">
        <v>421</v>
      </c>
      <c r="D1176" s="58" t="s">
        <v>8133</v>
      </c>
      <c r="E1176" s="58" t="s">
        <v>8133</v>
      </c>
      <c r="F1176" s="59" t="s">
        <v>604</v>
      </c>
    </row>
    <row r="1177" customFormat="false" ht="15" hidden="false" customHeight="false" outlineLevel="0" collapsed="false">
      <c r="A1177" s="90" t="str">
        <f aca="false">Gov_Map!$H422&amp;""</f>
        <v>—</v>
      </c>
      <c r="B1177" s="71" t="s">
        <v>8132</v>
      </c>
      <c r="C1177" s="58" t="n">
        <v>422</v>
      </c>
      <c r="D1177" s="58" t="s">
        <v>8133</v>
      </c>
      <c r="E1177" s="58" t="s">
        <v>8133</v>
      </c>
      <c r="F1177" s="59" t="s">
        <v>604</v>
      </c>
    </row>
    <row r="1178" customFormat="false" ht="15" hidden="false" customHeight="false" outlineLevel="0" collapsed="false">
      <c r="A1178" s="90" t="str">
        <f aca="false">Gov_Map!$H423&amp;""</f>
        <v>—</v>
      </c>
      <c r="B1178" s="71" t="s">
        <v>8132</v>
      </c>
      <c r="C1178" s="58" t="n">
        <v>423</v>
      </c>
      <c r="D1178" s="58" t="s">
        <v>8133</v>
      </c>
      <c r="E1178" s="58" t="s">
        <v>8133</v>
      </c>
      <c r="F1178" s="59" t="s">
        <v>604</v>
      </c>
    </row>
    <row r="1179" customFormat="false" ht="15" hidden="false" customHeight="false" outlineLevel="0" collapsed="false">
      <c r="A1179" s="90" t="str">
        <f aca="false">Gov_Map!$H424&amp;""</f>
        <v>—</v>
      </c>
      <c r="B1179" s="71" t="s">
        <v>8132</v>
      </c>
      <c r="C1179" s="58" t="n">
        <v>424</v>
      </c>
      <c r="D1179" s="58" t="s">
        <v>8133</v>
      </c>
      <c r="E1179" s="58" t="s">
        <v>8133</v>
      </c>
      <c r="F1179" s="59" t="s">
        <v>604</v>
      </c>
    </row>
    <row r="1180" customFormat="false" ht="15" hidden="false" customHeight="false" outlineLevel="0" collapsed="false">
      <c r="A1180" s="90" t="str">
        <f aca="false">Gov_Map!$H425&amp;""</f>
        <v>—</v>
      </c>
      <c r="B1180" s="71" t="s">
        <v>8132</v>
      </c>
      <c r="C1180" s="58" t="n">
        <v>425</v>
      </c>
      <c r="D1180" s="58" t="s">
        <v>8133</v>
      </c>
      <c r="E1180" s="58" t="s">
        <v>8133</v>
      </c>
      <c r="F1180" s="59" t="s">
        <v>604</v>
      </c>
    </row>
    <row r="1181" customFormat="false" ht="15" hidden="false" customHeight="false" outlineLevel="0" collapsed="false">
      <c r="A1181" s="90" t="str">
        <f aca="false">Gov_Map!$H426&amp;""</f>
        <v>—</v>
      </c>
      <c r="B1181" s="71" t="s">
        <v>8132</v>
      </c>
      <c r="C1181" s="58" t="n">
        <v>426</v>
      </c>
      <c r="D1181" s="58" t="s">
        <v>8133</v>
      </c>
      <c r="E1181" s="58" t="s">
        <v>8133</v>
      </c>
      <c r="F1181" s="59" t="s">
        <v>604</v>
      </c>
    </row>
    <row r="1182" customFormat="false" ht="15" hidden="false" customHeight="false" outlineLevel="0" collapsed="false">
      <c r="A1182" s="90" t="str">
        <f aca="false">Gov_Map!$H427&amp;""</f>
        <v>—</v>
      </c>
      <c r="B1182" s="71" t="s">
        <v>8132</v>
      </c>
      <c r="C1182" s="58" t="n">
        <v>427</v>
      </c>
      <c r="D1182" s="58" t="s">
        <v>8133</v>
      </c>
      <c r="E1182" s="58" t="s">
        <v>8133</v>
      </c>
      <c r="F1182" s="59" t="s">
        <v>604</v>
      </c>
    </row>
    <row r="1183" customFormat="false" ht="15" hidden="false" customHeight="false" outlineLevel="0" collapsed="false">
      <c r="A1183" s="90" t="str">
        <f aca="false">Gov_Map!$H428&amp;""</f>
        <v>—</v>
      </c>
      <c r="B1183" s="71" t="s">
        <v>8132</v>
      </c>
      <c r="C1183" s="58" t="n">
        <v>428</v>
      </c>
      <c r="D1183" s="58" t="s">
        <v>8133</v>
      </c>
      <c r="E1183" s="58" t="s">
        <v>8133</v>
      </c>
      <c r="F1183" s="59" t="s">
        <v>604</v>
      </c>
    </row>
    <row r="1184" customFormat="false" ht="15" hidden="false" customHeight="false" outlineLevel="0" collapsed="false">
      <c r="A1184" s="90" t="str">
        <f aca="false">Gov_Map!$H429&amp;""</f>
        <v>—</v>
      </c>
      <c r="B1184" s="71" t="s">
        <v>8132</v>
      </c>
      <c r="C1184" s="58" t="n">
        <v>429</v>
      </c>
      <c r="D1184" s="58" t="s">
        <v>8133</v>
      </c>
      <c r="E1184" s="58" t="s">
        <v>8133</v>
      </c>
      <c r="F1184" s="59" t="s">
        <v>604</v>
      </c>
    </row>
    <row r="1185" customFormat="false" ht="15" hidden="false" customHeight="false" outlineLevel="0" collapsed="false">
      <c r="A1185" s="90" t="str">
        <f aca="false">Gov_Map!$H430&amp;""</f>
        <v>—</v>
      </c>
      <c r="B1185" s="71" t="s">
        <v>8132</v>
      </c>
      <c r="C1185" s="58" t="n">
        <v>430</v>
      </c>
      <c r="D1185" s="58" t="s">
        <v>8133</v>
      </c>
      <c r="E1185" s="58" t="s">
        <v>8133</v>
      </c>
      <c r="F1185" s="59" t="s">
        <v>604</v>
      </c>
    </row>
    <row r="1186" customFormat="false" ht="15" hidden="false" customHeight="false" outlineLevel="0" collapsed="false">
      <c r="A1186" s="90" t="str">
        <f aca="false">Gov_Map!$H431&amp;""</f>
        <v>SRC_MOD_029</v>
      </c>
      <c r="B1186" s="71" t="s">
        <v>8132</v>
      </c>
      <c r="C1186" s="58" t="n">
        <v>431</v>
      </c>
      <c r="D1186" s="58" t="s">
        <v>8133</v>
      </c>
      <c r="E1186" s="58" t="s">
        <v>8133</v>
      </c>
      <c r="F1186" s="59" t="s">
        <v>604</v>
      </c>
    </row>
    <row r="1187" customFormat="false" ht="15" hidden="false" customHeight="false" outlineLevel="0" collapsed="false">
      <c r="A1187" s="90" t="str">
        <f aca="false">Gov_Map!$H432&amp;""</f>
        <v>SRC_MOD_030</v>
      </c>
      <c r="B1187" s="71" t="s">
        <v>8132</v>
      </c>
      <c r="C1187" s="58" t="n">
        <v>432</v>
      </c>
      <c r="D1187" s="58" t="s">
        <v>8133</v>
      </c>
      <c r="E1187" s="58" t="s">
        <v>8133</v>
      </c>
      <c r="F1187" s="59" t="s">
        <v>604</v>
      </c>
    </row>
    <row r="1188" customFormat="false" ht="15" hidden="false" customHeight="false" outlineLevel="0" collapsed="false">
      <c r="A1188" s="90" t="str">
        <f aca="false">Gov_Map!$H433&amp;""</f>
        <v>SRC_MOD_031</v>
      </c>
      <c r="B1188" s="71" t="s">
        <v>8132</v>
      </c>
      <c r="C1188" s="58" t="n">
        <v>433</v>
      </c>
      <c r="D1188" s="58" t="s">
        <v>8133</v>
      </c>
      <c r="E1188" s="58" t="s">
        <v>8133</v>
      </c>
      <c r="F1188" s="59" t="s">
        <v>604</v>
      </c>
    </row>
    <row r="1189" customFormat="false" ht="15" hidden="false" customHeight="false" outlineLevel="0" collapsed="false">
      <c r="A1189" s="90" t="str">
        <f aca="false">Gov_Map!$H434&amp;""</f>
        <v>SRC_MOD_031</v>
      </c>
      <c r="B1189" s="71" t="s">
        <v>8132</v>
      </c>
      <c r="C1189" s="58" t="n">
        <v>434</v>
      </c>
      <c r="D1189" s="58" t="s">
        <v>8133</v>
      </c>
      <c r="E1189" s="58" t="s">
        <v>8133</v>
      </c>
      <c r="F1189" s="59" t="s">
        <v>604</v>
      </c>
    </row>
    <row r="1190" customFormat="false" ht="15" hidden="false" customHeight="false" outlineLevel="0" collapsed="false">
      <c r="A1190" s="90" t="str">
        <f aca="false">Gov_Map!$H435&amp;""</f>
        <v>SRC_MOD_039</v>
      </c>
      <c r="B1190" s="71" t="s">
        <v>8132</v>
      </c>
      <c r="C1190" s="58" t="n">
        <v>435</v>
      </c>
      <c r="D1190" s="58" t="s">
        <v>8133</v>
      </c>
      <c r="E1190" s="58" t="s">
        <v>8133</v>
      </c>
      <c r="F1190" s="59" t="s">
        <v>604</v>
      </c>
    </row>
    <row r="1191" customFormat="false" ht="15" hidden="false" customHeight="false" outlineLevel="0" collapsed="false">
      <c r="A1191" s="90" t="str">
        <f aca="false">Gov_Map!$H436&amp;""</f>
        <v>SRC_MOD_040</v>
      </c>
      <c r="B1191" s="71" t="s">
        <v>8132</v>
      </c>
      <c r="C1191" s="58" t="n">
        <v>436</v>
      </c>
      <c r="D1191" s="58" t="s">
        <v>8133</v>
      </c>
      <c r="E1191" s="58" t="s">
        <v>8133</v>
      </c>
      <c r="F1191" s="59" t="s">
        <v>604</v>
      </c>
    </row>
    <row r="1192" customFormat="false" ht="15" hidden="false" customHeight="false" outlineLevel="0" collapsed="false">
      <c r="A1192" s="90" t="str">
        <f aca="false">Gov_Map!$H437&amp;""</f>
        <v>SRC_MOD_042</v>
      </c>
      <c r="B1192" s="71" t="s">
        <v>8132</v>
      </c>
      <c r="C1192" s="58" t="n">
        <v>437</v>
      </c>
      <c r="D1192" s="58" t="s">
        <v>8133</v>
      </c>
      <c r="E1192" s="58" t="s">
        <v>8133</v>
      </c>
      <c r="F1192" s="59" t="s">
        <v>604</v>
      </c>
    </row>
    <row r="1193" customFormat="false" ht="15" hidden="false" customHeight="false" outlineLevel="0" collapsed="false">
      <c r="A1193" s="90" t="str">
        <f aca="false">Gov_Map!$H438&amp;""</f>
        <v>SRC_MOD_036</v>
      </c>
      <c r="B1193" s="71" t="s">
        <v>8132</v>
      </c>
      <c r="C1193" s="58" t="n">
        <v>438</v>
      </c>
      <c r="D1193" s="58" t="s">
        <v>8133</v>
      </c>
      <c r="E1193" s="58" t="s">
        <v>8133</v>
      </c>
      <c r="F1193" s="59" t="s">
        <v>604</v>
      </c>
    </row>
    <row r="1194" customFormat="false" ht="15" hidden="false" customHeight="false" outlineLevel="0" collapsed="false">
      <c r="A1194" s="90" t="str">
        <f aca="false">Gov_Map!$H439&amp;""</f>
        <v>SRC_MOD_043</v>
      </c>
      <c r="B1194" s="71" t="s">
        <v>8132</v>
      </c>
      <c r="C1194" s="58" t="n">
        <v>439</v>
      </c>
      <c r="D1194" s="58" t="s">
        <v>8133</v>
      </c>
      <c r="E1194" s="58" t="s">
        <v>8133</v>
      </c>
      <c r="F1194" s="59" t="s">
        <v>604</v>
      </c>
    </row>
    <row r="1195" customFormat="false" ht="15" hidden="false" customHeight="false" outlineLevel="0" collapsed="false">
      <c r="A1195" s="90" t="str">
        <f aca="false">Gov_Map!$H440&amp;""</f>
        <v>—</v>
      </c>
      <c r="B1195" s="71" t="s">
        <v>8132</v>
      </c>
      <c r="C1195" s="58" t="n">
        <v>440</v>
      </c>
      <c r="D1195" s="58" t="s">
        <v>8133</v>
      </c>
      <c r="E1195" s="58" t="s">
        <v>8133</v>
      </c>
      <c r="F1195" s="59" t="s">
        <v>604</v>
      </c>
    </row>
    <row r="1196" customFormat="false" ht="15" hidden="false" customHeight="false" outlineLevel="0" collapsed="false">
      <c r="A1196" s="90" t="str">
        <f aca="false">Gov_Map!$H441&amp;""</f>
        <v>—</v>
      </c>
      <c r="B1196" s="71" t="s">
        <v>8132</v>
      </c>
      <c r="C1196" s="58" t="n">
        <v>441</v>
      </c>
      <c r="D1196" s="58" t="s">
        <v>8133</v>
      </c>
      <c r="E1196" s="58" t="s">
        <v>8133</v>
      </c>
      <c r="F1196" s="59" t="s">
        <v>604</v>
      </c>
    </row>
    <row r="1197" customFormat="false" ht="15" hidden="false" customHeight="false" outlineLevel="0" collapsed="false">
      <c r="A1197" s="90" t="str">
        <f aca="false">Gov_Map!$H442&amp;""</f>
        <v>—</v>
      </c>
      <c r="B1197" s="71" t="s">
        <v>8132</v>
      </c>
      <c r="C1197" s="58" t="n">
        <v>442</v>
      </c>
      <c r="D1197" s="58" t="s">
        <v>8133</v>
      </c>
      <c r="E1197" s="58" t="s">
        <v>8133</v>
      </c>
      <c r="F1197" s="59" t="s">
        <v>604</v>
      </c>
    </row>
    <row r="1198" customFormat="false" ht="15" hidden="false" customHeight="false" outlineLevel="0" collapsed="false">
      <c r="A1198" s="90" t="str">
        <f aca="false">Gov_Map!$H443&amp;""</f>
        <v>—</v>
      </c>
      <c r="B1198" s="71" t="s">
        <v>8132</v>
      </c>
      <c r="C1198" s="58" t="n">
        <v>443</v>
      </c>
      <c r="D1198" s="58" t="s">
        <v>8133</v>
      </c>
      <c r="E1198" s="58" t="s">
        <v>8133</v>
      </c>
      <c r="F1198" s="59" t="s">
        <v>604</v>
      </c>
    </row>
    <row r="1199" customFormat="false" ht="15" hidden="false" customHeight="false" outlineLevel="0" collapsed="false">
      <c r="A1199" s="90" t="str">
        <f aca="false">Gov_Map!$H444&amp;""</f>
        <v>—</v>
      </c>
      <c r="B1199" s="71" t="s">
        <v>8132</v>
      </c>
      <c r="C1199" s="58" t="n">
        <v>444</v>
      </c>
      <c r="D1199" s="58" t="s">
        <v>8133</v>
      </c>
      <c r="E1199" s="58" t="s">
        <v>8133</v>
      </c>
      <c r="F1199" s="59" t="s">
        <v>604</v>
      </c>
    </row>
    <row r="1200" customFormat="false" ht="15" hidden="false" customHeight="false" outlineLevel="0" collapsed="false">
      <c r="A1200" s="90" t="str">
        <f aca="false">Gov_Map!$H445&amp;""</f>
        <v>—</v>
      </c>
      <c r="B1200" s="71" t="s">
        <v>8132</v>
      </c>
      <c r="C1200" s="58" t="n">
        <v>445</v>
      </c>
      <c r="D1200" s="58" t="s">
        <v>8133</v>
      </c>
      <c r="E1200" s="58" t="s">
        <v>8133</v>
      </c>
      <c r="F1200" s="59" t="s">
        <v>604</v>
      </c>
    </row>
    <row r="1201" customFormat="false" ht="15" hidden="false" customHeight="false" outlineLevel="0" collapsed="false">
      <c r="A1201" s="90" t="str">
        <f aca="false">Gov_Map!$H446&amp;""</f>
        <v>—</v>
      </c>
      <c r="B1201" s="71" t="s">
        <v>8132</v>
      </c>
      <c r="C1201" s="58" t="n">
        <v>446</v>
      </c>
      <c r="D1201" s="58" t="s">
        <v>8133</v>
      </c>
      <c r="E1201" s="58" t="s">
        <v>8133</v>
      </c>
      <c r="F1201" s="59" t="s">
        <v>604</v>
      </c>
    </row>
    <row r="1202" customFormat="false" ht="15" hidden="false" customHeight="false" outlineLevel="0" collapsed="false">
      <c r="A1202" s="90" t="str">
        <f aca="false">Gov_Map!$H447&amp;""</f>
        <v>—</v>
      </c>
      <c r="B1202" s="71" t="s">
        <v>8132</v>
      </c>
      <c r="C1202" s="58" t="n">
        <v>447</v>
      </c>
      <c r="D1202" s="58" t="s">
        <v>8133</v>
      </c>
      <c r="E1202" s="58" t="s">
        <v>8133</v>
      </c>
      <c r="F1202" s="59" t="s">
        <v>604</v>
      </c>
    </row>
    <row r="1203" customFormat="false" ht="15" hidden="false" customHeight="false" outlineLevel="0" collapsed="false">
      <c r="A1203" s="90" t="str">
        <f aca="false">Gov_Map!$H448&amp;""</f>
        <v>—</v>
      </c>
      <c r="B1203" s="71" t="s">
        <v>8132</v>
      </c>
      <c r="C1203" s="58" t="n">
        <v>448</v>
      </c>
      <c r="D1203" s="58" t="s">
        <v>8133</v>
      </c>
      <c r="E1203" s="58" t="s">
        <v>8133</v>
      </c>
      <c r="F1203" s="59" t="s">
        <v>604</v>
      </c>
    </row>
    <row r="1204" customFormat="false" ht="15" hidden="false" customHeight="false" outlineLevel="0" collapsed="false">
      <c r="A1204" s="90" t="str">
        <f aca="false">Gov_Map!$H449&amp;""</f>
        <v>—</v>
      </c>
      <c r="B1204" s="71" t="s">
        <v>8132</v>
      </c>
      <c r="C1204" s="58" t="n">
        <v>449</v>
      </c>
      <c r="D1204" s="58" t="s">
        <v>8133</v>
      </c>
      <c r="E1204" s="58" t="s">
        <v>8133</v>
      </c>
      <c r="F1204" s="59" t="s">
        <v>604</v>
      </c>
    </row>
    <row r="1205" customFormat="false" ht="15" hidden="false" customHeight="false" outlineLevel="0" collapsed="false">
      <c r="A1205" s="90" t="str">
        <f aca="false">Gov_Map!$H450&amp;""</f>
        <v>—</v>
      </c>
      <c r="B1205" s="71" t="s">
        <v>8132</v>
      </c>
      <c r="C1205" s="58" t="n">
        <v>450</v>
      </c>
      <c r="D1205" s="58" t="s">
        <v>8133</v>
      </c>
      <c r="E1205" s="58" t="s">
        <v>8133</v>
      </c>
      <c r="F1205" s="59" t="s">
        <v>604</v>
      </c>
    </row>
    <row r="1206" customFormat="false" ht="15" hidden="false" customHeight="false" outlineLevel="0" collapsed="false">
      <c r="A1206" s="90" t="str">
        <f aca="false">Gov_Map!$H451&amp;""</f>
        <v>—</v>
      </c>
      <c r="B1206" s="71" t="s">
        <v>8132</v>
      </c>
      <c r="C1206" s="58" t="n">
        <v>451</v>
      </c>
      <c r="D1206" s="58" t="s">
        <v>8133</v>
      </c>
      <c r="E1206" s="58" t="s">
        <v>8133</v>
      </c>
      <c r="F1206" s="59" t="s">
        <v>604</v>
      </c>
    </row>
    <row r="1207" customFormat="false" ht="15" hidden="false" customHeight="false" outlineLevel="0" collapsed="false">
      <c r="A1207" s="90" t="str">
        <f aca="false">Gov_Map!$H452&amp;""</f>
        <v>—</v>
      </c>
      <c r="B1207" s="71" t="s">
        <v>8132</v>
      </c>
      <c r="C1207" s="58" t="n">
        <v>452</v>
      </c>
      <c r="D1207" s="58" t="s">
        <v>8133</v>
      </c>
      <c r="E1207" s="58" t="s">
        <v>8133</v>
      </c>
      <c r="F1207" s="59" t="s">
        <v>604</v>
      </c>
    </row>
    <row r="1208" customFormat="false" ht="15" hidden="false" customHeight="false" outlineLevel="0" collapsed="false">
      <c r="A1208" s="90" t="str">
        <f aca="false">Gov_Map!$H453&amp;""</f>
        <v>—</v>
      </c>
      <c r="B1208" s="71" t="s">
        <v>8132</v>
      </c>
      <c r="C1208" s="58" t="n">
        <v>453</v>
      </c>
      <c r="D1208" s="58" t="s">
        <v>8133</v>
      </c>
      <c r="E1208" s="58" t="s">
        <v>8133</v>
      </c>
      <c r="F1208" s="59" t="s">
        <v>604</v>
      </c>
    </row>
    <row r="1209" customFormat="false" ht="15" hidden="false" customHeight="false" outlineLevel="0" collapsed="false">
      <c r="A1209" s="90" t="str">
        <f aca="false">Gov_Map!$H454&amp;""</f>
        <v>—</v>
      </c>
      <c r="B1209" s="71" t="s">
        <v>8132</v>
      </c>
      <c r="C1209" s="58" t="n">
        <v>454</v>
      </c>
      <c r="D1209" s="58" t="s">
        <v>8133</v>
      </c>
      <c r="E1209" s="58" t="s">
        <v>8133</v>
      </c>
      <c r="F1209" s="59" t="s">
        <v>604</v>
      </c>
    </row>
    <row r="1210" customFormat="false" ht="15" hidden="false" customHeight="false" outlineLevel="0" collapsed="false">
      <c r="A1210" s="90" t="str">
        <f aca="false">Gov_Map!$H455&amp;""</f>
        <v>—</v>
      </c>
      <c r="B1210" s="71" t="s">
        <v>8132</v>
      </c>
      <c r="C1210" s="58" t="n">
        <v>455</v>
      </c>
      <c r="D1210" s="58" t="s">
        <v>8133</v>
      </c>
      <c r="E1210" s="58" t="s">
        <v>8133</v>
      </c>
      <c r="F1210" s="59" t="s">
        <v>604</v>
      </c>
    </row>
    <row r="1211" customFormat="false" ht="15" hidden="false" customHeight="false" outlineLevel="0" collapsed="false">
      <c r="A1211" s="90" t="str">
        <f aca="false">Gov_Map!$H456&amp;""</f>
        <v>—</v>
      </c>
      <c r="B1211" s="71" t="s">
        <v>8132</v>
      </c>
      <c r="C1211" s="58" t="n">
        <v>456</v>
      </c>
      <c r="D1211" s="58" t="s">
        <v>8133</v>
      </c>
      <c r="E1211" s="58" t="s">
        <v>8133</v>
      </c>
      <c r="F1211" s="59" t="s">
        <v>604</v>
      </c>
    </row>
    <row r="1212" customFormat="false" ht="15" hidden="false" customHeight="false" outlineLevel="0" collapsed="false">
      <c r="A1212" s="90" t="str">
        <f aca="false">Gov_Map!$H457&amp;""</f>
        <v>SRC_DEM_004</v>
      </c>
      <c r="B1212" s="71" t="s">
        <v>8132</v>
      </c>
      <c r="C1212" s="58" t="n">
        <v>457</v>
      </c>
      <c r="D1212" s="58" t="s">
        <v>8133</v>
      </c>
      <c r="E1212" s="58" t="s">
        <v>8133</v>
      </c>
      <c r="F1212" s="59" t="s">
        <v>604</v>
      </c>
    </row>
    <row r="1213" customFormat="false" ht="15" hidden="false" customHeight="false" outlineLevel="0" collapsed="false">
      <c r="A1213" s="90" t="str">
        <f aca="false">Gov_Map!$H458&amp;""</f>
        <v>—</v>
      </c>
      <c r="B1213" s="71" t="s">
        <v>8132</v>
      </c>
      <c r="C1213" s="58" t="n">
        <v>458</v>
      </c>
      <c r="D1213" s="58" t="s">
        <v>8133</v>
      </c>
      <c r="E1213" s="58" t="s">
        <v>8133</v>
      </c>
      <c r="F1213" s="59" t="s">
        <v>604</v>
      </c>
    </row>
    <row r="1214" customFormat="false" ht="15" hidden="false" customHeight="false" outlineLevel="0" collapsed="false">
      <c r="A1214" s="90" t="str">
        <f aca="false">Gov_Map!$H459&amp;""</f>
        <v>SRC_DEM_005</v>
      </c>
      <c r="B1214" s="71" t="s">
        <v>8132</v>
      </c>
      <c r="C1214" s="58" t="n">
        <v>459</v>
      </c>
      <c r="D1214" s="58" t="s">
        <v>8133</v>
      </c>
      <c r="E1214" s="58" t="s">
        <v>8133</v>
      </c>
      <c r="F1214" s="59" t="s">
        <v>604</v>
      </c>
    </row>
    <row r="1215" customFormat="false" ht="15" hidden="false" customHeight="false" outlineLevel="0" collapsed="false">
      <c r="A1215" s="90" t="str">
        <f aca="false">Gov_Map!$H460&amp;""</f>
        <v>—</v>
      </c>
      <c r="B1215" s="71" t="s">
        <v>8132</v>
      </c>
      <c r="C1215" s="58" t="n">
        <v>460</v>
      </c>
      <c r="D1215" s="58" t="s">
        <v>8133</v>
      </c>
      <c r="E1215" s="58" t="s">
        <v>8133</v>
      </c>
      <c r="F1215" s="59" t="s">
        <v>604</v>
      </c>
    </row>
    <row r="1216" customFormat="false" ht="15" hidden="false" customHeight="false" outlineLevel="0" collapsed="false">
      <c r="A1216" s="90" t="str">
        <f aca="false">Gov_Map!$H461&amp;""</f>
        <v>—</v>
      </c>
      <c r="B1216" s="71" t="s">
        <v>8132</v>
      </c>
      <c r="C1216" s="58" t="n">
        <v>461</v>
      </c>
      <c r="D1216" s="58" t="s">
        <v>8133</v>
      </c>
      <c r="E1216" s="58" t="s">
        <v>8133</v>
      </c>
      <c r="F1216" s="59" t="s">
        <v>604</v>
      </c>
    </row>
    <row r="1217" customFormat="false" ht="15" hidden="false" customHeight="false" outlineLevel="0" collapsed="false">
      <c r="A1217" s="90" t="str">
        <f aca="false">Gov_Map!$H462&amp;""</f>
        <v>—</v>
      </c>
      <c r="B1217" s="71" t="s">
        <v>8132</v>
      </c>
      <c r="C1217" s="58" t="n">
        <v>462</v>
      </c>
      <c r="D1217" s="58" t="s">
        <v>8133</v>
      </c>
      <c r="E1217" s="58" t="s">
        <v>8133</v>
      </c>
      <c r="F1217" s="59" t="s">
        <v>604</v>
      </c>
    </row>
    <row r="1218" customFormat="false" ht="15" hidden="false" customHeight="false" outlineLevel="0" collapsed="false">
      <c r="A1218" s="90" t="str">
        <f aca="false">Gov_Map!$H463&amp;""</f>
        <v>—</v>
      </c>
      <c r="B1218" s="71" t="s">
        <v>8132</v>
      </c>
      <c r="C1218" s="58" t="n">
        <v>463</v>
      </c>
      <c r="D1218" s="58" t="s">
        <v>8133</v>
      </c>
      <c r="E1218" s="58" t="s">
        <v>8133</v>
      </c>
      <c r="F1218" s="59" t="s">
        <v>604</v>
      </c>
    </row>
    <row r="1219" customFormat="false" ht="15" hidden="false" customHeight="false" outlineLevel="0" collapsed="false">
      <c r="A1219" s="90" t="str">
        <f aca="false">Gov_Map!$H464&amp;""</f>
        <v>—</v>
      </c>
      <c r="B1219" s="71" t="s">
        <v>8132</v>
      </c>
      <c r="C1219" s="58" t="n">
        <v>464</v>
      </c>
      <c r="D1219" s="58" t="s">
        <v>8133</v>
      </c>
      <c r="E1219" s="58" t="s">
        <v>8133</v>
      </c>
      <c r="F1219" s="59" t="s">
        <v>604</v>
      </c>
    </row>
    <row r="1220" customFormat="false" ht="15" hidden="false" customHeight="false" outlineLevel="0" collapsed="false">
      <c r="A1220" s="90" t="str">
        <f aca="false">Gov_Map!$H465&amp;""</f>
        <v>—</v>
      </c>
      <c r="B1220" s="71" t="s">
        <v>8132</v>
      </c>
      <c r="C1220" s="58" t="n">
        <v>465</v>
      </c>
      <c r="D1220" s="58" t="s">
        <v>8133</v>
      </c>
      <c r="E1220" s="58" t="s">
        <v>8133</v>
      </c>
      <c r="F1220" s="59" t="s">
        <v>604</v>
      </c>
    </row>
    <row r="1221" customFormat="false" ht="15" hidden="false" customHeight="false" outlineLevel="0" collapsed="false">
      <c r="A1221" s="90" t="str">
        <f aca="false">Gov_Map!$H466&amp;""</f>
        <v>—</v>
      </c>
      <c r="B1221" s="71" t="s">
        <v>8132</v>
      </c>
      <c r="C1221" s="58" t="n">
        <v>466</v>
      </c>
      <c r="D1221" s="58" t="s">
        <v>8133</v>
      </c>
      <c r="E1221" s="58" t="s">
        <v>8133</v>
      </c>
      <c r="F1221" s="59" t="s">
        <v>604</v>
      </c>
    </row>
    <row r="1222" customFormat="false" ht="15" hidden="false" customHeight="false" outlineLevel="0" collapsed="false">
      <c r="A1222" s="90" t="str">
        <f aca="false">Gov_Map!$H467&amp;""</f>
        <v>—</v>
      </c>
      <c r="B1222" s="71" t="s">
        <v>8132</v>
      </c>
      <c r="C1222" s="58" t="n">
        <v>467</v>
      </c>
      <c r="D1222" s="58" t="s">
        <v>8133</v>
      </c>
      <c r="E1222" s="58" t="s">
        <v>8133</v>
      </c>
      <c r="F1222" s="59" t="s">
        <v>604</v>
      </c>
    </row>
    <row r="1223" customFormat="false" ht="15" hidden="false" customHeight="false" outlineLevel="0" collapsed="false">
      <c r="A1223" s="90" t="str">
        <f aca="false">Gov_Map!$H468&amp;""</f>
        <v>—</v>
      </c>
      <c r="B1223" s="71" t="s">
        <v>8132</v>
      </c>
      <c r="C1223" s="58" t="n">
        <v>468</v>
      </c>
      <c r="D1223" s="58" t="s">
        <v>8133</v>
      </c>
      <c r="E1223" s="58" t="s">
        <v>8133</v>
      </c>
      <c r="F1223" s="59" t="s">
        <v>604</v>
      </c>
    </row>
    <row r="1224" customFormat="false" ht="15" hidden="false" customHeight="false" outlineLevel="0" collapsed="false">
      <c r="A1224" s="90" t="str">
        <f aca="false">Gov_Map!$H469&amp;""</f>
        <v>—</v>
      </c>
      <c r="B1224" s="71" t="s">
        <v>8132</v>
      </c>
      <c r="C1224" s="58" t="n">
        <v>469</v>
      </c>
      <c r="D1224" s="58" t="s">
        <v>8133</v>
      </c>
      <c r="E1224" s="58" t="s">
        <v>8133</v>
      </c>
      <c r="F1224" s="59" t="s">
        <v>604</v>
      </c>
    </row>
    <row r="1225" customFormat="false" ht="15" hidden="false" customHeight="false" outlineLevel="0" collapsed="false">
      <c r="A1225" s="90" t="str">
        <f aca="false">Gov_Map!$H470&amp;""</f>
        <v>—</v>
      </c>
      <c r="B1225" s="71" t="s">
        <v>8132</v>
      </c>
      <c r="C1225" s="58" t="n">
        <v>470</v>
      </c>
      <c r="D1225" s="58" t="s">
        <v>8133</v>
      </c>
      <c r="E1225" s="58" t="s">
        <v>8133</v>
      </c>
      <c r="F1225" s="59" t="s">
        <v>604</v>
      </c>
    </row>
    <row r="1226" customFormat="false" ht="15" hidden="false" customHeight="false" outlineLevel="0" collapsed="false">
      <c r="A1226" s="90" t="str">
        <f aca="false">Gov_Map!$H471&amp;""</f>
        <v>—</v>
      </c>
      <c r="B1226" s="71" t="s">
        <v>8132</v>
      </c>
      <c r="C1226" s="58" t="n">
        <v>471</v>
      </c>
      <c r="D1226" s="58" t="s">
        <v>8133</v>
      </c>
      <c r="E1226" s="58" t="s">
        <v>8133</v>
      </c>
      <c r="F1226" s="59" t="s">
        <v>604</v>
      </c>
    </row>
    <row r="1227" customFormat="false" ht="15" hidden="false" customHeight="false" outlineLevel="0" collapsed="false">
      <c r="A1227" s="90" t="str">
        <f aca="false">Gov_Map!$H472&amp;""</f>
        <v>—</v>
      </c>
      <c r="B1227" s="71" t="s">
        <v>8132</v>
      </c>
      <c r="C1227" s="58" t="n">
        <v>472</v>
      </c>
      <c r="D1227" s="58" t="s">
        <v>8133</v>
      </c>
      <c r="E1227" s="58" t="s">
        <v>8133</v>
      </c>
      <c r="F1227" s="59" t="s">
        <v>604</v>
      </c>
    </row>
    <row r="1228" customFormat="false" ht="15" hidden="false" customHeight="false" outlineLevel="0" collapsed="false">
      <c r="A1228" s="90" t="str">
        <f aca="false">Gov_Map!$H473&amp;""</f>
        <v>—</v>
      </c>
      <c r="B1228" s="71" t="s">
        <v>8132</v>
      </c>
      <c r="C1228" s="58" t="n">
        <v>473</v>
      </c>
      <c r="D1228" s="58" t="s">
        <v>8133</v>
      </c>
      <c r="E1228" s="58" t="s">
        <v>8133</v>
      </c>
      <c r="F1228" s="59" t="s">
        <v>604</v>
      </c>
    </row>
    <row r="1229" customFormat="false" ht="15" hidden="false" customHeight="false" outlineLevel="0" collapsed="false">
      <c r="A1229" s="90" t="str">
        <f aca="false">Gov_Map!$H474&amp;""</f>
        <v>—</v>
      </c>
      <c r="B1229" s="71" t="s">
        <v>8132</v>
      </c>
      <c r="C1229" s="58" t="n">
        <v>474</v>
      </c>
      <c r="D1229" s="58" t="s">
        <v>8133</v>
      </c>
      <c r="E1229" s="58" t="s">
        <v>8133</v>
      </c>
      <c r="F1229" s="59" t="s">
        <v>604</v>
      </c>
    </row>
    <row r="1230" customFormat="false" ht="15" hidden="false" customHeight="false" outlineLevel="0" collapsed="false">
      <c r="A1230" s="90" t="str">
        <f aca="false">Gov_Map!$H475&amp;""</f>
        <v>—</v>
      </c>
      <c r="B1230" s="71" t="s">
        <v>8132</v>
      </c>
      <c r="C1230" s="58" t="n">
        <v>475</v>
      </c>
      <c r="D1230" s="58" t="s">
        <v>8133</v>
      </c>
      <c r="E1230" s="58" t="s">
        <v>8133</v>
      </c>
      <c r="F1230" s="59" t="s">
        <v>604</v>
      </c>
    </row>
    <row r="1231" customFormat="false" ht="15" hidden="false" customHeight="false" outlineLevel="0" collapsed="false">
      <c r="A1231" s="90" t="str">
        <f aca="false">Gov_Map!$H476&amp;""</f>
        <v>—</v>
      </c>
      <c r="B1231" s="71" t="s">
        <v>8132</v>
      </c>
      <c r="C1231" s="58" t="n">
        <v>476</v>
      </c>
      <c r="D1231" s="58" t="s">
        <v>8133</v>
      </c>
      <c r="E1231" s="58" t="s">
        <v>8133</v>
      </c>
      <c r="F1231" s="59" t="s">
        <v>604</v>
      </c>
    </row>
    <row r="1232" customFormat="false" ht="15" hidden="false" customHeight="false" outlineLevel="0" collapsed="false">
      <c r="A1232" s="90" t="str">
        <f aca="false">Gov_Map!$H477&amp;""</f>
        <v>SRC_PRC_027</v>
      </c>
      <c r="B1232" s="71" t="s">
        <v>8132</v>
      </c>
      <c r="C1232" s="58" t="n">
        <v>477</v>
      </c>
      <c r="D1232" s="58" t="s">
        <v>8133</v>
      </c>
      <c r="E1232" s="58" t="s">
        <v>8133</v>
      </c>
      <c r="F1232" s="59" t="s">
        <v>604</v>
      </c>
    </row>
    <row r="1233" customFormat="false" ht="15" hidden="false" customHeight="false" outlineLevel="0" collapsed="false">
      <c r="A1233" s="90" t="str">
        <f aca="false">Gov_Map!$H478&amp;""</f>
        <v>—</v>
      </c>
      <c r="B1233" s="71" t="s">
        <v>8132</v>
      </c>
      <c r="C1233" s="58" t="n">
        <v>478</v>
      </c>
      <c r="D1233" s="58" t="s">
        <v>8133</v>
      </c>
      <c r="E1233" s="58" t="s">
        <v>8133</v>
      </c>
      <c r="F1233" s="59" t="s">
        <v>604</v>
      </c>
    </row>
    <row r="1234" customFormat="false" ht="15" hidden="false" customHeight="false" outlineLevel="0" collapsed="false">
      <c r="A1234" s="90" t="str">
        <f aca="false">Gov_Map!$H479&amp;""</f>
        <v>—</v>
      </c>
      <c r="B1234" s="71" t="s">
        <v>8132</v>
      </c>
      <c r="C1234" s="58" t="n">
        <v>479</v>
      </c>
      <c r="D1234" s="58" t="s">
        <v>8133</v>
      </c>
      <c r="E1234" s="58" t="s">
        <v>8133</v>
      </c>
      <c r="F1234" s="59" t="s">
        <v>604</v>
      </c>
    </row>
    <row r="1235" customFormat="false" ht="15" hidden="false" customHeight="false" outlineLevel="0" collapsed="false">
      <c r="A1235" s="90" t="str">
        <f aca="false">Gov_Map!$H480&amp;""</f>
        <v>—</v>
      </c>
      <c r="B1235" s="71" t="s">
        <v>8132</v>
      </c>
      <c r="C1235" s="58" t="n">
        <v>480</v>
      </c>
      <c r="D1235" s="58" t="s">
        <v>8133</v>
      </c>
      <c r="E1235" s="58" t="s">
        <v>8133</v>
      </c>
      <c r="F1235" s="59" t="s">
        <v>604</v>
      </c>
    </row>
    <row r="1236" customFormat="false" ht="15" hidden="false" customHeight="false" outlineLevel="0" collapsed="false">
      <c r="A1236" s="90" t="str">
        <f aca="false">Gov_Map!$H481&amp;""</f>
        <v>SRC_CAP_007</v>
      </c>
      <c r="B1236" s="71" t="s">
        <v>8132</v>
      </c>
      <c r="C1236" s="58" t="n">
        <v>481</v>
      </c>
      <c r="D1236" s="58" t="s">
        <v>8133</v>
      </c>
      <c r="E1236" s="58" t="s">
        <v>8133</v>
      </c>
      <c r="F1236" s="59" t="s">
        <v>604</v>
      </c>
    </row>
    <row r="1237" customFormat="false" ht="15" hidden="false" customHeight="false" outlineLevel="0" collapsed="false">
      <c r="A1237" s="90" t="str">
        <f aca="false">Gov_Map!$H482&amp;""</f>
        <v>SRC_CAP_006</v>
      </c>
      <c r="B1237" s="71" t="s">
        <v>8132</v>
      </c>
      <c r="C1237" s="58" t="n">
        <v>482</v>
      </c>
      <c r="D1237" s="58" t="s">
        <v>8133</v>
      </c>
      <c r="E1237" s="58" t="s">
        <v>8133</v>
      </c>
      <c r="F1237" s="59" t="s">
        <v>604</v>
      </c>
    </row>
    <row r="1238" customFormat="false" ht="15" hidden="false" customHeight="false" outlineLevel="0" collapsed="false">
      <c r="A1238" s="90" t="str">
        <f aca="false">Gov_Map!$H483&amp;""</f>
        <v>—</v>
      </c>
      <c r="B1238" s="71" t="s">
        <v>8132</v>
      </c>
      <c r="C1238" s="58" t="n">
        <v>483</v>
      </c>
      <c r="D1238" s="58" t="s">
        <v>8133</v>
      </c>
      <c r="E1238" s="58" t="s">
        <v>8133</v>
      </c>
      <c r="F1238" s="59" t="s">
        <v>604</v>
      </c>
    </row>
    <row r="1239" customFormat="false" ht="15" hidden="false" customHeight="false" outlineLevel="0" collapsed="false">
      <c r="A1239" s="90" t="str">
        <f aca="false">Gov_Map!$H484&amp;""</f>
        <v>—</v>
      </c>
      <c r="B1239" s="71" t="s">
        <v>8132</v>
      </c>
      <c r="C1239" s="58" t="n">
        <v>484</v>
      </c>
      <c r="D1239" s="58" t="s">
        <v>8133</v>
      </c>
      <c r="E1239" s="58" t="s">
        <v>8133</v>
      </c>
      <c r="F1239" s="59" t="s">
        <v>604</v>
      </c>
    </row>
    <row r="1240" customFormat="false" ht="15" hidden="false" customHeight="false" outlineLevel="0" collapsed="false">
      <c r="A1240" s="90" t="str">
        <f aca="false">Gov_Map!$H485&amp;""</f>
        <v>—</v>
      </c>
      <c r="B1240" s="71" t="s">
        <v>8132</v>
      </c>
      <c r="C1240" s="58" t="n">
        <v>485</v>
      </c>
      <c r="D1240" s="58" t="s">
        <v>8133</v>
      </c>
      <c r="E1240" s="58" t="s">
        <v>8133</v>
      </c>
      <c r="F1240" s="59" t="s">
        <v>604</v>
      </c>
    </row>
    <row r="1241" customFormat="false" ht="15" hidden="false" customHeight="false" outlineLevel="0" collapsed="false">
      <c r="A1241" s="90" t="str">
        <f aca="false">Gov_Map!$H486&amp;""</f>
        <v>—</v>
      </c>
      <c r="B1241" s="71" t="s">
        <v>8132</v>
      </c>
      <c r="C1241" s="58" t="n">
        <v>486</v>
      </c>
      <c r="D1241" s="58" t="s">
        <v>8133</v>
      </c>
      <c r="E1241" s="58" t="s">
        <v>8133</v>
      </c>
      <c r="F1241" s="59" t="s">
        <v>604</v>
      </c>
    </row>
    <row r="1242" customFormat="false" ht="15" hidden="false" customHeight="false" outlineLevel="0" collapsed="false">
      <c r="A1242" s="90" t="str">
        <f aca="false">Gov_Map!$H487&amp;""</f>
        <v>—</v>
      </c>
      <c r="B1242" s="71" t="s">
        <v>8132</v>
      </c>
      <c r="C1242" s="58" t="n">
        <v>487</v>
      </c>
      <c r="D1242" s="58" t="s">
        <v>8133</v>
      </c>
      <c r="E1242" s="58" t="s">
        <v>8133</v>
      </c>
      <c r="F1242" s="59" t="s">
        <v>604</v>
      </c>
    </row>
    <row r="1243" customFormat="false" ht="15" hidden="false" customHeight="false" outlineLevel="0" collapsed="false">
      <c r="A1243" s="90" t="str">
        <f aca="false">Gov_Map!$H488&amp;""</f>
        <v>—</v>
      </c>
      <c r="B1243" s="71" t="s">
        <v>8132</v>
      </c>
      <c r="C1243" s="58" t="n">
        <v>488</v>
      </c>
      <c r="D1243" s="58" t="s">
        <v>8133</v>
      </c>
      <c r="E1243" s="58" t="s">
        <v>8133</v>
      </c>
      <c r="F1243" s="59" t="s">
        <v>604</v>
      </c>
    </row>
    <row r="1244" customFormat="false" ht="15" hidden="false" customHeight="false" outlineLevel="0" collapsed="false">
      <c r="A1244" s="90" t="str">
        <f aca="false">Gov_Map!$H489&amp;""</f>
        <v>—</v>
      </c>
      <c r="B1244" s="71" t="s">
        <v>8132</v>
      </c>
      <c r="C1244" s="58" t="n">
        <v>489</v>
      </c>
      <c r="D1244" s="58" t="s">
        <v>8133</v>
      </c>
      <c r="E1244" s="58" t="s">
        <v>8133</v>
      </c>
      <c r="F1244" s="59" t="s">
        <v>604</v>
      </c>
    </row>
    <row r="1245" customFormat="false" ht="15" hidden="false" customHeight="false" outlineLevel="0" collapsed="false">
      <c r="A1245" s="90" t="str">
        <f aca="false">Gov_Map!$H490&amp;""</f>
        <v>—</v>
      </c>
      <c r="B1245" s="71" t="s">
        <v>8132</v>
      </c>
      <c r="C1245" s="58" t="n">
        <v>490</v>
      </c>
      <c r="D1245" s="58" t="s">
        <v>8133</v>
      </c>
      <c r="E1245" s="58" t="s">
        <v>8133</v>
      </c>
      <c r="F1245" s="59" t="s">
        <v>604</v>
      </c>
    </row>
    <row r="1246" customFormat="false" ht="15" hidden="false" customHeight="false" outlineLevel="0" collapsed="false">
      <c r="A1246" s="90" t="str">
        <f aca="false">Gov_Map!$H491&amp;""</f>
        <v>—</v>
      </c>
      <c r="B1246" s="71" t="s">
        <v>8132</v>
      </c>
      <c r="C1246" s="58" t="n">
        <v>491</v>
      </c>
      <c r="D1246" s="58" t="s">
        <v>8133</v>
      </c>
      <c r="E1246" s="58" t="s">
        <v>8133</v>
      </c>
      <c r="F1246" s="59" t="s">
        <v>604</v>
      </c>
    </row>
    <row r="1247" customFormat="false" ht="15" hidden="false" customHeight="false" outlineLevel="0" collapsed="false">
      <c r="A1247" s="90" t="str">
        <f aca="false">Gov_Map!$H492&amp;""</f>
        <v>SRC_HAR_003</v>
      </c>
      <c r="B1247" s="71" t="s">
        <v>8132</v>
      </c>
      <c r="C1247" s="58" t="n">
        <v>492</v>
      </c>
      <c r="D1247" s="58" t="s">
        <v>8133</v>
      </c>
      <c r="E1247" s="58" t="s">
        <v>8133</v>
      </c>
      <c r="F1247" s="59" t="s">
        <v>604</v>
      </c>
    </row>
    <row r="1248" customFormat="false" ht="15" hidden="false" customHeight="false" outlineLevel="0" collapsed="false">
      <c r="A1248" s="90" t="str">
        <f aca="false">Gov_Map!$H493&amp;""</f>
        <v>—</v>
      </c>
      <c r="B1248" s="71" t="s">
        <v>8132</v>
      </c>
      <c r="C1248" s="58" t="n">
        <v>493</v>
      </c>
      <c r="D1248" s="58" t="s">
        <v>8133</v>
      </c>
      <c r="E1248" s="58" t="s">
        <v>8133</v>
      </c>
      <c r="F1248" s="59" t="s">
        <v>604</v>
      </c>
    </row>
    <row r="1249" customFormat="false" ht="15" hidden="false" customHeight="false" outlineLevel="0" collapsed="false">
      <c r="A1249" s="90" t="str">
        <f aca="false">Gov_Map!$H494&amp;""</f>
        <v>—</v>
      </c>
      <c r="B1249" s="71" t="s">
        <v>8132</v>
      </c>
      <c r="C1249" s="58" t="n">
        <v>494</v>
      </c>
      <c r="D1249" s="58" t="s">
        <v>8133</v>
      </c>
      <c r="E1249" s="58" t="s">
        <v>8133</v>
      </c>
      <c r="F1249" s="59" t="s">
        <v>604</v>
      </c>
    </row>
    <row r="1250" customFormat="false" ht="15" hidden="false" customHeight="false" outlineLevel="0" collapsed="false">
      <c r="A1250" s="90" t="str">
        <f aca="false">Gov_Map!$H495&amp;""</f>
        <v>—</v>
      </c>
      <c r="B1250" s="71" t="s">
        <v>8132</v>
      </c>
      <c r="C1250" s="58" t="n">
        <v>495</v>
      </c>
      <c r="D1250" s="58" t="s">
        <v>8133</v>
      </c>
      <c r="E1250" s="58" t="s">
        <v>8133</v>
      </c>
      <c r="F1250" s="59" t="s">
        <v>604</v>
      </c>
    </row>
    <row r="1251" customFormat="false" ht="15" hidden="false" customHeight="false" outlineLevel="0" collapsed="false">
      <c r="A1251" s="90" t="str">
        <f aca="false">Gov_Map!$H496&amp;""</f>
        <v>—</v>
      </c>
      <c r="B1251" s="71" t="s">
        <v>8132</v>
      </c>
      <c r="C1251" s="58" t="n">
        <v>496</v>
      </c>
      <c r="D1251" s="58" t="s">
        <v>8133</v>
      </c>
      <c r="E1251" s="58" t="s">
        <v>8133</v>
      </c>
      <c r="F1251" s="59" t="s">
        <v>604</v>
      </c>
    </row>
    <row r="1252" customFormat="false" ht="15" hidden="false" customHeight="false" outlineLevel="0" collapsed="false">
      <c r="A1252" s="90" t="str">
        <f aca="false">Gov_Map!$H497&amp;""</f>
        <v>—</v>
      </c>
      <c r="B1252" s="71" t="s">
        <v>8132</v>
      </c>
      <c r="C1252" s="58" t="n">
        <v>497</v>
      </c>
      <c r="D1252" s="58" t="s">
        <v>8133</v>
      </c>
      <c r="E1252" s="58" t="s">
        <v>8133</v>
      </c>
      <c r="F1252" s="59" t="s">
        <v>604</v>
      </c>
    </row>
    <row r="1253" customFormat="false" ht="15" hidden="false" customHeight="false" outlineLevel="0" collapsed="false">
      <c r="A1253" s="90" t="str">
        <f aca="false">Gov_Map!$H498&amp;""</f>
        <v>—</v>
      </c>
      <c r="B1253" s="71" t="s">
        <v>8132</v>
      </c>
      <c r="C1253" s="58" t="n">
        <v>498</v>
      </c>
      <c r="D1253" s="58" t="s">
        <v>8133</v>
      </c>
      <c r="E1253" s="58" t="s">
        <v>8133</v>
      </c>
      <c r="F1253" s="59" t="s">
        <v>604</v>
      </c>
    </row>
    <row r="1254" customFormat="false" ht="15" hidden="false" customHeight="false" outlineLevel="0" collapsed="false">
      <c r="A1254" s="90" t="str">
        <f aca="false">Gov_Map!$H499&amp;""</f>
        <v>—</v>
      </c>
      <c r="B1254" s="71" t="s">
        <v>8132</v>
      </c>
      <c r="C1254" s="58" t="n">
        <v>499</v>
      </c>
      <c r="D1254" s="58" t="s">
        <v>8133</v>
      </c>
      <c r="E1254" s="58" t="s">
        <v>8133</v>
      </c>
      <c r="F1254" s="59" t="s">
        <v>604</v>
      </c>
    </row>
    <row r="1255" customFormat="false" ht="15" hidden="false" customHeight="false" outlineLevel="0" collapsed="false">
      <c r="A1255" s="90" t="str">
        <f aca="false">Gov_Map!$H500&amp;""</f>
        <v>—</v>
      </c>
      <c r="B1255" s="71" t="s">
        <v>8132</v>
      </c>
      <c r="C1255" s="58" t="n">
        <v>500</v>
      </c>
      <c r="D1255" s="58" t="s">
        <v>8133</v>
      </c>
      <c r="E1255" s="58" t="s">
        <v>8133</v>
      </c>
      <c r="F1255" s="59" t="s">
        <v>604</v>
      </c>
    </row>
    <row r="1256" customFormat="false" ht="15" hidden="false" customHeight="false" outlineLevel="0" collapsed="false">
      <c r="A1256" s="90" t="str">
        <f aca="false">Gov_Map!$H501&amp;""</f>
        <v>—</v>
      </c>
      <c r="B1256" s="71" t="s">
        <v>8132</v>
      </c>
      <c r="C1256" s="58" t="n">
        <v>501</v>
      </c>
      <c r="D1256" s="58" t="s">
        <v>8133</v>
      </c>
      <c r="E1256" s="58" t="s">
        <v>8133</v>
      </c>
      <c r="F1256" s="59" t="s">
        <v>604</v>
      </c>
    </row>
    <row r="1257" customFormat="false" ht="15" hidden="false" customHeight="false" outlineLevel="0" collapsed="false">
      <c r="A1257" s="90" t="str">
        <f aca="false">Gov_Map!$H502&amp;""</f>
        <v>SRC_HAR_002</v>
      </c>
      <c r="B1257" s="71" t="s">
        <v>8132</v>
      </c>
      <c r="C1257" s="58" t="n">
        <v>502</v>
      </c>
      <c r="D1257" s="58" t="s">
        <v>8133</v>
      </c>
      <c r="E1257" s="58" t="s">
        <v>8133</v>
      </c>
      <c r="F1257" s="59" t="s">
        <v>604</v>
      </c>
    </row>
    <row r="1258" customFormat="false" ht="15" hidden="false" customHeight="false" outlineLevel="0" collapsed="false">
      <c r="A1258" s="90" t="str">
        <f aca="false">Gov_Map!$H503&amp;""</f>
        <v>SRC_CAP_020</v>
      </c>
      <c r="B1258" s="71" t="s">
        <v>8132</v>
      </c>
      <c r="C1258" s="58" t="n">
        <v>503</v>
      </c>
      <c r="D1258" s="58" t="s">
        <v>8133</v>
      </c>
      <c r="E1258" s="58" t="s">
        <v>8133</v>
      </c>
      <c r="F1258" s="59" t="s">
        <v>604</v>
      </c>
    </row>
    <row r="1259" customFormat="false" ht="15" hidden="false" customHeight="false" outlineLevel="0" collapsed="false">
      <c r="A1259" s="90" t="str">
        <f aca="false">Gov_Map!$H504&amp;""</f>
        <v>SRC_CAP_020</v>
      </c>
      <c r="B1259" s="71" t="s">
        <v>8132</v>
      </c>
      <c r="C1259" s="58" t="n">
        <v>504</v>
      </c>
      <c r="D1259" s="58" t="s">
        <v>8133</v>
      </c>
      <c r="E1259" s="58" t="s">
        <v>8133</v>
      </c>
      <c r="F1259" s="59" t="s">
        <v>604</v>
      </c>
    </row>
    <row r="1260" customFormat="false" ht="15" hidden="false" customHeight="false" outlineLevel="0" collapsed="false">
      <c r="A1260" s="90" t="str">
        <f aca="false">Gov_Map!$H505&amp;""</f>
        <v>SRC_CAP_021</v>
      </c>
      <c r="B1260" s="71" t="s">
        <v>8132</v>
      </c>
      <c r="C1260" s="58" t="n">
        <v>505</v>
      </c>
      <c r="D1260" s="58" t="s">
        <v>8133</v>
      </c>
      <c r="E1260" s="58" t="s">
        <v>8133</v>
      </c>
      <c r="F1260" s="59" t="s">
        <v>604</v>
      </c>
    </row>
    <row r="1261" customFormat="false" ht="15" hidden="false" customHeight="false" outlineLevel="0" collapsed="false">
      <c r="A1261" s="90" t="str">
        <f aca="false">Gov_Map!$H506&amp;""</f>
        <v>SRC_CAP_012</v>
      </c>
      <c r="B1261" s="71" t="s">
        <v>8132</v>
      </c>
      <c r="C1261" s="58" t="n">
        <v>506</v>
      </c>
      <c r="D1261" s="58" t="s">
        <v>8133</v>
      </c>
      <c r="E1261" s="58" t="s">
        <v>8133</v>
      </c>
      <c r="F1261" s="59" t="s">
        <v>604</v>
      </c>
    </row>
    <row r="1262" customFormat="false" ht="15" hidden="false" customHeight="false" outlineLevel="0" collapsed="false">
      <c r="A1262" s="90" t="str">
        <f aca="false">Gov_Map!$H507&amp;""</f>
        <v>SRC_CAP_012</v>
      </c>
      <c r="B1262" s="71" t="s">
        <v>8132</v>
      </c>
      <c r="C1262" s="58" t="n">
        <v>507</v>
      </c>
      <c r="D1262" s="58" t="s">
        <v>8133</v>
      </c>
      <c r="E1262" s="58" t="s">
        <v>8133</v>
      </c>
      <c r="F1262" s="59" t="s">
        <v>604</v>
      </c>
    </row>
    <row r="1263" customFormat="false" ht="15" hidden="false" customHeight="false" outlineLevel="0" collapsed="false">
      <c r="A1263" s="90" t="str">
        <f aca="false">Gov_Map!$H508&amp;""</f>
        <v>—</v>
      </c>
      <c r="B1263" s="71" t="s">
        <v>8132</v>
      </c>
      <c r="C1263" s="58" t="n">
        <v>508</v>
      </c>
      <c r="D1263" s="58" t="s">
        <v>8133</v>
      </c>
      <c r="E1263" s="58" t="s">
        <v>8133</v>
      </c>
      <c r="F1263" s="59" t="s">
        <v>604</v>
      </c>
    </row>
    <row r="1264" customFormat="false" ht="15" hidden="false" customHeight="false" outlineLevel="0" collapsed="false">
      <c r="A1264" s="90" t="str">
        <f aca="false">Gov_Map!$H509&amp;""</f>
        <v>—</v>
      </c>
      <c r="B1264" s="71" t="s">
        <v>8132</v>
      </c>
      <c r="C1264" s="58" t="n">
        <v>509</v>
      </c>
      <c r="D1264" s="58" t="s">
        <v>8133</v>
      </c>
      <c r="E1264" s="58" t="s">
        <v>8133</v>
      </c>
      <c r="F1264" s="59" t="s">
        <v>604</v>
      </c>
    </row>
    <row r="1265" customFormat="false" ht="15" hidden="false" customHeight="false" outlineLevel="0" collapsed="false">
      <c r="A1265" s="90" t="str">
        <f aca="false">Gov_Map!$H510&amp;""</f>
        <v>—</v>
      </c>
      <c r="B1265" s="71" t="s">
        <v>8132</v>
      </c>
      <c r="C1265" s="58" t="n">
        <v>510</v>
      </c>
      <c r="D1265" s="58" t="s">
        <v>8133</v>
      </c>
      <c r="E1265" s="58" t="s">
        <v>8133</v>
      </c>
      <c r="F1265" s="59" t="s">
        <v>604</v>
      </c>
    </row>
    <row r="1266" customFormat="false" ht="15" hidden="false" customHeight="false" outlineLevel="0" collapsed="false">
      <c r="A1266" s="90" t="str">
        <f aca="false">Gov_Map!$H511&amp;""</f>
        <v>—</v>
      </c>
      <c r="B1266" s="71" t="s">
        <v>8132</v>
      </c>
      <c r="C1266" s="58" t="n">
        <v>511</v>
      </c>
      <c r="D1266" s="58" t="s">
        <v>8133</v>
      </c>
      <c r="E1266" s="58" t="s">
        <v>8133</v>
      </c>
      <c r="F1266" s="59" t="s">
        <v>604</v>
      </c>
    </row>
    <row r="1267" customFormat="false" ht="15" hidden="false" customHeight="false" outlineLevel="0" collapsed="false">
      <c r="A1267" s="90" t="str">
        <f aca="false">Gov_Map!$H512&amp;""</f>
        <v>SRC_HW_037</v>
      </c>
      <c r="B1267" s="71" t="s">
        <v>8132</v>
      </c>
      <c r="C1267" s="58" t="n">
        <v>512</v>
      </c>
      <c r="D1267" s="58" t="s">
        <v>8133</v>
      </c>
      <c r="E1267" s="58" t="s">
        <v>8133</v>
      </c>
      <c r="F1267" s="59" t="s">
        <v>604</v>
      </c>
    </row>
    <row r="1268" customFormat="false" ht="15" hidden="false" customHeight="false" outlineLevel="0" collapsed="false">
      <c r="A1268" s="90" t="str">
        <f aca="false">Gov_Map!$H513&amp;""</f>
        <v>—</v>
      </c>
      <c r="B1268" s="71" t="s">
        <v>8132</v>
      </c>
      <c r="C1268" s="58" t="n">
        <v>513</v>
      </c>
      <c r="D1268" s="58" t="s">
        <v>8133</v>
      </c>
      <c r="E1268" s="58" t="s">
        <v>8133</v>
      </c>
      <c r="F1268" s="59" t="s">
        <v>604</v>
      </c>
    </row>
    <row r="1269" customFormat="false" ht="15" hidden="false" customHeight="false" outlineLevel="0" collapsed="false">
      <c r="A1269" s="90" t="str">
        <f aca="false">Gov_Map!$H514&amp;""</f>
        <v>—</v>
      </c>
      <c r="B1269" s="71" t="s">
        <v>8132</v>
      </c>
      <c r="C1269" s="58" t="n">
        <v>514</v>
      </c>
      <c r="D1269" s="58" t="s">
        <v>8133</v>
      </c>
      <c r="E1269" s="58" t="s">
        <v>8133</v>
      </c>
      <c r="F1269" s="59" t="s">
        <v>604</v>
      </c>
    </row>
    <row r="1270" customFormat="false" ht="15" hidden="false" customHeight="false" outlineLevel="0" collapsed="false">
      <c r="A1270" s="90" t="str">
        <f aca="false">Gov_Map!$H515&amp;""</f>
        <v>SRC_MOD_046</v>
      </c>
      <c r="B1270" s="71" t="s">
        <v>8132</v>
      </c>
      <c r="C1270" s="58" t="n">
        <v>515</v>
      </c>
      <c r="D1270" s="58" t="s">
        <v>8133</v>
      </c>
      <c r="E1270" s="58" t="s">
        <v>8133</v>
      </c>
      <c r="F1270" s="59" t="s">
        <v>604</v>
      </c>
    </row>
    <row r="1271" customFormat="false" ht="15" hidden="false" customHeight="false" outlineLevel="0" collapsed="false">
      <c r="A1271" s="90" t="str">
        <f aca="false">Gov_Map!$H516&amp;""</f>
        <v>—</v>
      </c>
      <c r="B1271" s="71" t="s">
        <v>8132</v>
      </c>
      <c r="C1271" s="58" t="n">
        <v>516</v>
      </c>
      <c r="D1271" s="58" t="s">
        <v>8133</v>
      </c>
      <c r="E1271" s="58" t="s">
        <v>8133</v>
      </c>
      <c r="F1271" s="59" t="s">
        <v>604</v>
      </c>
    </row>
    <row r="1272" customFormat="false" ht="15" hidden="false" customHeight="false" outlineLevel="0" collapsed="false">
      <c r="A1272" s="90" t="str">
        <f aca="false">Gov_Map!$H517&amp;""</f>
        <v>—</v>
      </c>
      <c r="B1272" s="71" t="s">
        <v>8132</v>
      </c>
      <c r="C1272" s="58" t="n">
        <v>517</v>
      </c>
      <c r="D1272" s="58" t="s">
        <v>8133</v>
      </c>
      <c r="E1272" s="58" t="s">
        <v>8133</v>
      </c>
      <c r="F1272" s="59" t="s">
        <v>604</v>
      </c>
    </row>
    <row r="1273" customFormat="false" ht="15" hidden="false" customHeight="false" outlineLevel="0" collapsed="false">
      <c r="A1273" s="90" t="str">
        <f aca="false">Gov_Map!$H518&amp;""</f>
        <v>—</v>
      </c>
      <c r="B1273" s="71" t="s">
        <v>8132</v>
      </c>
      <c r="C1273" s="58" t="n">
        <v>518</v>
      </c>
      <c r="D1273" s="58" t="s">
        <v>8133</v>
      </c>
      <c r="E1273" s="58" t="s">
        <v>8133</v>
      </c>
      <c r="F1273" s="59" t="s">
        <v>604</v>
      </c>
    </row>
    <row r="1274" customFormat="false" ht="15" hidden="false" customHeight="false" outlineLevel="0" collapsed="false">
      <c r="A1274" s="90" t="str">
        <f aca="false">Gov_Map!$H519&amp;""</f>
        <v>—</v>
      </c>
      <c r="B1274" s="71" t="s">
        <v>8132</v>
      </c>
      <c r="C1274" s="58" t="n">
        <v>519</v>
      </c>
      <c r="D1274" s="58" t="s">
        <v>8133</v>
      </c>
      <c r="E1274" s="58" t="s">
        <v>8133</v>
      </c>
      <c r="F1274" s="59" t="s">
        <v>604</v>
      </c>
    </row>
    <row r="1275" customFormat="false" ht="15" hidden="false" customHeight="false" outlineLevel="0" collapsed="false">
      <c r="A1275" s="90" t="str">
        <f aca="false">Gov_Map!$H520&amp;""</f>
        <v>—</v>
      </c>
      <c r="B1275" s="71" t="s">
        <v>8132</v>
      </c>
      <c r="C1275" s="58" t="n">
        <v>520</v>
      </c>
      <c r="D1275" s="58" t="s">
        <v>8133</v>
      </c>
      <c r="E1275" s="58" t="s">
        <v>8133</v>
      </c>
      <c r="F1275" s="59" t="s">
        <v>604</v>
      </c>
    </row>
    <row r="1276" customFormat="false" ht="15" hidden="false" customHeight="false" outlineLevel="0" collapsed="false">
      <c r="A1276" s="90" t="str">
        <f aca="false">Gov_Map!$H521&amp;""</f>
        <v>—</v>
      </c>
      <c r="B1276" s="71" t="s">
        <v>8132</v>
      </c>
      <c r="C1276" s="58" t="n">
        <v>521</v>
      </c>
      <c r="D1276" s="58" t="s">
        <v>8133</v>
      </c>
      <c r="E1276" s="58" t="s">
        <v>8133</v>
      </c>
      <c r="F1276" s="59" t="s">
        <v>604</v>
      </c>
    </row>
    <row r="1277" customFormat="false" ht="15" hidden="false" customHeight="false" outlineLevel="0" collapsed="false">
      <c r="A1277" s="90" t="str">
        <f aca="false">Gov_Map!$H522&amp;""</f>
        <v>—</v>
      </c>
      <c r="B1277" s="71" t="s">
        <v>8132</v>
      </c>
      <c r="C1277" s="58" t="n">
        <v>522</v>
      </c>
      <c r="D1277" s="58" t="s">
        <v>8133</v>
      </c>
      <c r="E1277" s="58" t="s">
        <v>8133</v>
      </c>
      <c r="F1277" s="59" t="s">
        <v>604</v>
      </c>
    </row>
    <row r="1278" customFormat="false" ht="15" hidden="false" customHeight="false" outlineLevel="0" collapsed="false">
      <c r="A1278" s="90" t="str">
        <f aca="false">Gov_Map!$H523&amp;""</f>
        <v>SRC_PERF_036</v>
      </c>
      <c r="B1278" s="71" t="s">
        <v>8132</v>
      </c>
      <c r="C1278" s="58" t="n">
        <v>523</v>
      </c>
      <c r="D1278" s="58" t="s">
        <v>8133</v>
      </c>
      <c r="E1278" s="58" t="s">
        <v>8133</v>
      </c>
      <c r="F1278" s="59" t="s">
        <v>604</v>
      </c>
    </row>
    <row r="1279" customFormat="false" ht="15" hidden="false" customHeight="false" outlineLevel="0" collapsed="false">
      <c r="A1279" s="90" t="str">
        <f aca="false">Gov_Map!$H524&amp;""</f>
        <v>SRC_PERF_037</v>
      </c>
      <c r="B1279" s="71" t="s">
        <v>8132</v>
      </c>
      <c r="C1279" s="58" t="n">
        <v>524</v>
      </c>
      <c r="D1279" s="58" t="s">
        <v>8133</v>
      </c>
      <c r="E1279" s="58" t="s">
        <v>8133</v>
      </c>
      <c r="F1279" s="59" t="s">
        <v>604</v>
      </c>
    </row>
    <row r="1280" customFormat="false" ht="15" hidden="false" customHeight="false" outlineLevel="0" collapsed="false">
      <c r="A1280" s="90" t="str">
        <f aca="false">Gov_Map!$H525&amp;""</f>
        <v>—</v>
      </c>
      <c r="B1280" s="71" t="s">
        <v>8132</v>
      </c>
      <c r="C1280" s="58" t="n">
        <v>525</v>
      </c>
      <c r="D1280" s="58" t="s">
        <v>8133</v>
      </c>
      <c r="E1280" s="58" t="s">
        <v>8133</v>
      </c>
      <c r="F1280" s="59" t="s">
        <v>604</v>
      </c>
    </row>
    <row r="1281" customFormat="false" ht="15" hidden="false" customHeight="false" outlineLevel="0" collapsed="false">
      <c r="A1281" s="90" t="str">
        <f aca="false">Gov_Map!$H526&amp;""</f>
        <v>—</v>
      </c>
      <c r="B1281" s="71" t="s">
        <v>8132</v>
      </c>
      <c r="C1281" s="58" t="n">
        <v>526</v>
      </c>
      <c r="D1281" s="58" t="s">
        <v>8133</v>
      </c>
      <c r="E1281" s="58" t="s">
        <v>8133</v>
      </c>
      <c r="F1281" s="59" t="s">
        <v>604</v>
      </c>
    </row>
    <row r="1282" customFormat="false" ht="15" hidden="false" customHeight="false" outlineLevel="0" collapsed="false">
      <c r="A1282" s="90" t="str">
        <f aca="false">Gov_Map!$H527&amp;""</f>
        <v>—</v>
      </c>
      <c r="B1282" s="71" t="s">
        <v>8132</v>
      </c>
      <c r="C1282" s="58" t="n">
        <v>527</v>
      </c>
      <c r="D1282" s="58" t="s">
        <v>8133</v>
      </c>
      <c r="E1282" s="58" t="s">
        <v>8133</v>
      </c>
      <c r="F1282" s="59" t="s">
        <v>604</v>
      </c>
    </row>
    <row r="1283" customFormat="false" ht="15" hidden="false" customHeight="false" outlineLevel="0" collapsed="false">
      <c r="A1283" s="90" t="str">
        <f aca="false">Gov_Map!$H528&amp;""</f>
        <v>SRC_MOD_046</v>
      </c>
      <c r="B1283" s="71" t="s">
        <v>8132</v>
      </c>
      <c r="C1283" s="58" t="n">
        <v>528</v>
      </c>
      <c r="D1283" s="58" t="s">
        <v>8133</v>
      </c>
      <c r="E1283" s="58" t="s">
        <v>8133</v>
      </c>
      <c r="F1283" s="59" t="s">
        <v>604</v>
      </c>
    </row>
    <row r="1284" customFormat="false" ht="15" hidden="false" customHeight="false" outlineLevel="0" collapsed="false">
      <c r="A1284" s="90" t="str">
        <f aca="false">Gov_Map!$H529&amp;""</f>
        <v>—</v>
      </c>
      <c r="B1284" s="71" t="s">
        <v>8132</v>
      </c>
      <c r="C1284" s="58" t="n">
        <v>529</v>
      </c>
      <c r="D1284" s="58" t="s">
        <v>8133</v>
      </c>
      <c r="E1284" s="58" t="s">
        <v>8133</v>
      </c>
      <c r="F1284" s="59" t="s">
        <v>604</v>
      </c>
    </row>
    <row r="1285" customFormat="false" ht="15" hidden="false" customHeight="false" outlineLevel="0" collapsed="false">
      <c r="A1285" s="90" t="str">
        <f aca="false">Gov_Map!$H530&amp;""</f>
        <v>SRC_DEM_001</v>
      </c>
      <c r="B1285" s="71" t="s">
        <v>8132</v>
      </c>
      <c r="C1285" s="58" t="n">
        <v>530</v>
      </c>
      <c r="D1285" s="58" t="s">
        <v>8133</v>
      </c>
      <c r="E1285" s="58" t="s">
        <v>8133</v>
      </c>
      <c r="F1285" s="59" t="s">
        <v>604</v>
      </c>
    </row>
    <row r="1286" customFormat="false" ht="15" hidden="false" customHeight="false" outlineLevel="0" collapsed="false">
      <c r="A1286" s="90" t="str">
        <f aca="false">Gov_Map!$H531&amp;""</f>
        <v>—</v>
      </c>
      <c r="B1286" s="71" t="s">
        <v>8132</v>
      </c>
      <c r="C1286" s="58" t="n">
        <v>531</v>
      </c>
      <c r="D1286" s="58" t="s">
        <v>8133</v>
      </c>
      <c r="E1286" s="58" t="s">
        <v>8133</v>
      </c>
      <c r="F1286" s="59" t="s">
        <v>604</v>
      </c>
    </row>
    <row r="1287" customFormat="false" ht="15" hidden="false" customHeight="false" outlineLevel="0" collapsed="false">
      <c r="A1287" s="90" t="str">
        <f aca="false">Gov_Map!$H532&amp;""</f>
        <v>—</v>
      </c>
      <c r="B1287" s="71" t="s">
        <v>8132</v>
      </c>
      <c r="C1287" s="58" t="n">
        <v>532</v>
      </c>
      <c r="D1287" s="58" t="s">
        <v>8133</v>
      </c>
      <c r="E1287" s="58" t="s">
        <v>8133</v>
      </c>
      <c r="F1287" s="59" t="s">
        <v>604</v>
      </c>
    </row>
    <row r="1288" customFormat="false" ht="15" hidden="false" customHeight="false" outlineLevel="0" collapsed="false">
      <c r="A1288" s="90" t="str">
        <f aca="false">Gov_Map!$H533&amp;""</f>
        <v>—</v>
      </c>
      <c r="B1288" s="71" t="s">
        <v>8132</v>
      </c>
      <c r="C1288" s="58" t="n">
        <v>533</v>
      </c>
      <c r="D1288" s="58" t="s">
        <v>8133</v>
      </c>
      <c r="E1288" s="58" t="s">
        <v>8133</v>
      </c>
      <c r="F1288" s="59" t="s">
        <v>604</v>
      </c>
    </row>
    <row r="1289" customFormat="false" ht="15" hidden="false" customHeight="false" outlineLevel="0" collapsed="false">
      <c r="A1289" s="90" t="str">
        <f aca="false">Gov_Map!$H534&amp;""</f>
        <v>—</v>
      </c>
      <c r="B1289" s="71" t="s">
        <v>8132</v>
      </c>
      <c r="C1289" s="58" t="n">
        <v>534</v>
      </c>
      <c r="D1289" s="58" t="s">
        <v>8133</v>
      </c>
      <c r="E1289" s="58" t="s">
        <v>8133</v>
      </c>
      <c r="F1289" s="59" t="s">
        <v>604</v>
      </c>
    </row>
    <row r="1290" customFormat="false" ht="15" hidden="false" customHeight="false" outlineLevel="0" collapsed="false">
      <c r="A1290" s="90" t="str">
        <f aca="false">Gov_Map!$H535&amp;""</f>
        <v>—</v>
      </c>
      <c r="B1290" s="71" t="s">
        <v>8132</v>
      </c>
      <c r="C1290" s="58" t="n">
        <v>535</v>
      </c>
      <c r="D1290" s="58" t="s">
        <v>8133</v>
      </c>
      <c r="E1290" s="58" t="s">
        <v>8133</v>
      </c>
      <c r="F1290" s="59" t="s">
        <v>604</v>
      </c>
    </row>
    <row r="1291" customFormat="false" ht="15" hidden="false" customHeight="false" outlineLevel="0" collapsed="false">
      <c r="A1291" s="90" t="str">
        <f aca="false">Gov_Map!$H536&amp;""</f>
        <v>SRC_MOD_031</v>
      </c>
      <c r="B1291" s="71" t="s">
        <v>8132</v>
      </c>
      <c r="C1291" s="58" t="n">
        <v>536</v>
      </c>
      <c r="D1291" s="58" t="s">
        <v>8133</v>
      </c>
      <c r="E1291" s="58" t="s">
        <v>8133</v>
      </c>
      <c r="F1291" s="59" t="s">
        <v>604</v>
      </c>
    </row>
    <row r="1292" customFormat="false" ht="15" hidden="false" customHeight="false" outlineLevel="0" collapsed="false">
      <c r="A1292" s="90" t="str">
        <f aca="false">Gov_Map!$H537&amp;""</f>
        <v>—</v>
      </c>
      <c r="B1292" s="71" t="s">
        <v>8132</v>
      </c>
      <c r="C1292" s="58" t="n">
        <v>537</v>
      </c>
      <c r="D1292" s="58" t="s">
        <v>8133</v>
      </c>
      <c r="E1292" s="58" t="s">
        <v>8133</v>
      </c>
      <c r="F1292" s="59" t="s">
        <v>604</v>
      </c>
    </row>
    <row r="1293" customFormat="false" ht="15" hidden="false" customHeight="false" outlineLevel="0" collapsed="false">
      <c r="A1293" s="90" t="str">
        <f aca="false">Gov_Map!$H538&amp;""</f>
        <v>—</v>
      </c>
      <c r="B1293" s="71" t="s">
        <v>8132</v>
      </c>
      <c r="C1293" s="58" t="n">
        <v>538</v>
      </c>
      <c r="D1293" s="58" t="s">
        <v>8133</v>
      </c>
      <c r="E1293" s="58" t="s">
        <v>8133</v>
      </c>
      <c r="F1293" s="59" t="s">
        <v>604</v>
      </c>
    </row>
    <row r="1294" customFormat="false" ht="15" hidden="false" customHeight="false" outlineLevel="0" collapsed="false">
      <c r="A1294" s="90" t="str">
        <f aca="false">Gov_Map!$H539&amp;""</f>
        <v>—</v>
      </c>
      <c r="B1294" s="71" t="s">
        <v>8132</v>
      </c>
      <c r="C1294" s="58" t="n">
        <v>539</v>
      </c>
      <c r="D1294" s="58" t="s">
        <v>8133</v>
      </c>
      <c r="E1294" s="58" t="s">
        <v>8133</v>
      </c>
      <c r="F1294" s="59" t="s">
        <v>604</v>
      </c>
    </row>
    <row r="1295" customFormat="false" ht="15" hidden="false" customHeight="false" outlineLevel="0" collapsed="false">
      <c r="A1295" s="90" t="str">
        <f aca="false">Gov_Map!$H540&amp;""</f>
        <v>—</v>
      </c>
      <c r="B1295" s="71" t="s">
        <v>8132</v>
      </c>
      <c r="C1295" s="58" t="n">
        <v>540</v>
      </c>
      <c r="D1295" s="58" t="s">
        <v>8133</v>
      </c>
      <c r="E1295" s="58" t="s">
        <v>8133</v>
      </c>
      <c r="F1295" s="59" t="s">
        <v>604</v>
      </c>
    </row>
    <row r="1296" customFormat="false" ht="15" hidden="false" customHeight="false" outlineLevel="0" collapsed="false">
      <c r="A1296" s="90" t="str">
        <f aca="false">Gov_Map!$H541&amp;""</f>
        <v>—</v>
      </c>
      <c r="B1296" s="71" t="s">
        <v>8132</v>
      </c>
      <c r="C1296" s="58" t="n">
        <v>541</v>
      </c>
      <c r="D1296" s="58" t="s">
        <v>8133</v>
      </c>
      <c r="E1296" s="58" t="s">
        <v>8133</v>
      </c>
      <c r="F1296" s="59" t="s">
        <v>604</v>
      </c>
    </row>
    <row r="1297" customFormat="false" ht="15" hidden="false" customHeight="false" outlineLevel="0" collapsed="false">
      <c r="A1297" s="90" t="str">
        <f aca="false">Gov_Map!$H542&amp;""</f>
        <v>—</v>
      </c>
      <c r="B1297" s="71" t="s">
        <v>8132</v>
      </c>
      <c r="C1297" s="58" t="n">
        <v>542</v>
      </c>
      <c r="D1297" s="58" t="s">
        <v>8133</v>
      </c>
      <c r="E1297" s="58" t="s">
        <v>8133</v>
      </c>
      <c r="F1297" s="59" t="s">
        <v>604</v>
      </c>
    </row>
    <row r="1298" customFormat="false" ht="15" hidden="false" customHeight="false" outlineLevel="0" collapsed="false">
      <c r="A1298" s="90" t="str">
        <f aca="false">Gov_Map!$H543&amp;""</f>
        <v>—</v>
      </c>
      <c r="B1298" s="71" t="s">
        <v>8132</v>
      </c>
      <c r="C1298" s="58" t="n">
        <v>543</v>
      </c>
      <c r="D1298" s="58" t="s">
        <v>8133</v>
      </c>
      <c r="E1298" s="58" t="s">
        <v>8133</v>
      </c>
      <c r="F1298" s="59" t="s">
        <v>604</v>
      </c>
    </row>
    <row r="1299" customFormat="false" ht="15" hidden="false" customHeight="false" outlineLevel="0" collapsed="false">
      <c r="A1299" s="90" t="str">
        <f aca="false">Gov_Map!$H544&amp;""</f>
        <v>—</v>
      </c>
      <c r="B1299" s="71" t="s">
        <v>8132</v>
      </c>
      <c r="C1299" s="58" t="n">
        <v>544</v>
      </c>
      <c r="D1299" s="58" t="s">
        <v>8133</v>
      </c>
      <c r="E1299" s="58" t="s">
        <v>8133</v>
      </c>
      <c r="F1299" s="59" t="s">
        <v>604</v>
      </c>
    </row>
    <row r="1300" customFormat="false" ht="15" hidden="false" customHeight="false" outlineLevel="0" collapsed="false">
      <c r="A1300" s="90" t="str">
        <f aca="false">Gov_Map!$H545&amp;""</f>
        <v>—</v>
      </c>
      <c r="B1300" s="71" t="s">
        <v>8132</v>
      </c>
      <c r="C1300" s="58" t="n">
        <v>545</v>
      </c>
      <c r="D1300" s="58" t="s">
        <v>8133</v>
      </c>
      <c r="E1300" s="58" t="s">
        <v>8133</v>
      </c>
      <c r="F1300" s="59" t="s">
        <v>604</v>
      </c>
    </row>
    <row r="1301" customFormat="false" ht="15" hidden="false" customHeight="false" outlineLevel="0" collapsed="false">
      <c r="A1301" s="90" t="str">
        <f aca="false">Gov_Map!$H546&amp;""</f>
        <v>—</v>
      </c>
      <c r="B1301" s="71" t="s">
        <v>8132</v>
      </c>
      <c r="C1301" s="58" t="n">
        <v>546</v>
      </c>
      <c r="D1301" s="58" t="s">
        <v>8133</v>
      </c>
      <c r="E1301" s="58" t="s">
        <v>8133</v>
      </c>
      <c r="F1301" s="59" t="s">
        <v>604</v>
      </c>
    </row>
    <row r="1302" customFormat="false" ht="15" hidden="false" customHeight="false" outlineLevel="0" collapsed="false">
      <c r="A1302" s="90" t="str">
        <f aca="false">Gov_Map!$H547&amp;""</f>
        <v>—</v>
      </c>
      <c r="B1302" s="71" t="s">
        <v>8132</v>
      </c>
      <c r="C1302" s="58" t="n">
        <v>547</v>
      </c>
      <c r="D1302" s="58" t="s">
        <v>8133</v>
      </c>
      <c r="E1302" s="58" t="s">
        <v>8133</v>
      </c>
      <c r="F1302" s="59" t="s">
        <v>604</v>
      </c>
    </row>
    <row r="1303" customFormat="false" ht="15" hidden="false" customHeight="false" outlineLevel="0" collapsed="false">
      <c r="A1303" s="90" t="str">
        <f aca="false">Gov_Map!$H548&amp;""</f>
        <v>—</v>
      </c>
      <c r="B1303" s="71" t="s">
        <v>8132</v>
      </c>
      <c r="C1303" s="58" t="n">
        <v>548</v>
      </c>
      <c r="D1303" s="58" t="s">
        <v>8133</v>
      </c>
      <c r="E1303" s="58" t="s">
        <v>8133</v>
      </c>
      <c r="F1303" s="59" t="s">
        <v>604</v>
      </c>
    </row>
    <row r="1304" customFormat="false" ht="15" hidden="false" customHeight="false" outlineLevel="0" collapsed="false">
      <c r="A1304" s="90" t="str">
        <f aca="false">Gov_Map!$H549&amp;""</f>
        <v>SRC_MOD_034</v>
      </c>
      <c r="B1304" s="71" t="s">
        <v>8132</v>
      </c>
      <c r="C1304" s="58" t="n">
        <v>549</v>
      </c>
      <c r="D1304" s="58" t="s">
        <v>8133</v>
      </c>
      <c r="E1304" s="58" t="s">
        <v>8133</v>
      </c>
      <c r="F1304" s="59" t="s">
        <v>604</v>
      </c>
    </row>
    <row r="1305" customFormat="false" ht="15" hidden="false" customHeight="false" outlineLevel="0" collapsed="false">
      <c r="A1305" s="90" t="str">
        <f aca="false">Gov_Map!$H550&amp;""</f>
        <v>SRC_MOD_033</v>
      </c>
      <c r="B1305" s="71" t="s">
        <v>8132</v>
      </c>
      <c r="C1305" s="58" t="n">
        <v>550</v>
      </c>
      <c r="D1305" s="58" t="s">
        <v>8133</v>
      </c>
      <c r="E1305" s="58" t="s">
        <v>8133</v>
      </c>
      <c r="F1305" s="59" t="s">
        <v>604</v>
      </c>
    </row>
    <row r="1306" customFormat="false" ht="15" hidden="false" customHeight="false" outlineLevel="0" collapsed="false">
      <c r="A1306" s="90" t="str">
        <f aca="false">Gov_Map!$H551&amp;""</f>
        <v>SRC_MOD_033</v>
      </c>
      <c r="B1306" s="71" t="s">
        <v>8132</v>
      </c>
      <c r="C1306" s="58" t="n">
        <v>551</v>
      </c>
      <c r="D1306" s="58" t="s">
        <v>8133</v>
      </c>
      <c r="E1306" s="58" t="s">
        <v>8133</v>
      </c>
      <c r="F1306" s="59" t="s">
        <v>604</v>
      </c>
    </row>
    <row r="1307" customFormat="false" ht="15" hidden="false" customHeight="false" outlineLevel="0" collapsed="false">
      <c r="A1307" s="90" t="str">
        <f aca="false">Gov_Map!$H552&amp;""</f>
        <v>SRC_MOD_033</v>
      </c>
      <c r="B1307" s="71" t="s">
        <v>8132</v>
      </c>
      <c r="C1307" s="58" t="n">
        <v>552</v>
      </c>
      <c r="D1307" s="58" t="s">
        <v>8133</v>
      </c>
      <c r="E1307" s="58" t="s">
        <v>8133</v>
      </c>
      <c r="F1307" s="59" t="s">
        <v>604</v>
      </c>
    </row>
    <row r="1308" customFormat="false" ht="15" hidden="false" customHeight="false" outlineLevel="0" collapsed="false">
      <c r="A1308" s="90" t="str">
        <f aca="false">Gov_Map!$H553&amp;""</f>
        <v>—</v>
      </c>
      <c r="B1308" s="71" t="s">
        <v>8132</v>
      </c>
      <c r="C1308" s="58" t="n">
        <v>553</v>
      </c>
      <c r="D1308" s="58" t="s">
        <v>8133</v>
      </c>
      <c r="E1308" s="58" t="s">
        <v>8133</v>
      </c>
      <c r="F1308" s="59" t="s">
        <v>604</v>
      </c>
    </row>
    <row r="1309" customFormat="false" ht="15" hidden="false" customHeight="false" outlineLevel="0" collapsed="false">
      <c r="A1309" s="90" t="str">
        <f aca="false">Gov_Map!$H554&amp;""</f>
        <v>—</v>
      </c>
      <c r="B1309" s="71" t="s">
        <v>8132</v>
      </c>
      <c r="C1309" s="58" t="n">
        <v>554</v>
      </c>
      <c r="D1309" s="58" t="s">
        <v>8133</v>
      </c>
      <c r="E1309" s="58" t="s">
        <v>8133</v>
      </c>
      <c r="F1309" s="59" t="s">
        <v>604</v>
      </c>
    </row>
    <row r="1310" customFormat="false" ht="15" hidden="false" customHeight="false" outlineLevel="0" collapsed="false">
      <c r="A1310" s="90" t="str">
        <f aca="false">Gov_Map!$H555&amp;""</f>
        <v>—</v>
      </c>
      <c r="B1310" s="71" t="s">
        <v>8132</v>
      </c>
      <c r="C1310" s="58" t="n">
        <v>555</v>
      </c>
      <c r="D1310" s="58" t="s">
        <v>8133</v>
      </c>
      <c r="E1310" s="58" t="s">
        <v>8133</v>
      </c>
      <c r="F1310" s="59" t="s">
        <v>604</v>
      </c>
    </row>
    <row r="1311" customFormat="false" ht="15" hidden="false" customHeight="false" outlineLevel="0" collapsed="false">
      <c r="A1311" s="90" t="str">
        <f aca="false">Gov_Map!$H556&amp;""</f>
        <v>—</v>
      </c>
      <c r="B1311" s="71" t="s">
        <v>8132</v>
      </c>
      <c r="C1311" s="58" t="n">
        <v>556</v>
      </c>
      <c r="D1311" s="58" t="s">
        <v>8133</v>
      </c>
      <c r="E1311" s="58" t="s">
        <v>8133</v>
      </c>
      <c r="F1311" s="59" t="s">
        <v>604</v>
      </c>
    </row>
    <row r="1312" customFormat="false" ht="15" hidden="false" customHeight="false" outlineLevel="0" collapsed="false">
      <c r="A1312" s="90" t="str">
        <f aca="false">Gov_Map!$H557&amp;""</f>
        <v>—</v>
      </c>
      <c r="B1312" s="71" t="s">
        <v>8132</v>
      </c>
      <c r="C1312" s="58" t="n">
        <v>557</v>
      </c>
      <c r="D1312" s="58" t="s">
        <v>8133</v>
      </c>
      <c r="E1312" s="58" t="s">
        <v>8133</v>
      </c>
      <c r="F1312" s="59" t="s">
        <v>604</v>
      </c>
    </row>
    <row r="1313" customFormat="false" ht="15" hidden="false" customHeight="false" outlineLevel="0" collapsed="false">
      <c r="A1313" s="90" t="str">
        <f aca="false">Gov_Map!$H558&amp;""</f>
        <v>—</v>
      </c>
      <c r="B1313" s="71" t="s">
        <v>8132</v>
      </c>
      <c r="C1313" s="58" t="n">
        <v>558</v>
      </c>
      <c r="D1313" s="58" t="s">
        <v>8133</v>
      </c>
      <c r="E1313" s="58" t="s">
        <v>8133</v>
      </c>
      <c r="F1313" s="59" t="s">
        <v>604</v>
      </c>
    </row>
    <row r="1314" customFormat="false" ht="15" hidden="false" customHeight="false" outlineLevel="0" collapsed="false">
      <c r="A1314" s="90" t="str">
        <f aca="false">Gov_Map!$H559&amp;""</f>
        <v>—</v>
      </c>
      <c r="B1314" s="71" t="s">
        <v>8132</v>
      </c>
      <c r="C1314" s="58" t="n">
        <v>559</v>
      </c>
      <c r="D1314" s="58" t="s">
        <v>8133</v>
      </c>
      <c r="E1314" s="58" t="s">
        <v>8133</v>
      </c>
      <c r="F1314" s="59" t="s">
        <v>604</v>
      </c>
    </row>
    <row r="1315" customFormat="false" ht="15" hidden="false" customHeight="false" outlineLevel="0" collapsed="false">
      <c r="A1315" s="90" t="str">
        <f aca="false">Gov_Map!$H560&amp;""</f>
        <v>—</v>
      </c>
      <c r="B1315" s="71" t="s">
        <v>8132</v>
      </c>
      <c r="C1315" s="58" t="n">
        <v>560</v>
      </c>
      <c r="D1315" s="58" t="s">
        <v>8133</v>
      </c>
      <c r="E1315" s="58" t="s">
        <v>8133</v>
      </c>
      <c r="F1315" s="59" t="s">
        <v>604</v>
      </c>
    </row>
    <row r="1316" customFormat="false" ht="15" hidden="false" customHeight="false" outlineLevel="0" collapsed="false">
      <c r="A1316" s="90" t="str">
        <f aca="false">Gov_Map!$H561&amp;""</f>
        <v>—</v>
      </c>
      <c r="B1316" s="71" t="s">
        <v>8132</v>
      </c>
      <c r="C1316" s="58" t="n">
        <v>561</v>
      </c>
      <c r="D1316" s="58" t="s">
        <v>8133</v>
      </c>
      <c r="E1316" s="58" t="s">
        <v>8133</v>
      </c>
      <c r="F1316" s="59" t="s">
        <v>604</v>
      </c>
    </row>
    <row r="1317" customFormat="false" ht="15" hidden="false" customHeight="false" outlineLevel="0" collapsed="false">
      <c r="A1317" s="90" t="str">
        <f aca="false">Gov_Map!$H562&amp;""</f>
        <v>—</v>
      </c>
      <c r="B1317" s="71" t="s">
        <v>8132</v>
      </c>
      <c r="C1317" s="58" t="n">
        <v>562</v>
      </c>
      <c r="D1317" s="58" t="s">
        <v>8133</v>
      </c>
      <c r="E1317" s="58" t="s">
        <v>8133</v>
      </c>
      <c r="F1317" s="59" t="s">
        <v>604</v>
      </c>
    </row>
    <row r="1318" customFormat="false" ht="15" hidden="false" customHeight="false" outlineLevel="0" collapsed="false">
      <c r="A1318" s="90" t="str">
        <f aca="false">Gov_Map!$H563&amp;""</f>
        <v>—</v>
      </c>
      <c r="B1318" s="71" t="s">
        <v>8132</v>
      </c>
      <c r="C1318" s="58" t="n">
        <v>563</v>
      </c>
      <c r="D1318" s="58" t="s">
        <v>8133</v>
      </c>
      <c r="E1318" s="58" t="s">
        <v>8133</v>
      </c>
      <c r="F1318" s="59" t="s">
        <v>604</v>
      </c>
    </row>
    <row r="1319" customFormat="false" ht="15" hidden="false" customHeight="false" outlineLevel="0" collapsed="false">
      <c r="A1319" s="90" t="str">
        <f aca="false">Gov_Map!$H564&amp;""</f>
        <v>—</v>
      </c>
      <c r="B1319" s="71" t="s">
        <v>8132</v>
      </c>
      <c r="C1319" s="58" t="n">
        <v>564</v>
      </c>
      <c r="D1319" s="58" t="s">
        <v>8133</v>
      </c>
      <c r="E1319" s="58" t="s">
        <v>8133</v>
      </c>
      <c r="F1319" s="59" t="s">
        <v>604</v>
      </c>
    </row>
    <row r="1320" customFormat="false" ht="15" hidden="false" customHeight="false" outlineLevel="0" collapsed="false">
      <c r="A1320" s="90" t="str">
        <f aca="false">Gov_Map!$H565&amp;""</f>
        <v>—</v>
      </c>
      <c r="B1320" s="71" t="s">
        <v>8132</v>
      </c>
      <c r="C1320" s="58" t="n">
        <v>565</v>
      </c>
      <c r="D1320" s="58" t="s">
        <v>8133</v>
      </c>
      <c r="E1320" s="58" t="s">
        <v>8133</v>
      </c>
      <c r="F1320" s="59" t="s">
        <v>604</v>
      </c>
    </row>
    <row r="1321" customFormat="false" ht="15" hidden="false" customHeight="false" outlineLevel="0" collapsed="false">
      <c r="A1321" s="90" t="str">
        <f aca="false">Gov_Map!$H566&amp;""</f>
        <v>—</v>
      </c>
      <c r="B1321" s="71" t="s">
        <v>8132</v>
      </c>
      <c r="C1321" s="58" t="n">
        <v>566</v>
      </c>
      <c r="D1321" s="58" t="s">
        <v>8133</v>
      </c>
      <c r="E1321" s="58" t="s">
        <v>8133</v>
      </c>
      <c r="F1321" s="59" t="s">
        <v>604</v>
      </c>
    </row>
    <row r="1322" customFormat="false" ht="15" hidden="false" customHeight="false" outlineLevel="0" collapsed="false">
      <c r="A1322" s="90" t="str">
        <f aca="false">Gov_Map!$H567&amp;""</f>
        <v>—</v>
      </c>
      <c r="B1322" s="71" t="s">
        <v>8132</v>
      </c>
      <c r="C1322" s="58" t="n">
        <v>567</v>
      </c>
      <c r="D1322" s="58" t="s">
        <v>8133</v>
      </c>
      <c r="E1322" s="58" t="s">
        <v>8133</v>
      </c>
      <c r="F1322" s="59" t="s">
        <v>604</v>
      </c>
    </row>
    <row r="1323" customFormat="false" ht="15" hidden="false" customHeight="false" outlineLevel="0" collapsed="false">
      <c r="A1323" s="90" t="str">
        <f aca="false">Gov_Map!$H568&amp;""</f>
        <v>—</v>
      </c>
      <c r="B1323" s="71" t="s">
        <v>8132</v>
      </c>
      <c r="C1323" s="58" t="n">
        <v>568</v>
      </c>
      <c r="D1323" s="58" t="s">
        <v>8133</v>
      </c>
      <c r="E1323" s="58" t="s">
        <v>8133</v>
      </c>
      <c r="F1323" s="59" t="s">
        <v>604</v>
      </c>
    </row>
    <row r="1324" customFormat="false" ht="15" hidden="false" customHeight="false" outlineLevel="0" collapsed="false">
      <c r="A1324" s="90" t="str">
        <f aca="false">Gov_Map!$H569&amp;""</f>
        <v>—</v>
      </c>
      <c r="B1324" s="71" t="s">
        <v>8132</v>
      </c>
      <c r="C1324" s="58" t="n">
        <v>569</v>
      </c>
      <c r="D1324" s="58" t="s">
        <v>8133</v>
      </c>
      <c r="E1324" s="58" t="s">
        <v>8133</v>
      </c>
      <c r="F1324" s="59" t="s">
        <v>604</v>
      </c>
    </row>
    <row r="1325" customFormat="false" ht="15" hidden="false" customHeight="false" outlineLevel="0" collapsed="false">
      <c r="A1325" s="90" t="str">
        <f aca="false">Gov_Map!$H570&amp;""</f>
        <v>—</v>
      </c>
      <c r="B1325" s="71" t="s">
        <v>8132</v>
      </c>
      <c r="C1325" s="58" t="n">
        <v>570</v>
      </c>
      <c r="D1325" s="58" t="s">
        <v>8133</v>
      </c>
      <c r="E1325" s="58" t="s">
        <v>8133</v>
      </c>
      <c r="F1325" s="59" t="s">
        <v>604</v>
      </c>
    </row>
    <row r="1326" customFormat="false" ht="15" hidden="false" customHeight="false" outlineLevel="0" collapsed="false">
      <c r="A1326" s="90" t="str">
        <f aca="false">Gov_Map!$H571&amp;""</f>
        <v>—</v>
      </c>
      <c r="B1326" s="71" t="s">
        <v>8132</v>
      </c>
      <c r="C1326" s="58" t="n">
        <v>571</v>
      </c>
      <c r="D1326" s="58" t="s">
        <v>8133</v>
      </c>
      <c r="E1326" s="58" t="s">
        <v>8133</v>
      </c>
      <c r="F1326" s="59" t="s">
        <v>604</v>
      </c>
    </row>
    <row r="1327" customFormat="false" ht="15" hidden="false" customHeight="false" outlineLevel="0" collapsed="false">
      <c r="A1327" s="90" t="str">
        <f aca="false">Gov_Map!$H572&amp;""</f>
        <v>—</v>
      </c>
      <c r="B1327" s="71" t="s">
        <v>8132</v>
      </c>
      <c r="C1327" s="58" t="n">
        <v>572</v>
      </c>
      <c r="D1327" s="58" t="s">
        <v>8133</v>
      </c>
      <c r="E1327" s="58" t="s">
        <v>8133</v>
      </c>
      <c r="F1327" s="59" t="s">
        <v>604</v>
      </c>
    </row>
    <row r="1328" customFormat="false" ht="15" hidden="false" customHeight="false" outlineLevel="0" collapsed="false">
      <c r="A1328" s="90" t="str">
        <f aca="false">Gov_Map!$H573&amp;""</f>
        <v>—</v>
      </c>
      <c r="B1328" s="71" t="s">
        <v>8132</v>
      </c>
      <c r="C1328" s="58" t="n">
        <v>573</v>
      </c>
      <c r="D1328" s="58" t="s">
        <v>8133</v>
      </c>
      <c r="E1328" s="58" t="s">
        <v>8133</v>
      </c>
      <c r="F1328" s="59" t="s">
        <v>604</v>
      </c>
    </row>
    <row r="1329" customFormat="false" ht="15" hidden="false" customHeight="false" outlineLevel="0" collapsed="false">
      <c r="A1329" s="90" t="str">
        <f aca="false">Gov_Map!$H574&amp;""</f>
        <v>—</v>
      </c>
      <c r="B1329" s="71" t="s">
        <v>8132</v>
      </c>
      <c r="C1329" s="58" t="n">
        <v>574</v>
      </c>
      <c r="D1329" s="58" t="s">
        <v>8133</v>
      </c>
      <c r="E1329" s="58" t="s">
        <v>8133</v>
      </c>
      <c r="F1329" s="59" t="s">
        <v>604</v>
      </c>
    </row>
    <row r="1330" customFormat="false" ht="15" hidden="false" customHeight="false" outlineLevel="0" collapsed="false">
      <c r="A1330" s="90" t="str">
        <f aca="false">Gov_Map!$H575&amp;""</f>
        <v>SRC_MOD_028</v>
      </c>
      <c r="B1330" s="71" t="s">
        <v>8132</v>
      </c>
      <c r="C1330" s="58" t="n">
        <v>575</v>
      </c>
      <c r="D1330" s="58" t="s">
        <v>8133</v>
      </c>
      <c r="E1330" s="58" t="s">
        <v>8133</v>
      </c>
      <c r="F1330" s="59" t="s">
        <v>604</v>
      </c>
    </row>
    <row r="1331" customFormat="false" ht="15" hidden="false" customHeight="false" outlineLevel="0" collapsed="false">
      <c r="A1331" s="90" t="str">
        <f aca="false">Gov_Map!$H576&amp;""</f>
        <v>—</v>
      </c>
      <c r="B1331" s="71" t="s">
        <v>8132</v>
      </c>
      <c r="C1331" s="58" t="n">
        <v>576</v>
      </c>
      <c r="D1331" s="58" t="s">
        <v>8133</v>
      </c>
      <c r="E1331" s="58" t="s">
        <v>8133</v>
      </c>
      <c r="F1331" s="59" t="s">
        <v>604</v>
      </c>
    </row>
    <row r="1332" customFormat="false" ht="15" hidden="false" customHeight="false" outlineLevel="0" collapsed="false">
      <c r="A1332" s="90" t="str">
        <f aca="false">Gov_Map!$H577&amp;""</f>
        <v>—</v>
      </c>
      <c r="B1332" s="71" t="s">
        <v>8132</v>
      </c>
      <c r="C1332" s="58" t="n">
        <v>577</v>
      </c>
      <c r="D1332" s="58" t="s">
        <v>8133</v>
      </c>
      <c r="E1332" s="58" t="s">
        <v>8133</v>
      </c>
      <c r="F1332" s="59" t="s">
        <v>604</v>
      </c>
    </row>
    <row r="1333" customFormat="false" ht="15" hidden="false" customHeight="false" outlineLevel="0" collapsed="false">
      <c r="A1333" s="90" t="str">
        <f aca="false">Gov_Map!$H578&amp;""</f>
        <v>SRC_HW_055</v>
      </c>
      <c r="B1333" s="71" t="s">
        <v>8132</v>
      </c>
      <c r="C1333" s="58" t="n">
        <v>578</v>
      </c>
      <c r="D1333" s="58" t="s">
        <v>8133</v>
      </c>
      <c r="E1333" s="58" t="s">
        <v>8133</v>
      </c>
      <c r="F1333" s="59" t="s">
        <v>604</v>
      </c>
    </row>
    <row r="1334" customFormat="false" ht="15" hidden="false" customHeight="false" outlineLevel="0" collapsed="false">
      <c r="A1334" s="90" t="str">
        <f aca="false">Gov_Map!$H579&amp;""</f>
        <v>—</v>
      </c>
      <c r="B1334" s="71" t="s">
        <v>8132</v>
      </c>
      <c r="C1334" s="58" t="n">
        <v>579</v>
      </c>
      <c r="D1334" s="58" t="s">
        <v>8133</v>
      </c>
      <c r="E1334" s="58" t="s">
        <v>8133</v>
      </c>
      <c r="F1334" s="59" t="s">
        <v>604</v>
      </c>
    </row>
    <row r="1335" customFormat="false" ht="15" hidden="false" customHeight="false" outlineLevel="0" collapsed="false">
      <c r="A1335" s="90" t="str">
        <f aca="false">Gov_Map!$H580&amp;""</f>
        <v>—</v>
      </c>
      <c r="B1335" s="71" t="s">
        <v>8132</v>
      </c>
      <c r="C1335" s="58" t="n">
        <v>580</v>
      </c>
      <c r="D1335" s="58" t="s">
        <v>8133</v>
      </c>
      <c r="E1335" s="58" t="s">
        <v>8133</v>
      </c>
      <c r="F1335" s="59" t="s">
        <v>604</v>
      </c>
    </row>
    <row r="1336" customFormat="false" ht="15" hidden="false" customHeight="false" outlineLevel="0" collapsed="false">
      <c r="A1336" s="90" t="str">
        <f aca="false">Gov_Map!$H581&amp;""</f>
        <v>—</v>
      </c>
      <c r="B1336" s="71" t="s">
        <v>8132</v>
      </c>
      <c r="C1336" s="58" t="n">
        <v>581</v>
      </c>
      <c r="D1336" s="58" t="s">
        <v>8133</v>
      </c>
      <c r="E1336" s="58" t="s">
        <v>8133</v>
      </c>
      <c r="F1336" s="59" t="s">
        <v>604</v>
      </c>
    </row>
    <row r="1337" customFormat="false" ht="15" hidden="false" customHeight="false" outlineLevel="0" collapsed="false">
      <c r="A1337" s="90" t="str">
        <f aca="false">Gov_Map!$H582&amp;""</f>
        <v>—</v>
      </c>
      <c r="B1337" s="71" t="s">
        <v>8132</v>
      </c>
      <c r="C1337" s="58" t="n">
        <v>582</v>
      </c>
      <c r="D1337" s="58" t="s">
        <v>8133</v>
      </c>
      <c r="E1337" s="58" t="s">
        <v>8133</v>
      </c>
      <c r="F1337" s="59" t="s">
        <v>604</v>
      </c>
    </row>
    <row r="1338" customFormat="false" ht="15" hidden="false" customHeight="false" outlineLevel="0" collapsed="false">
      <c r="A1338" s="90" t="str">
        <f aca="false">Gov_Map!$H583&amp;""</f>
        <v>—</v>
      </c>
      <c r="B1338" s="71" t="s">
        <v>8132</v>
      </c>
      <c r="C1338" s="58" t="n">
        <v>583</v>
      </c>
      <c r="D1338" s="58" t="s">
        <v>8133</v>
      </c>
      <c r="E1338" s="58" t="s">
        <v>8133</v>
      </c>
      <c r="F1338" s="59" t="s">
        <v>604</v>
      </c>
    </row>
    <row r="1339" customFormat="false" ht="15" hidden="false" customHeight="false" outlineLevel="0" collapsed="false">
      <c r="A1339" s="90" t="str">
        <f aca="false">Gov_Map!$H584&amp;""</f>
        <v>—</v>
      </c>
      <c r="B1339" s="71" t="s">
        <v>8132</v>
      </c>
      <c r="C1339" s="58" t="n">
        <v>584</v>
      </c>
      <c r="D1339" s="58" t="s">
        <v>8133</v>
      </c>
      <c r="E1339" s="58" t="s">
        <v>8133</v>
      </c>
      <c r="F1339" s="59" t="s">
        <v>604</v>
      </c>
    </row>
    <row r="1340" customFormat="false" ht="15" hidden="false" customHeight="false" outlineLevel="0" collapsed="false">
      <c r="A1340" s="90" t="str">
        <f aca="false">Gov_Map!$H585&amp;""</f>
        <v>—</v>
      </c>
      <c r="B1340" s="71" t="s">
        <v>8132</v>
      </c>
      <c r="C1340" s="58" t="n">
        <v>585</v>
      </c>
      <c r="D1340" s="58" t="s">
        <v>8133</v>
      </c>
      <c r="E1340" s="58" t="s">
        <v>8133</v>
      </c>
      <c r="F1340" s="59" t="s">
        <v>604</v>
      </c>
    </row>
    <row r="1341" customFormat="false" ht="15" hidden="false" customHeight="false" outlineLevel="0" collapsed="false">
      <c r="A1341" s="90" t="str">
        <f aca="false">Gov_Map!$H586&amp;""</f>
        <v>—</v>
      </c>
      <c r="B1341" s="71" t="s">
        <v>8132</v>
      </c>
      <c r="C1341" s="58" t="n">
        <v>586</v>
      </c>
      <c r="D1341" s="58" t="s">
        <v>8133</v>
      </c>
      <c r="E1341" s="58" t="s">
        <v>8133</v>
      </c>
      <c r="F1341" s="59" t="s">
        <v>604</v>
      </c>
    </row>
    <row r="1342" customFormat="false" ht="15" hidden="false" customHeight="false" outlineLevel="0" collapsed="false">
      <c r="A1342" s="90" t="str">
        <f aca="false">Gov_Map!$H587&amp;""</f>
        <v>—</v>
      </c>
      <c r="B1342" s="71" t="s">
        <v>8132</v>
      </c>
      <c r="C1342" s="58" t="n">
        <v>587</v>
      </c>
      <c r="D1342" s="58" t="s">
        <v>8133</v>
      </c>
      <c r="E1342" s="58" t="s">
        <v>8133</v>
      </c>
      <c r="F1342" s="59" t="s">
        <v>604</v>
      </c>
    </row>
    <row r="1343" customFormat="false" ht="15" hidden="false" customHeight="false" outlineLevel="0" collapsed="false">
      <c r="A1343" s="90" t="str">
        <f aca="false">Gov_Map!$H588&amp;""</f>
        <v>SRC_DEM_010</v>
      </c>
      <c r="B1343" s="71" t="s">
        <v>8132</v>
      </c>
      <c r="C1343" s="58" t="n">
        <v>588</v>
      </c>
      <c r="D1343" s="58" t="s">
        <v>8133</v>
      </c>
      <c r="E1343" s="58" t="s">
        <v>8133</v>
      </c>
      <c r="F1343" s="59" t="s">
        <v>604</v>
      </c>
    </row>
    <row r="1344" customFormat="false" ht="15" hidden="false" customHeight="false" outlineLevel="0" collapsed="false">
      <c r="A1344" s="90" t="str">
        <f aca="false">Gov_Map!$H589&amp;""</f>
        <v>—</v>
      </c>
      <c r="B1344" s="71" t="s">
        <v>8132</v>
      </c>
      <c r="C1344" s="58" t="n">
        <v>589</v>
      </c>
      <c r="D1344" s="58" t="s">
        <v>8133</v>
      </c>
      <c r="E1344" s="58" t="s">
        <v>8133</v>
      </c>
      <c r="F1344" s="59" t="s">
        <v>604</v>
      </c>
    </row>
    <row r="1345" customFormat="false" ht="15" hidden="false" customHeight="false" outlineLevel="0" collapsed="false">
      <c r="A1345" s="90" t="str">
        <f aca="false">Gov_Map!$H590&amp;""</f>
        <v>SRC_DEM_012</v>
      </c>
      <c r="B1345" s="71" t="s">
        <v>8132</v>
      </c>
      <c r="C1345" s="58" t="n">
        <v>590</v>
      </c>
      <c r="D1345" s="58" t="s">
        <v>8133</v>
      </c>
      <c r="E1345" s="58" t="s">
        <v>8133</v>
      </c>
      <c r="F1345" s="59" t="s">
        <v>604</v>
      </c>
    </row>
    <row r="1346" customFormat="false" ht="15" hidden="false" customHeight="false" outlineLevel="0" collapsed="false">
      <c r="A1346" s="90" t="str">
        <f aca="false">Gov_Map!$H591&amp;""</f>
        <v>—</v>
      </c>
      <c r="B1346" s="71" t="s">
        <v>8132</v>
      </c>
      <c r="C1346" s="58" t="n">
        <v>591</v>
      </c>
      <c r="D1346" s="58" t="s">
        <v>8133</v>
      </c>
      <c r="E1346" s="58" t="s">
        <v>8133</v>
      </c>
      <c r="F1346" s="59" t="s">
        <v>604</v>
      </c>
    </row>
    <row r="1347" customFormat="false" ht="15" hidden="false" customHeight="false" outlineLevel="0" collapsed="false">
      <c r="A1347" s="90" t="str">
        <f aca="false">Gov_Map!$H592&amp;""</f>
        <v>SRC_DEM_005</v>
      </c>
      <c r="B1347" s="71" t="s">
        <v>8132</v>
      </c>
      <c r="C1347" s="58" t="n">
        <v>592</v>
      </c>
      <c r="D1347" s="58" t="s">
        <v>8133</v>
      </c>
      <c r="E1347" s="58" t="s">
        <v>8133</v>
      </c>
      <c r="F1347" s="59" t="s">
        <v>604</v>
      </c>
    </row>
    <row r="1348" customFormat="false" ht="15" hidden="false" customHeight="false" outlineLevel="0" collapsed="false">
      <c r="A1348" s="90" t="str">
        <f aca="false">Gov_Map!$H593&amp;""</f>
        <v>—</v>
      </c>
      <c r="B1348" s="71" t="s">
        <v>8132</v>
      </c>
      <c r="C1348" s="58" t="n">
        <v>593</v>
      </c>
      <c r="D1348" s="58" t="s">
        <v>8133</v>
      </c>
      <c r="E1348" s="58" t="s">
        <v>8133</v>
      </c>
      <c r="F1348" s="59" t="s">
        <v>604</v>
      </c>
    </row>
    <row r="1349" customFormat="false" ht="15" hidden="false" customHeight="false" outlineLevel="0" collapsed="false">
      <c r="A1349" s="90" t="str">
        <f aca="false">Gov_Map!$H594&amp;""</f>
        <v>—</v>
      </c>
      <c r="B1349" s="71" t="s">
        <v>8132</v>
      </c>
      <c r="C1349" s="58" t="n">
        <v>594</v>
      </c>
      <c r="D1349" s="58" t="s">
        <v>8133</v>
      </c>
      <c r="E1349" s="58" t="s">
        <v>8133</v>
      </c>
      <c r="F1349" s="59" t="s">
        <v>604</v>
      </c>
    </row>
    <row r="1350" customFormat="false" ht="15" hidden="false" customHeight="false" outlineLevel="0" collapsed="false">
      <c r="A1350" s="90" t="str">
        <f aca="false">Gov_Map!$H595&amp;""</f>
        <v>—</v>
      </c>
      <c r="B1350" s="71" t="s">
        <v>8132</v>
      </c>
      <c r="C1350" s="58" t="n">
        <v>595</v>
      </c>
      <c r="D1350" s="58" t="s">
        <v>8133</v>
      </c>
      <c r="E1350" s="58" t="s">
        <v>8133</v>
      </c>
      <c r="F1350" s="59" t="s">
        <v>604</v>
      </c>
    </row>
    <row r="1351" customFormat="false" ht="15" hidden="false" customHeight="false" outlineLevel="0" collapsed="false">
      <c r="A1351" s="90" t="str">
        <f aca="false">Gov_Map!$H596&amp;""</f>
        <v>—</v>
      </c>
      <c r="B1351" s="71" t="s">
        <v>8132</v>
      </c>
      <c r="C1351" s="58" t="n">
        <v>596</v>
      </c>
      <c r="D1351" s="58" t="s">
        <v>8133</v>
      </c>
      <c r="E1351" s="58" t="s">
        <v>8133</v>
      </c>
      <c r="F1351" s="59" t="s">
        <v>604</v>
      </c>
    </row>
    <row r="1352" customFormat="false" ht="15" hidden="false" customHeight="false" outlineLevel="0" collapsed="false">
      <c r="A1352" s="90" t="str">
        <f aca="false">Gov_Map!$H597&amp;""</f>
        <v>—</v>
      </c>
      <c r="B1352" s="71" t="s">
        <v>8132</v>
      </c>
      <c r="C1352" s="58" t="n">
        <v>597</v>
      </c>
      <c r="D1352" s="58" t="s">
        <v>8133</v>
      </c>
      <c r="E1352" s="58" t="s">
        <v>8133</v>
      </c>
      <c r="F1352" s="59" t="s">
        <v>604</v>
      </c>
    </row>
    <row r="1353" customFormat="false" ht="15" hidden="false" customHeight="false" outlineLevel="0" collapsed="false">
      <c r="A1353" s="90" t="str">
        <f aca="false">Gov_Map!$H598&amp;""</f>
        <v>—</v>
      </c>
      <c r="B1353" s="71" t="s">
        <v>8132</v>
      </c>
      <c r="C1353" s="58" t="n">
        <v>598</v>
      </c>
      <c r="D1353" s="58" t="s">
        <v>8133</v>
      </c>
      <c r="E1353" s="58" t="s">
        <v>8133</v>
      </c>
      <c r="F1353" s="59" t="s">
        <v>604</v>
      </c>
    </row>
    <row r="1354" customFormat="false" ht="15" hidden="false" customHeight="false" outlineLevel="0" collapsed="false">
      <c r="A1354" s="90" t="str">
        <f aca="false">Gov_Map!$H599&amp;""</f>
        <v>SRC_PERF_056</v>
      </c>
      <c r="B1354" s="71" t="s">
        <v>8132</v>
      </c>
      <c r="C1354" s="58" t="n">
        <v>599</v>
      </c>
      <c r="D1354" s="58" t="s">
        <v>8133</v>
      </c>
      <c r="E1354" s="58" t="s">
        <v>8133</v>
      </c>
      <c r="F1354" s="59" t="s">
        <v>604</v>
      </c>
    </row>
    <row r="1355" customFormat="false" ht="15" hidden="false" customHeight="false" outlineLevel="0" collapsed="false">
      <c r="A1355" s="90" t="str">
        <f aca="false">Gov_Map!$H600&amp;""</f>
        <v>—</v>
      </c>
      <c r="B1355" s="71" t="s">
        <v>8132</v>
      </c>
      <c r="C1355" s="58" t="n">
        <v>600</v>
      </c>
      <c r="D1355" s="58" t="s">
        <v>8133</v>
      </c>
      <c r="E1355" s="58" t="s">
        <v>8133</v>
      </c>
      <c r="F1355" s="59" t="s">
        <v>604</v>
      </c>
    </row>
    <row r="1356" customFormat="false" ht="15" hidden="false" customHeight="false" outlineLevel="0" collapsed="false">
      <c r="A1356" s="90" t="str">
        <f aca="false">Gov_Map!$H601&amp;""</f>
        <v>—</v>
      </c>
      <c r="B1356" s="71" t="s">
        <v>8132</v>
      </c>
      <c r="C1356" s="58" t="n">
        <v>601</v>
      </c>
      <c r="D1356" s="58" t="s">
        <v>8133</v>
      </c>
      <c r="E1356" s="58" t="s">
        <v>8133</v>
      </c>
      <c r="F1356" s="59" t="s">
        <v>604</v>
      </c>
    </row>
    <row r="1357" customFormat="false" ht="15" hidden="false" customHeight="false" outlineLevel="0" collapsed="false">
      <c r="A1357" s="90" t="str">
        <f aca="false">Gov_Map!$H602&amp;""</f>
        <v>—</v>
      </c>
      <c r="B1357" s="71" t="s">
        <v>8132</v>
      </c>
      <c r="C1357" s="58" t="n">
        <v>602</v>
      </c>
      <c r="D1357" s="58" t="s">
        <v>8133</v>
      </c>
      <c r="E1357" s="58" t="s">
        <v>8133</v>
      </c>
      <c r="F1357" s="59" t="s">
        <v>604</v>
      </c>
    </row>
    <row r="1358" customFormat="false" ht="15" hidden="false" customHeight="false" outlineLevel="0" collapsed="false">
      <c r="A1358" s="90" t="str">
        <f aca="false">Gov_Map!$H603&amp;""</f>
        <v>—</v>
      </c>
      <c r="B1358" s="71" t="s">
        <v>8132</v>
      </c>
      <c r="C1358" s="58" t="n">
        <v>603</v>
      </c>
      <c r="D1358" s="58" t="s">
        <v>8133</v>
      </c>
      <c r="E1358" s="58" t="s">
        <v>8133</v>
      </c>
      <c r="F1358" s="59" t="s">
        <v>604</v>
      </c>
    </row>
    <row r="1359" customFormat="false" ht="15" hidden="false" customHeight="false" outlineLevel="0" collapsed="false">
      <c r="A1359" s="90" t="str">
        <f aca="false">Gov_Map!$H604&amp;""</f>
        <v>—</v>
      </c>
      <c r="B1359" s="71" t="s">
        <v>8132</v>
      </c>
      <c r="C1359" s="58" t="n">
        <v>604</v>
      </c>
      <c r="D1359" s="58" t="s">
        <v>8133</v>
      </c>
      <c r="E1359" s="58" t="s">
        <v>8133</v>
      </c>
      <c r="F1359" s="59" t="s">
        <v>604</v>
      </c>
    </row>
    <row r="1360" customFormat="false" ht="15" hidden="false" customHeight="false" outlineLevel="0" collapsed="false">
      <c r="A1360" s="90" t="str">
        <f aca="false">Gov_Map!$H605&amp;""</f>
        <v>SRC_DC_015</v>
      </c>
      <c r="B1360" s="71" t="s">
        <v>8132</v>
      </c>
      <c r="C1360" s="58" t="n">
        <v>605</v>
      </c>
      <c r="D1360" s="58" t="s">
        <v>8133</v>
      </c>
      <c r="E1360" s="58" t="s">
        <v>8133</v>
      </c>
      <c r="F1360" s="59" t="s">
        <v>604</v>
      </c>
    </row>
    <row r="1361" customFormat="false" ht="15" hidden="false" customHeight="false" outlineLevel="0" collapsed="false">
      <c r="A1361" s="90" t="str">
        <f aca="false">Gov_Map!$H606&amp;""</f>
        <v>SRC_DC_015</v>
      </c>
      <c r="B1361" s="71" t="s">
        <v>8132</v>
      </c>
      <c r="C1361" s="58" t="n">
        <v>606</v>
      </c>
      <c r="D1361" s="58" t="s">
        <v>8133</v>
      </c>
      <c r="E1361" s="58" t="s">
        <v>8133</v>
      </c>
      <c r="F1361" s="59" t="s">
        <v>604</v>
      </c>
    </row>
    <row r="1362" customFormat="false" ht="15" hidden="false" customHeight="false" outlineLevel="0" collapsed="false">
      <c r="A1362" s="90" t="str">
        <f aca="false">Gov_Map!$H607&amp;""</f>
        <v>SRC_DC_015</v>
      </c>
      <c r="B1362" s="71" t="s">
        <v>8132</v>
      </c>
      <c r="C1362" s="58" t="n">
        <v>607</v>
      </c>
      <c r="D1362" s="58" t="s">
        <v>8133</v>
      </c>
      <c r="E1362" s="58" t="s">
        <v>8133</v>
      </c>
      <c r="F1362" s="59" t="s">
        <v>604</v>
      </c>
    </row>
    <row r="1363" customFormat="false" ht="15" hidden="false" customHeight="false" outlineLevel="0" collapsed="false">
      <c r="A1363" s="90" t="str">
        <f aca="false">Gov_Map!$H608&amp;""</f>
        <v>SRC_DC_015</v>
      </c>
      <c r="B1363" s="71" t="s">
        <v>8132</v>
      </c>
      <c r="C1363" s="58" t="n">
        <v>608</v>
      </c>
      <c r="D1363" s="58" t="s">
        <v>8133</v>
      </c>
      <c r="E1363" s="58" t="s">
        <v>8133</v>
      </c>
      <c r="F1363" s="59" t="s">
        <v>604</v>
      </c>
    </row>
    <row r="1364" customFormat="false" ht="15" hidden="false" customHeight="false" outlineLevel="0" collapsed="false">
      <c r="A1364" s="90" t="str">
        <f aca="false">Gov_Map!$H609&amp;""</f>
        <v>SRC_DC_017</v>
      </c>
      <c r="B1364" s="71" t="s">
        <v>8132</v>
      </c>
      <c r="C1364" s="58" t="n">
        <v>609</v>
      </c>
      <c r="D1364" s="58" t="s">
        <v>8133</v>
      </c>
      <c r="E1364" s="58" t="s">
        <v>8133</v>
      </c>
      <c r="F1364" s="59" t="s">
        <v>604</v>
      </c>
    </row>
    <row r="1365" customFormat="false" ht="15" hidden="false" customHeight="false" outlineLevel="0" collapsed="false">
      <c r="A1365" s="90" t="str">
        <f aca="false">Gov_Map!$H610&amp;""</f>
        <v>SRC_DC_017</v>
      </c>
      <c r="B1365" s="71" t="s">
        <v>8132</v>
      </c>
      <c r="C1365" s="58" t="n">
        <v>610</v>
      </c>
      <c r="D1365" s="58" t="s">
        <v>8133</v>
      </c>
      <c r="E1365" s="58" t="s">
        <v>8133</v>
      </c>
      <c r="F1365" s="59" t="s">
        <v>604</v>
      </c>
    </row>
    <row r="1366" customFormat="false" ht="15" hidden="false" customHeight="false" outlineLevel="0" collapsed="false">
      <c r="A1366" s="90" t="str">
        <f aca="false">Gov_Map!$H611&amp;""</f>
        <v>SRC_DC_017</v>
      </c>
      <c r="B1366" s="71" t="s">
        <v>8132</v>
      </c>
      <c r="C1366" s="58" t="n">
        <v>611</v>
      </c>
      <c r="D1366" s="58" t="s">
        <v>8133</v>
      </c>
      <c r="E1366" s="58" t="s">
        <v>8133</v>
      </c>
      <c r="F1366" s="59" t="s">
        <v>604</v>
      </c>
    </row>
    <row r="1367" customFormat="false" ht="15" hidden="false" customHeight="false" outlineLevel="0" collapsed="false">
      <c r="A1367" s="90" t="str">
        <f aca="false">Gov_Map!$H612&amp;""</f>
        <v>SRC_DEM_039</v>
      </c>
      <c r="B1367" s="71" t="s">
        <v>8132</v>
      </c>
      <c r="C1367" s="58" t="n">
        <v>612</v>
      </c>
      <c r="D1367" s="58" t="s">
        <v>8133</v>
      </c>
      <c r="E1367" s="58" t="s">
        <v>8133</v>
      </c>
      <c r="F1367" s="59" t="s">
        <v>604</v>
      </c>
    </row>
    <row r="1368" customFormat="false" ht="15" hidden="false" customHeight="false" outlineLevel="0" collapsed="false">
      <c r="A1368" s="90" t="str">
        <f aca="false">Gov_Map!$H613&amp;""</f>
        <v>—</v>
      </c>
      <c r="B1368" s="71" t="s">
        <v>8132</v>
      </c>
      <c r="C1368" s="58" t="n">
        <v>613</v>
      </c>
      <c r="D1368" s="58" t="s">
        <v>8133</v>
      </c>
      <c r="E1368" s="58" t="s">
        <v>8133</v>
      </c>
      <c r="F1368" s="59" t="s">
        <v>604</v>
      </c>
    </row>
    <row r="1369" customFormat="false" ht="15" hidden="false" customHeight="false" outlineLevel="0" collapsed="false">
      <c r="A1369" s="90" t="str">
        <f aca="false">Gov_Map!$H614&amp;""</f>
        <v>—</v>
      </c>
      <c r="B1369" s="71" t="s">
        <v>8132</v>
      </c>
      <c r="C1369" s="58" t="n">
        <v>614</v>
      </c>
      <c r="D1369" s="58" t="s">
        <v>8133</v>
      </c>
      <c r="E1369" s="58" t="s">
        <v>8133</v>
      </c>
      <c r="F1369" s="59" t="s">
        <v>604</v>
      </c>
    </row>
    <row r="1370" customFormat="false" ht="15" hidden="false" customHeight="false" outlineLevel="0" collapsed="false">
      <c r="A1370" s="90" t="str">
        <f aca="false">Gov_Map!$H615&amp;""</f>
        <v>—</v>
      </c>
      <c r="B1370" s="71" t="s">
        <v>8132</v>
      </c>
      <c r="C1370" s="58" t="n">
        <v>615</v>
      </c>
      <c r="D1370" s="58" t="s">
        <v>8133</v>
      </c>
      <c r="E1370" s="58" t="s">
        <v>8133</v>
      </c>
      <c r="F1370" s="59" t="s">
        <v>604</v>
      </c>
    </row>
    <row r="1371" customFormat="false" ht="15" hidden="false" customHeight="false" outlineLevel="0" collapsed="false">
      <c r="A1371" s="90" t="str">
        <f aca="false">Gov_Map!$H616&amp;""</f>
        <v>SRC_DEM_051</v>
      </c>
      <c r="B1371" s="71" t="s">
        <v>8132</v>
      </c>
      <c r="C1371" s="58" t="n">
        <v>616</v>
      </c>
      <c r="D1371" s="58" t="s">
        <v>8133</v>
      </c>
      <c r="E1371" s="58" t="s">
        <v>8133</v>
      </c>
      <c r="F1371" s="59" t="s">
        <v>604</v>
      </c>
    </row>
    <row r="1372" customFormat="false" ht="15" hidden="false" customHeight="false" outlineLevel="0" collapsed="false">
      <c r="A1372" s="90" t="str">
        <f aca="false">Gov_Map!$H617&amp;""</f>
        <v>—</v>
      </c>
      <c r="B1372" s="71" t="s">
        <v>8132</v>
      </c>
      <c r="C1372" s="58" t="n">
        <v>617</v>
      </c>
      <c r="D1372" s="58" t="s">
        <v>8133</v>
      </c>
      <c r="E1372" s="58" t="s">
        <v>8133</v>
      </c>
      <c r="F1372" s="59" t="s">
        <v>604</v>
      </c>
    </row>
    <row r="1373" customFormat="false" ht="15" hidden="false" customHeight="false" outlineLevel="0" collapsed="false">
      <c r="A1373" s="90" t="str">
        <f aca="false">Gov_Map!$H618&amp;""</f>
        <v>SRC_DEM_071</v>
      </c>
      <c r="B1373" s="71" t="s">
        <v>8132</v>
      </c>
      <c r="C1373" s="58" t="n">
        <v>618</v>
      </c>
      <c r="D1373" s="58" t="s">
        <v>8133</v>
      </c>
      <c r="E1373" s="58" t="s">
        <v>8133</v>
      </c>
      <c r="F1373" s="59" t="s">
        <v>604</v>
      </c>
    </row>
    <row r="1374" customFormat="false" ht="15" hidden="false" customHeight="false" outlineLevel="0" collapsed="false">
      <c r="A1374" s="90" t="str">
        <f aca="false">Gov_Map!$H619&amp;""</f>
        <v>—</v>
      </c>
      <c r="B1374" s="71" t="s">
        <v>8132</v>
      </c>
      <c r="C1374" s="58" t="n">
        <v>619</v>
      </c>
      <c r="D1374" s="58" t="s">
        <v>8133</v>
      </c>
      <c r="E1374" s="58" t="s">
        <v>8133</v>
      </c>
      <c r="F1374" s="59" t="s">
        <v>604</v>
      </c>
    </row>
    <row r="1375" customFormat="false" ht="15" hidden="false" customHeight="false" outlineLevel="0" collapsed="false">
      <c r="A1375" s="90" t="str">
        <f aca="false">Gov_Map!$H620&amp;""</f>
        <v>—</v>
      </c>
      <c r="B1375" s="71" t="s">
        <v>8132</v>
      </c>
      <c r="C1375" s="58" t="n">
        <v>620</v>
      </c>
      <c r="D1375" s="58" t="s">
        <v>8133</v>
      </c>
      <c r="E1375" s="58" t="s">
        <v>8133</v>
      </c>
      <c r="F1375" s="59" t="s">
        <v>604</v>
      </c>
    </row>
    <row r="1376" customFormat="false" ht="15" hidden="false" customHeight="false" outlineLevel="0" collapsed="false">
      <c r="A1376" s="90" t="str">
        <f aca="false">Gov_Map!$H621&amp;""</f>
        <v>—</v>
      </c>
      <c r="B1376" s="71" t="s">
        <v>8132</v>
      </c>
      <c r="C1376" s="58" t="n">
        <v>621</v>
      </c>
      <c r="D1376" s="58" t="s">
        <v>8133</v>
      </c>
      <c r="E1376" s="58" t="s">
        <v>8133</v>
      </c>
      <c r="F1376" s="59" t="s">
        <v>604</v>
      </c>
    </row>
    <row r="1377" customFormat="false" ht="15" hidden="false" customHeight="false" outlineLevel="0" collapsed="false">
      <c r="A1377" s="90" t="str">
        <f aca="false">Gov_Map!$H622&amp;""</f>
        <v>—</v>
      </c>
      <c r="B1377" s="71" t="s">
        <v>8132</v>
      </c>
      <c r="C1377" s="58" t="n">
        <v>622</v>
      </c>
      <c r="D1377" s="58" t="s">
        <v>8133</v>
      </c>
      <c r="E1377" s="58" t="s">
        <v>8133</v>
      </c>
      <c r="F1377" s="59" t="s">
        <v>604</v>
      </c>
    </row>
    <row r="1378" customFormat="false" ht="15" hidden="false" customHeight="false" outlineLevel="0" collapsed="false">
      <c r="A1378" s="90" t="str">
        <f aca="false">Gov_Map!$H623&amp;""</f>
        <v>—</v>
      </c>
      <c r="B1378" s="71" t="s">
        <v>8132</v>
      </c>
      <c r="C1378" s="58" t="n">
        <v>623</v>
      </c>
      <c r="D1378" s="58" t="s">
        <v>8133</v>
      </c>
      <c r="E1378" s="58" t="s">
        <v>8133</v>
      </c>
      <c r="F1378" s="59" t="s">
        <v>604</v>
      </c>
    </row>
    <row r="1379" customFormat="false" ht="15" hidden="false" customHeight="false" outlineLevel="0" collapsed="false">
      <c r="A1379" s="90" t="str">
        <f aca="false">Gov_Map!$H624&amp;""</f>
        <v>—</v>
      </c>
      <c r="B1379" s="71" t="s">
        <v>8132</v>
      </c>
      <c r="C1379" s="58" t="n">
        <v>624</v>
      </c>
      <c r="D1379" s="58" t="s">
        <v>8133</v>
      </c>
      <c r="E1379" s="58" t="s">
        <v>8133</v>
      </c>
      <c r="F1379" s="59" t="s">
        <v>604</v>
      </c>
    </row>
    <row r="1380" customFormat="false" ht="15" hidden="false" customHeight="false" outlineLevel="0" collapsed="false">
      <c r="A1380" s="90" t="str">
        <f aca="false">Gov_Map!$H625&amp;""</f>
        <v>—</v>
      </c>
      <c r="B1380" s="71" t="s">
        <v>8132</v>
      </c>
      <c r="C1380" s="58" t="n">
        <v>625</v>
      </c>
      <c r="D1380" s="58" t="s">
        <v>8133</v>
      </c>
      <c r="E1380" s="58" t="s">
        <v>8133</v>
      </c>
      <c r="F1380" s="59" t="s">
        <v>604</v>
      </c>
    </row>
    <row r="1381" customFormat="false" ht="15" hidden="false" customHeight="false" outlineLevel="0" collapsed="false">
      <c r="A1381" s="90" t="str">
        <f aca="false">Gov_Map!$H626&amp;""</f>
        <v>—</v>
      </c>
      <c r="B1381" s="71" t="s">
        <v>8132</v>
      </c>
      <c r="C1381" s="58" t="n">
        <v>626</v>
      </c>
      <c r="D1381" s="58" t="s">
        <v>8133</v>
      </c>
      <c r="E1381" s="58" t="s">
        <v>8133</v>
      </c>
      <c r="F1381" s="59" t="s">
        <v>604</v>
      </c>
    </row>
    <row r="1382" customFormat="false" ht="15" hidden="false" customHeight="false" outlineLevel="0" collapsed="false">
      <c r="A1382" s="90" t="str">
        <f aca="false">Gov_Map!$H627&amp;""</f>
        <v>—</v>
      </c>
      <c r="B1382" s="71" t="s">
        <v>8132</v>
      </c>
      <c r="C1382" s="58" t="n">
        <v>627</v>
      </c>
      <c r="D1382" s="58" t="s">
        <v>8133</v>
      </c>
      <c r="E1382" s="58" t="s">
        <v>8133</v>
      </c>
      <c r="F1382" s="59" t="s">
        <v>604</v>
      </c>
    </row>
    <row r="1383" customFormat="false" ht="15" hidden="false" customHeight="false" outlineLevel="0" collapsed="false">
      <c r="A1383" s="90" t="str">
        <f aca="false">Gov_Map!$H628&amp;""</f>
        <v>SRC_DEM_042</v>
      </c>
      <c r="B1383" s="71" t="s">
        <v>8132</v>
      </c>
      <c r="C1383" s="58" t="n">
        <v>628</v>
      </c>
      <c r="D1383" s="58" t="s">
        <v>8133</v>
      </c>
      <c r="E1383" s="58" t="s">
        <v>8133</v>
      </c>
      <c r="F1383" s="59" t="s">
        <v>604</v>
      </c>
    </row>
    <row r="1384" customFormat="false" ht="15" hidden="false" customHeight="false" outlineLevel="0" collapsed="false">
      <c r="A1384" s="90" t="str">
        <f aca="false">Gov_Map!$H629&amp;""</f>
        <v>SRC_DEM_023</v>
      </c>
      <c r="B1384" s="71" t="s">
        <v>8132</v>
      </c>
      <c r="C1384" s="58" t="n">
        <v>629</v>
      </c>
      <c r="D1384" s="58" t="s">
        <v>8133</v>
      </c>
      <c r="E1384" s="58" t="s">
        <v>8133</v>
      </c>
      <c r="F1384" s="59" t="s">
        <v>604</v>
      </c>
    </row>
    <row r="1385" customFormat="false" ht="15" hidden="false" customHeight="false" outlineLevel="0" collapsed="false">
      <c r="A1385" s="90" t="str">
        <f aca="false">Gov_Map!$H630&amp;""</f>
        <v>SRC_DEM_071</v>
      </c>
      <c r="B1385" s="71" t="s">
        <v>8132</v>
      </c>
      <c r="C1385" s="58" t="n">
        <v>630</v>
      </c>
      <c r="D1385" s="58" t="s">
        <v>8133</v>
      </c>
      <c r="E1385" s="58" t="s">
        <v>8133</v>
      </c>
      <c r="F1385" s="59" t="s">
        <v>604</v>
      </c>
    </row>
    <row r="1386" customFormat="false" ht="15" hidden="false" customHeight="false" outlineLevel="0" collapsed="false">
      <c r="A1386" s="90" t="str">
        <f aca="false">Gov_Map!$H631&amp;""</f>
        <v>SRC_DEM_011</v>
      </c>
      <c r="B1386" s="71" t="s">
        <v>8132</v>
      </c>
      <c r="C1386" s="58" t="n">
        <v>631</v>
      </c>
      <c r="D1386" s="58" t="s">
        <v>8133</v>
      </c>
      <c r="E1386" s="58" t="s">
        <v>8133</v>
      </c>
      <c r="F1386" s="59" t="s">
        <v>604</v>
      </c>
    </row>
    <row r="1387" customFormat="false" ht="15" hidden="false" customHeight="false" outlineLevel="0" collapsed="false">
      <c r="A1387" s="90" t="str">
        <f aca="false">Gov_Map!$H632&amp;""</f>
        <v>SRC_DEM_012</v>
      </c>
      <c r="B1387" s="71" t="s">
        <v>8132</v>
      </c>
      <c r="C1387" s="58" t="n">
        <v>632</v>
      </c>
      <c r="D1387" s="58" t="s">
        <v>8133</v>
      </c>
      <c r="E1387" s="58" t="s">
        <v>8133</v>
      </c>
      <c r="F1387" s="59" t="s">
        <v>604</v>
      </c>
    </row>
    <row r="1388" customFormat="false" ht="15" hidden="false" customHeight="false" outlineLevel="0" collapsed="false">
      <c r="A1388" s="90" t="str">
        <f aca="false">Gov_Map!$H633&amp;""</f>
        <v>—</v>
      </c>
      <c r="B1388" s="71" t="s">
        <v>8132</v>
      </c>
      <c r="C1388" s="58" t="n">
        <v>633</v>
      </c>
      <c r="D1388" s="58" t="s">
        <v>8133</v>
      </c>
      <c r="E1388" s="58" t="s">
        <v>8133</v>
      </c>
      <c r="F1388" s="59" t="s">
        <v>604</v>
      </c>
    </row>
    <row r="1389" customFormat="false" ht="15" hidden="false" customHeight="false" outlineLevel="0" collapsed="false">
      <c r="A1389" s="90" t="str">
        <f aca="false">Gov_Map!$H634&amp;""</f>
        <v>—</v>
      </c>
      <c r="B1389" s="71" t="s">
        <v>8132</v>
      </c>
      <c r="C1389" s="58" t="n">
        <v>634</v>
      </c>
      <c r="D1389" s="58" t="s">
        <v>8133</v>
      </c>
      <c r="E1389" s="58" t="s">
        <v>8133</v>
      </c>
      <c r="F1389" s="59" t="s">
        <v>604</v>
      </c>
    </row>
    <row r="1390" customFormat="false" ht="15" hidden="false" customHeight="false" outlineLevel="0" collapsed="false">
      <c r="A1390" s="90" t="str">
        <f aca="false">Gov_Map!$H635&amp;""</f>
        <v>—</v>
      </c>
      <c r="B1390" s="71" t="s">
        <v>8132</v>
      </c>
      <c r="C1390" s="58" t="n">
        <v>635</v>
      </c>
      <c r="D1390" s="58" t="s">
        <v>8133</v>
      </c>
      <c r="E1390" s="58" t="s">
        <v>8133</v>
      </c>
      <c r="F1390" s="59" t="s">
        <v>604</v>
      </c>
    </row>
    <row r="1391" customFormat="false" ht="15" hidden="false" customHeight="false" outlineLevel="0" collapsed="false">
      <c r="A1391" s="90" t="str">
        <f aca="false">Gov_Map!$H636&amp;""</f>
        <v>—</v>
      </c>
      <c r="B1391" s="71" t="s">
        <v>8132</v>
      </c>
      <c r="C1391" s="58" t="n">
        <v>636</v>
      </c>
      <c r="D1391" s="58" t="s">
        <v>8133</v>
      </c>
      <c r="E1391" s="58" t="s">
        <v>8133</v>
      </c>
      <c r="F1391" s="59" t="s">
        <v>604</v>
      </c>
    </row>
    <row r="1392" customFormat="false" ht="15" hidden="false" customHeight="false" outlineLevel="0" collapsed="false">
      <c r="A1392" s="90" t="str">
        <f aca="false">Gov_Map!$H637&amp;""</f>
        <v>—</v>
      </c>
      <c r="B1392" s="71" t="s">
        <v>8132</v>
      </c>
      <c r="C1392" s="58" t="n">
        <v>637</v>
      </c>
      <c r="D1392" s="58" t="s">
        <v>8133</v>
      </c>
      <c r="E1392" s="58" t="s">
        <v>8133</v>
      </c>
      <c r="F1392" s="59" t="s">
        <v>604</v>
      </c>
    </row>
    <row r="1393" customFormat="false" ht="15" hidden="false" customHeight="false" outlineLevel="0" collapsed="false">
      <c r="A1393" s="90" t="str">
        <f aca="false">Gov_Map!$H638&amp;""</f>
        <v>—</v>
      </c>
      <c r="B1393" s="71" t="s">
        <v>8132</v>
      </c>
      <c r="C1393" s="58" t="n">
        <v>638</v>
      </c>
      <c r="D1393" s="58" t="s">
        <v>8133</v>
      </c>
      <c r="E1393" s="58" t="s">
        <v>8133</v>
      </c>
      <c r="F1393" s="59" t="s">
        <v>604</v>
      </c>
    </row>
    <row r="1394" customFormat="false" ht="15" hidden="false" customHeight="false" outlineLevel="0" collapsed="false">
      <c r="A1394" s="90" t="str">
        <f aca="false">Gov_Map!$H639&amp;""</f>
        <v>—</v>
      </c>
      <c r="B1394" s="71" t="s">
        <v>8132</v>
      </c>
      <c r="C1394" s="58" t="n">
        <v>639</v>
      </c>
      <c r="D1394" s="58" t="s">
        <v>8133</v>
      </c>
      <c r="E1394" s="58" t="s">
        <v>8133</v>
      </c>
      <c r="F1394" s="59" t="s">
        <v>604</v>
      </c>
    </row>
    <row r="1395" customFormat="false" ht="15" hidden="false" customHeight="false" outlineLevel="0" collapsed="false">
      <c r="A1395" s="90" t="str">
        <f aca="false">Gov_Map!$H640&amp;""</f>
        <v>—</v>
      </c>
      <c r="B1395" s="71" t="s">
        <v>8132</v>
      </c>
      <c r="C1395" s="58" t="n">
        <v>640</v>
      </c>
      <c r="D1395" s="58" t="s">
        <v>8133</v>
      </c>
      <c r="E1395" s="58" t="s">
        <v>8133</v>
      </c>
      <c r="F1395" s="59" t="s">
        <v>604</v>
      </c>
    </row>
    <row r="1396" customFormat="false" ht="15" hidden="false" customHeight="false" outlineLevel="0" collapsed="false">
      <c r="A1396" s="90" t="str">
        <f aca="false">Gov_Map!$H641&amp;""</f>
        <v>—</v>
      </c>
      <c r="B1396" s="71" t="s">
        <v>8132</v>
      </c>
      <c r="C1396" s="58" t="n">
        <v>641</v>
      </c>
      <c r="D1396" s="58" t="s">
        <v>8133</v>
      </c>
      <c r="E1396" s="58" t="s">
        <v>8133</v>
      </c>
      <c r="F1396" s="59" t="s">
        <v>604</v>
      </c>
    </row>
    <row r="1397" customFormat="false" ht="15" hidden="false" customHeight="false" outlineLevel="0" collapsed="false">
      <c r="A1397" s="90" t="str">
        <f aca="false">Gov_Map!$H642&amp;""</f>
        <v>—</v>
      </c>
      <c r="B1397" s="71" t="s">
        <v>8132</v>
      </c>
      <c r="C1397" s="58" t="n">
        <v>642</v>
      </c>
      <c r="D1397" s="58" t="s">
        <v>8133</v>
      </c>
      <c r="E1397" s="58" t="s">
        <v>8133</v>
      </c>
      <c r="F1397" s="59" t="s">
        <v>604</v>
      </c>
    </row>
    <row r="1398" customFormat="false" ht="15" hidden="false" customHeight="false" outlineLevel="0" collapsed="false">
      <c r="A1398" s="90" t="str">
        <f aca="false">Gov_Map!$H643&amp;""</f>
        <v>—</v>
      </c>
      <c r="B1398" s="71" t="s">
        <v>8132</v>
      </c>
      <c r="C1398" s="58" t="n">
        <v>643</v>
      </c>
      <c r="D1398" s="58" t="s">
        <v>8133</v>
      </c>
      <c r="E1398" s="58" t="s">
        <v>8133</v>
      </c>
      <c r="F1398" s="59" t="s">
        <v>604</v>
      </c>
    </row>
    <row r="1399" customFormat="false" ht="15" hidden="false" customHeight="false" outlineLevel="0" collapsed="false">
      <c r="A1399" s="90" t="str">
        <f aca="false">Gov_Map!$H644&amp;""</f>
        <v>SRC_DEM_072</v>
      </c>
      <c r="B1399" s="71" t="s">
        <v>8132</v>
      </c>
      <c r="C1399" s="58" t="n">
        <v>644</v>
      </c>
      <c r="D1399" s="58" t="s">
        <v>8133</v>
      </c>
      <c r="E1399" s="58" t="s">
        <v>8133</v>
      </c>
      <c r="F1399" s="59" t="s">
        <v>604</v>
      </c>
    </row>
    <row r="1400" customFormat="false" ht="15" hidden="false" customHeight="false" outlineLevel="0" collapsed="false">
      <c r="A1400" s="90" t="str">
        <f aca="false">Gov_Map!$H645&amp;""</f>
        <v>SRC_DEM_072</v>
      </c>
      <c r="B1400" s="71" t="s">
        <v>8132</v>
      </c>
      <c r="C1400" s="58" t="n">
        <v>645</v>
      </c>
      <c r="D1400" s="58" t="s">
        <v>8133</v>
      </c>
      <c r="E1400" s="58" t="s">
        <v>8133</v>
      </c>
      <c r="F1400" s="59" t="s">
        <v>604</v>
      </c>
    </row>
    <row r="1401" customFormat="false" ht="15" hidden="false" customHeight="false" outlineLevel="0" collapsed="false">
      <c r="A1401" s="90" t="str">
        <f aca="false">Gov_Map!$H646&amp;""</f>
        <v>SRC_DEM_072</v>
      </c>
      <c r="B1401" s="71" t="s">
        <v>8132</v>
      </c>
      <c r="C1401" s="58" t="n">
        <v>646</v>
      </c>
      <c r="D1401" s="58" t="s">
        <v>8133</v>
      </c>
      <c r="E1401" s="58" t="s">
        <v>8133</v>
      </c>
      <c r="F1401" s="59" t="s">
        <v>604</v>
      </c>
    </row>
    <row r="1402" customFormat="false" ht="15" hidden="false" customHeight="false" outlineLevel="0" collapsed="false">
      <c r="A1402" s="90" t="str">
        <f aca="false">Gov_Map!$H647&amp;""</f>
        <v>—</v>
      </c>
      <c r="B1402" s="71" t="s">
        <v>8132</v>
      </c>
      <c r="C1402" s="58" t="n">
        <v>647</v>
      </c>
      <c r="D1402" s="58" t="s">
        <v>8133</v>
      </c>
      <c r="E1402" s="58" t="s">
        <v>8133</v>
      </c>
      <c r="F1402" s="59" t="s">
        <v>604</v>
      </c>
    </row>
    <row r="1403" customFormat="false" ht="15" hidden="false" customHeight="false" outlineLevel="0" collapsed="false">
      <c r="A1403" s="90" t="str">
        <f aca="false">Gov_Map!$H648&amp;""</f>
        <v/>
      </c>
      <c r="B1403" s="71" t="s">
        <v>8132</v>
      </c>
      <c r="C1403" s="58" t="n">
        <v>648</v>
      </c>
      <c r="D1403" s="58" t="s">
        <v>8133</v>
      </c>
      <c r="E1403" s="58" t="s">
        <v>8133</v>
      </c>
      <c r="F1403" s="59" t="s">
        <v>604</v>
      </c>
    </row>
    <row r="1404" customFormat="false" ht="15" hidden="false" customHeight="false" outlineLevel="0" collapsed="false">
      <c r="A1404" s="90" t="str">
        <f aca="false">Gov_Map!$H649&amp;""</f>
        <v/>
      </c>
      <c r="B1404" s="71" t="s">
        <v>8132</v>
      </c>
      <c r="C1404" s="58" t="n">
        <v>649</v>
      </c>
      <c r="D1404" s="58" t="s">
        <v>8133</v>
      </c>
      <c r="E1404" s="58" t="s">
        <v>8133</v>
      </c>
      <c r="F1404" s="59" t="s">
        <v>604</v>
      </c>
    </row>
    <row r="1405" customFormat="false" ht="15" hidden="false" customHeight="false" outlineLevel="0" collapsed="false">
      <c r="A1405" s="90" t="str">
        <f aca="false">Gov_Map!$H650&amp;""</f>
        <v/>
      </c>
      <c r="B1405" s="71" t="s">
        <v>8132</v>
      </c>
      <c r="C1405" s="58" t="n">
        <v>650</v>
      </c>
      <c r="D1405" s="58" t="s">
        <v>8133</v>
      </c>
      <c r="E1405" s="58" t="s">
        <v>8133</v>
      </c>
      <c r="F1405" s="59" t="s">
        <v>604</v>
      </c>
    </row>
    <row r="1406" customFormat="false" ht="15" hidden="false" customHeight="false" outlineLevel="0" collapsed="false">
      <c r="A1406" s="90" t="str">
        <f aca="false">Gov_Map!$H651&amp;""</f>
        <v/>
      </c>
      <c r="B1406" s="71" t="s">
        <v>8132</v>
      </c>
      <c r="C1406" s="58" t="n">
        <v>651</v>
      </c>
      <c r="D1406" s="58" t="s">
        <v>8133</v>
      </c>
      <c r="E1406" s="58" t="s">
        <v>8133</v>
      </c>
      <c r="F1406" s="59" t="s">
        <v>604</v>
      </c>
    </row>
    <row r="1407" customFormat="false" ht="15" hidden="false" customHeight="false" outlineLevel="0" collapsed="false">
      <c r="A1407" s="90" t="str">
        <f aca="false">Gov_Map!$H652&amp;""</f>
        <v/>
      </c>
      <c r="B1407" s="71" t="s">
        <v>8132</v>
      </c>
      <c r="C1407" s="58" t="n">
        <v>652</v>
      </c>
      <c r="D1407" s="58" t="s">
        <v>8133</v>
      </c>
      <c r="E1407" s="58" t="s">
        <v>8133</v>
      </c>
      <c r="F1407" s="59" t="s">
        <v>604</v>
      </c>
    </row>
    <row r="1408" customFormat="false" ht="15" hidden="false" customHeight="false" outlineLevel="0" collapsed="false">
      <c r="A1408" s="90" t="str">
        <f aca="false">Gov_Map!$H653&amp;""</f>
        <v/>
      </c>
      <c r="B1408" s="71" t="s">
        <v>8132</v>
      </c>
      <c r="C1408" s="58" t="n">
        <v>653</v>
      </c>
      <c r="D1408" s="58" t="s">
        <v>8133</v>
      </c>
      <c r="E1408" s="58" t="s">
        <v>8133</v>
      </c>
      <c r="F1408" s="59" t="s">
        <v>604</v>
      </c>
    </row>
    <row r="1409" customFormat="false" ht="15" hidden="false" customHeight="false" outlineLevel="0" collapsed="false">
      <c r="A1409" s="90" t="str">
        <f aca="false">Gov_Map!$H654&amp;""</f>
        <v/>
      </c>
      <c r="B1409" s="71" t="s">
        <v>8132</v>
      </c>
      <c r="C1409" s="58" t="n">
        <v>654</v>
      </c>
      <c r="D1409" s="58" t="s">
        <v>8133</v>
      </c>
      <c r="E1409" s="58" t="s">
        <v>8133</v>
      </c>
      <c r="F1409" s="59" t="s">
        <v>604</v>
      </c>
    </row>
    <row r="1410" customFormat="false" ht="15" hidden="false" customHeight="false" outlineLevel="0" collapsed="false">
      <c r="A1410" s="90" t="str">
        <f aca="false">Gov_Map!$H655&amp;""</f>
        <v/>
      </c>
      <c r="B1410" s="71" t="s">
        <v>8132</v>
      </c>
      <c r="C1410" s="58" t="n">
        <v>655</v>
      </c>
      <c r="D1410" s="58" t="s">
        <v>8133</v>
      </c>
      <c r="E1410" s="58" t="s">
        <v>8133</v>
      </c>
      <c r="F1410" s="59" t="s">
        <v>604</v>
      </c>
    </row>
    <row r="1411" customFormat="false" ht="15" hidden="false" customHeight="false" outlineLevel="0" collapsed="false">
      <c r="A1411" s="90" t="str">
        <f aca="false">Gov_Map!$H656&amp;""</f>
        <v/>
      </c>
      <c r="B1411" s="71" t="s">
        <v>8132</v>
      </c>
      <c r="C1411" s="58" t="n">
        <v>656</v>
      </c>
      <c r="D1411" s="58" t="s">
        <v>8133</v>
      </c>
      <c r="E1411" s="58" t="s">
        <v>8133</v>
      </c>
      <c r="F1411" s="59" t="s">
        <v>604</v>
      </c>
    </row>
    <row r="1412" customFormat="false" ht="15" hidden="false" customHeight="false" outlineLevel="0" collapsed="false">
      <c r="A1412" s="90" t="str">
        <f aca="false">Gov_Map!$H657&amp;""</f>
        <v/>
      </c>
      <c r="B1412" s="71" t="s">
        <v>8132</v>
      </c>
      <c r="C1412" s="58" t="n">
        <v>657</v>
      </c>
      <c r="D1412" s="58" t="s">
        <v>8133</v>
      </c>
      <c r="E1412" s="58" t="s">
        <v>8133</v>
      </c>
      <c r="F1412" s="59" t="s">
        <v>604</v>
      </c>
    </row>
    <row r="1413" customFormat="false" ht="15" hidden="false" customHeight="false" outlineLevel="0" collapsed="false">
      <c r="A1413" s="90" t="str">
        <f aca="false">Gov_Map!$H658&amp;""</f>
        <v/>
      </c>
      <c r="B1413" s="71" t="s">
        <v>8132</v>
      </c>
      <c r="C1413" s="58" t="n">
        <v>658</v>
      </c>
      <c r="D1413" s="58" t="s">
        <v>8133</v>
      </c>
      <c r="E1413" s="58" t="s">
        <v>8133</v>
      </c>
      <c r="F1413" s="59" t="s">
        <v>604</v>
      </c>
    </row>
    <row r="1414" customFormat="false" ht="15" hidden="false" customHeight="false" outlineLevel="0" collapsed="false">
      <c r="A1414" s="90" t="str">
        <f aca="false">Gov_Map!$H659&amp;""</f>
        <v/>
      </c>
      <c r="B1414" s="71" t="s">
        <v>8132</v>
      </c>
      <c r="C1414" s="58" t="n">
        <v>659</v>
      </c>
      <c r="D1414" s="58" t="s">
        <v>8133</v>
      </c>
      <c r="E1414" s="58" t="s">
        <v>8133</v>
      </c>
      <c r="F1414" s="59" t="s">
        <v>604</v>
      </c>
    </row>
    <row r="1415" customFormat="false" ht="15" hidden="false" customHeight="false" outlineLevel="0" collapsed="false">
      <c r="A1415" s="90" t="str">
        <f aca="false">Gov_Map!$H660&amp;""</f>
        <v/>
      </c>
      <c r="B1415" s="71" t="s">
        <v>8132</v>
      </c>
      <c r="C1415" s="58" t="n">
        <v>660</v>
      </c>
      <c r="D1415" s="58" t="s">
        <v>8133</v>
      </c>
      <c r="E1415" s="58" t="s">
        <v>8133</v>
      </c>
      <c r="F1415" s="59" t="s">
        <v>604</v>
      </c>
    </row>
    <row r="1416" customFormat="false" ht="15" hidden="false" customHeight="false" outlineLevel="0" collapsed="false">
      <c r="A1416" s="90" t="str">
        <f aca="false">Gov_Map!$H661&amp;""</f>
        <v/>
      </c>
      <c r="B1416" s="71" t="s">
        <v>8132</v>
      </c>
      <c r="C1416" s="58" t="n">
        <v>661</v>
      </c>
      <c r="D1416" s="58" t="s">
        <v>8133</v>
      </c>
      <c r="E1416" s="58" t="s">
        <v>8133</v>
      </c>
      <c r="F1416" s="59" t="s">
        <v>604</v>
      </c>
    </row>
    <row r="1417" customFormat="false" ht="15" hidden="false" customHeight="false" outlineLevel="0" collapsed="false">
      <c r="A1417" s="90" t="str">
        <f aca="false">Gov_Map!$H662&amp;""</f>
        <v/>
      </c>
      <c r="B1417" s="71" t="s">
        <v>8132</v>
      </c>
      <c r="C1417" s="58" t="n">
        <v>662</v>
      </c>
      <c r="D1417" s="58" t="s">
        <v>8133</v>
      </c>
      <c r="E1417" s="58" t="s">
        <v>8133</v>
      </c>
      <c r="F1417" s="59" t="s">
        <v>604</v>
      </c>
    </row>
    <row r="1418" customFormat="false" ht="15" hidden="false" customHeight="false" outlineLevel="0" collapsed="false">
      <c r="A1418" s="90" t="str">
        <f aca="false">Gov_Map!$H663&amp;""</f>
        <v/>
      </c>
      <c r="B1418" s="71" t="s">
        <v>8132</v>
      </c>
      <c r="C1418" s="58" t="n">
        <v>663</v>
      </c>
      <c r="D1418" s="58" t="s">
        <v>8133</v>
      </c>
      <c r="E1418" s="58" t="s">
        <v>8133</v>
      </c>
      <c r="F1418" s="59" t="s">
        <v>604</v>
      </c>
    </row>
    <row r="1419" customFormat="false" ht="15" hidden="false" customHeight="false" outlineLevel="0" collapsed="false">
      <c r="A1419" s="90" t="str">
        <f aca="false">Gov_Map!$H664&amp;""</f>
        <v/>
      </c>
      <c r="B1419" s="71" t="s">
        <v>8132</v>
      </c>
      <c r="C1419" s="58" t="n">
        <v>664</v>
      </c>
      <c r="D1419" s="58" t="s">
        <v>8133</v>
      </c>
      <c r="E1419" s="58" t="s">
        <v>8133</v>
      </c>
      <c r="F1419" s="59" t="s">
        <v>604</v>
      </c>
    </row>
    <row r="1420" customFormat="false" ht="15" hidden="false" customHeight="false" outlineLevel="0" collapsed="false">
      <c r="A1420" s="90" t="str">
        <f aca="false">Gov_Map!$H665&amp;""</f>
        <v/>
      </c>
      <c r="B1420" s="71" t="s">
        <v>8132</v>
      </c>
      <c r="C1420" s="58" t="n">
        <v>665</v>
      </c>
      <c r="D1420" s="58" t="s">
        <v>8133</v>
      </c>
      <c r="E1420" s="58" t="s">
        <v>8133</v>
      </c>
      <c r="F1420" s="59" t="s">
        <v>604</v>
      </c>
    </row>
    <row r="1421" customFormat="false" ht="15" hidden="false" customHeight="false" outlineLevel="0" collapsed="false">
      <c r="A1421" s="90" t="str">
        <f aca="false">Gov_Map!$H666&amp;""</f>
        <v/>
      </c>
      <c r="B1421" s="71" t="s">
        <v>8132</v>
      </c>
      <c r="C1421" s="58" t="n">
        <v>666</v>
      </c>
      <c r="D1421" s="58" t="s">
        <v>8133</v>
      </c>
      <c r="E1421" s="58" t="s">
        <v>8133</v>
      </c>
      <c r="F1421" s="59" t="s">
        <v>604</v>
      </c>
    </row>
    <row r="1422" customFormat="false" ht="15" hidden="false" customHeight="false" outlineLevel="0" collapsed="false">
      <c r="A1422" s="90" t="str">
        <f aca="false">Gov_Map!$H667&amp;""</f>
        <v/>
      </c>
      <c r="B1422" s="71" t="s">
        <v>8132</v>
      </c>
      <c r="C1422" s="58" t="n">
        <v>667</v>
      </c>
      <c r="D1422" s="58" t="s">
        <v>8133</v>
      </c>
      <c r="E1422" s="58" t="s">
        <v>8133</v>
      </c>
      <c r="F1422" s="59" t="s">
        <v>604</v>
      </c>
    </row>
    <row r="1423" customFormat="false" ht="15" hidden="false" customHeight="false" outlineLevel="0" collapsed="false">
      <c r="A1423" s="90" t="str">
        <f aca="false">Gov_Map!$H668&amp;""</f>
        <v/>
      </c>
      <c r="B1423" s="71" t="s">
        <v>8132</v>
      </c>
      <c r="C1423" s="58" t="n">
        <v>668</v>
      </c>
      <c r="D1423" s="58" t="s">
        <v>8133</v>
      </c>
      <c r="E1423" s="58" t="s">
        <v>8133</v>
      </c>
      <c r="F1423" s="59" t="s">
        <v>604</v>
      </c>
    </row>
    <row r="1424" customFormat="false" ht="15" hidden="false" customHeight="false" outlineLevel="0" collapsed="false">
      <c r="A1424" s="90" t="str">
        <f aca="false">Gov_Map!$H669&amp;""</f>
        <v/>
      </c>
      <c r="B1424" s="71" t="s">
        <v>8132</v>
      </c>
      <c r="C1424" s="58" t="n">
        <v>669</v>
      </c>
      <c r="D1424" s="58" t="s">
        <v>8133</v>
      </c>
      <c r="E1424" s="58" t="s">
        <v>8133</v>
      </c>
      <c r="F1424" s="59" t="s">
        <v>604</v>
      </c>
    </row>
    <row r="1425" customFormat="false" ht="15" hidden="false" customHeight="false" outlineLevel="0" collapsed="false">
      <c r="A1425" s="90" t="str">
        <f aca="false">Gov_Map!$H670&amp;""</f>
        <v/>
      </c>
      <c r="B1425" s="71" t="s">
        <v>8132</v>
      </c>
      <c r="C1425" s="58" t="n">
        <v>670</v>
      </c>
      <c r="D1425" s="58" t="s">
        <v>8133</v>
      </c>
      <c r="E1425" s="58" t="s">
        <v>8133</v>
      </c>
      <c r="F1425" s="59" t="s">
        <v>604</v>
      </c>
    </row>
    <row r="1426" customFormat="false" ht="15" hidden="false" customHeight="false" outlineLevel="0" collapsed="false">
      <c r="A1426" s="90" t="str">
        <f aca="false">Gov_Map!$H671&amp;""</f>
        <v/>
      </c>
      <c r="B1426" s="71" t="s">
        <v>8132</v>
      </c>
      <c r="C1426" s="58" t="n">
        <v>671</v>
      </c>
      <c r="D1426" s="58" t="s">
        <v>8133</v>
      </c>
      <c r="E1426" s="58" t="s">
        <v>8133</v>
      </c>
      <c r="F1426" s="59" t="s">
        <v>604</v>
      </c>
    </row>
    <row r="1427" customFormat="false" ht="15" hidden="false" customHeight="false" outlineLevel="0" collapsed="false">
      <c r="A1427" s="90" t="str">
        <f aca="false">Gov_Map!$H672&amp;""</f>
        <v/>
      </c>
      <c r="B1427" s="71" t="s">
        <v>8132</v>
      </c>
      <c r="C1427" s="58" t="n">
        <v>672</v>
      </c>
      <c r="D1427" s="58" t="s">
        <v>8133</v>
      </c>
      <c r="E1427" s="58" t="s">
        <v>8133</v>
      </c>
      <c r="F1427" s="59" t="s">
        <v>604</v>
      </c>
    </row>
    <row r="1428" customFormat="false" ht="15" hidden="false" customHeight="false" outlineLevel="0" collapsed="false">
      <c r="A1428" s="90" t="str">
        <f aca="false">Gov_Map!$H673&amp;""</f>
        <v/>
      </c>
      <c r="B1428" s="71" t="s">
        <v>8132</v>
      </c>
      <c r="C1428" s="58" t="n">
        <v>673</v>
      </c>
      <c r="D1428" s="58" t="s">
        <v>8133</v>
      </c>
      <c r="E1428" s="58" t="s">
        <v>8133</v>
      </c>
      <c r="F1428" s="59" t="s">
        <v>604</v>
      </c>
    </row>
    <row r="1429" customFormat="false" ht="15" hidden="false" customHeight="false" outlineLevel="0" collapsed="false">
      <c r="A1429" s="90" t="str">
        <f aca="false">Gov_Map!$H674&amp;""</f>
        <v/>
      </c>
      <c r="B1429" s="71" t="s">
        <v>8132</v>
      </c>
      <c r="C1429" s="58" t="n">
        <v>674</v>
      </c>
      <c r="D1429" s="58" t="s">
        <v>8133</v>
      </c>
      <c r="E1429" s="58" t="s">
        <v>8133</v>
      </c>
      <c r="F1429" s="59" t="s">
        <v>604</v>
      </c>
    </row>
    <row r="1430" customFormat="false" ht="15" hidden="false" customHeight="false" outlineLevel="0" collapsed="false">
      <c r="A1430" s="90" t="str">
        <f aca="false">Gov_Map!$H675&amp;""</f>
        <v/>
      </c>
      <c r="B1430" s="71" t="s">
        <v>8132</v>
      </c>
      <c r="C1430" s="58" t="n">
        <v>675</v>
      </c>
      <c r="D1430" s="58" t="s">
        <v>8133</v>
      </c>
      <c r="E1430" s="58" t="s">
        <v>8133</v>
      </c>
      <c r="F1430" s="59" t="s">
        <v>604</v>
      </c>
    </row>
    <row r="1431" customFormat="false" ht="15" hidden="false" customHeight="false" outlineLevel="0" collapsed="false">
      <c r="A1431" s="90" t="str">
        <f aca="false">Gov_Map!$H676&amp;""</f>
        <v/>
      </c>
      <c r="B1431" s="71" t="s">
        <v>8132</v>
      </c>
      <c r="C1431" s="58" t="n">
        <v>676</v>
      </c>
      <c r="D1431" s="58" t="s">
        <v>8133</v>
      </c>
      <c r="E1431" s="58" t="s">
        <v>8133</v>
      </c>
      <c r="F1431" s="59" t="s">
        <v>604</v>
      </c>
    </row>
    <row r="1432" customFormat="false" ht="15" hidden="false" customHeight="false" outlineLevel="0" collapsed="false">
      <c r="A1432" s="90" t="str">
        <f aca="false">Gov_Map!$H677&amp;""</f>
        <v/>
      </c>
      <c r="B1432" s="71" t="s">
        <v>8132</v>
      </c>
      <c r="C1432" s="58" t="n">
        <v>677</v>
      </c>
      <c r="D1432" s="58" t="s">
        <v>8133</v>
      </c>
      <c r="E1432" s="58" t="s">
        <v>8133</v>
      </c>
      <c r="F1432" s="59" t="s">
        <v>604</v>
      </c>
    </row>
    <row r="1433" customFormat="false" ht="15" hidden="false" customHeight="false" outlineLevel="0" collapsed="false">
      <c r="A1433" s="90" t="str">
        <f aca="false">Gov_Map!$H678&amp;""</f>
        <v/>
      </c>
      <c r="B1433" s="71" t="s">
        <v>8132</v>
      </c>
      <c r="C1433" s="58" t="n">
        <v>678</v>
      </c>
      <c r="D1433" s="58" t="s">
        <v>8133</v>
      </c>
      <c r="E1433" s="58" t="s">
        <v>8133</v>
      </c>
      <c r="F1433" s="59" t="s">
        <v>604</v>
      </c>
    </row>
    <row r="1434" customFormat="false" ht="15" hidden="false" customHeight="false" outlineLevel="0" collapsed="false">
      <c r="A1434" s="90" t="str">
        <f aca="false">Gov_Map!$H679&amp;""</f>
        <v/>
      </c>
      <c r="B1434" s="71" t="s">
        <v>8132</v>
      </c>
      <c r="C1434" s="58" t="n">
        <v>679</v>
      </c>
      <c r="D1434" s="58" t="s">
        <v>8133</v>
      </c>
      <c r="E1434" s="58" t="s">
        <v>8133</v>
      </c>
      <c r="F1434" s="59" t="s">
        <v>604</v>
      </c>
    </row>
    <row r="1435" customFormat="false" ht="15" hidden="false" customHeight="false" outlineLevel="0" collapsed="false">
      <c r="A1435" s="90" t="str">
        <f aca="false">Gov_Map!$H680&amp;""</f>
        <v/>
      </c>
      <c r="B1435" s="71" t="s">
        <v>8132</v>
      </c>
      <c r="C1435" s="58" t="n">
        <v>680</v>
      </c>
      <c r="D1435" s="58" t="s">
        <v>8133</v>
      </c>
      <c r="E1435" s="58" t="s">
        <v>8133</v>
      </c>
      <c r="F1435" s="59" t="s">
        <v>604</v>
      </c>
    </row>
    <row r="1436" customFormat="false" ht="15" hidden="false" customHeight="false" outlineLevel="0" collapsed="false">
      <c r="A1436" s="90" t="str">
        <f aca="false">Gov_Map!$H681&amp;""</f>
        <v/>
      </c>
      <c r="B1436" s="71" t="s">
        <v>8132</v>
      </c>
      <c r="C1436" s="58" t="n">
        <v>681</v>
      </c>
      <c r="D1436" s="58" t="s">
        <v>8133</v>
      </c>
      <c r="E1436" s="58" t="s">
        <v>8133</v>
      </c>
      <c r="F1436" s="59" t="s">
        <v>604</v>
      </c>
    </row>
    <row r="1437" customFormat="false" ht="15" hidden="false" customHeight="false" outlineLevel="0" collapsed="false">
      <c r="A1437" s="90" t="str">
        <f aca="false">Gov_Map!$H682&amp;""</f>
        <v/>
      </c>
      <c r="B1437" s="71" t="s">
        <v>8132</v>
      </c>
      <c r="C1437" s="58" t="n">
        <v>682</v>
      </c>
      <c r="D1437" s="58" t="s">
        <v>8133</v>
      </c>
      <c r="E1437" s="58" t="s">
        <v>8133</v>
      </c>
      <c r="F1437" s="59" t="s">
        <v>604</v>
      </c>
    </row>
    <row r="1438" customFormat="false" ht="15" hidden="false" customHeight="false" outlineLevel="0" collapsed="false">
      <c r="A1438" s="90" t="str">
        <f aca="false">Gov_Map!$H683&amp;""</f>
        <v/>
      </c>
      <c r="B1438" s="71" t="s">
        <v>8132</v>
      </c>
      <c r="C1438" s="58" t="n">
        <v>683</v>
      </c>
      <c r="D1438" s="58" t="s">
        <v>8133</v>
      </c>
      <c r="E1438" s="58" t="s">
        <v>8133</v>
      </c>
      <c r="F1438" s="59" t="s">
        <v>604</v>
      </c>
    </row>
    <row r="1439" customFormat="false" ht="15" hidden="false" customHeight="false" outlineLevel="0" collapsed="false">
      <c r="A1439" s="90" t="str">
        <f aca="false">Gov_Map!$H684&amp;""</f>
        <v/>
      </c>
      <c r="B1439" s="71" t="s">
        <v>8132</v>
      </c>
      <c r="C1439" s="58" t="n">
        <v>684</v>
      </c>
      <c r="D1439" s="58" t="s">
        <v>8133</v>
      </c>
      <c r="E1439" s="58" t="s">
        <v>8133</v>
      </c>
      <c r="F1439" s="59" t="s">
        <v>604</v>
      </c>
    </row>
    <row r="1440" customFormat="false" ht="15" hidden="false" customHeight="false" outlineLevel="0" collapsed="false">
      <c r="A1440" s="90" t="str">
        <f aca="false">Gov_Map!$H685&amp;""</f>
        <v/>
      </c>
      <c r="B1440" s="71" t="s">
        <v>8132</v>
      </c>
      <c r="C1440" s="58" t="n">
        <v>685</v>
      </c>
      <c r="D1440" s="58" t="s">
        <v>8133</v>
      </c>
      <c r="E1440" s="58" t="s">
        <v>8133</v>
      </c>
      <c r="F1440" s="59" t="s">
        <v>604</v>
      </c>
    </row>
    <row r="1441" customFormat="false" ht="15" hidden="false" customHeight="false" outlineLevel="0" collapsed="false">
      <c r="A1441" s="90" t="str">
        <f aca="false">Gov_Map!$H686&amp;""</f>
        <v/>
      </c>
      <c r="B1441" s="71" t="s">
        <v>8132</v>
      </c>
      <c r="C1441" s="58" t="n">
        <v>686</v>
      </c>
      <c r="D1441" s="58" t="s">
        <v>8133</v>
      </c>
      <c r="E1441" s="58" t="s">
        <v>8133</v>
      </c>
      <c r="F1441" s="59" t="s">
        <v>604</v>
      </c>
    </row>
    <row r="1442" customFormat="false" ht="15" hidden="false" customHeight="false" outlineLevel="0" collapsed="false">
      <c r="A1442" s="90" t="str">
        <f aca="false">Gov_Map!$H687&amp;""</f>
        <v/>
      </c>
      <c r="B1442" s="71" t="s">
        <v>8132</v>
      </c>
      <c r="C1442" s="58" t="n">
        <v>687</v>
      </c>
      <c r="D1442" s="58" t="s">
        <v>8133</v>
      </c>
      <c r="E1442" s="58" t="s">
        <v>8133</v>
      </c>
      <c r="F1442" s="59" t="s">
        <v>604</v>
      </c>
    </row>
    <row r="1443" customFormat="false" ht="15" hidden="false" customHeight="false" outlineLevel="0" collapsed="false">
      <c r="A1443" s="90" t="str">
        <f aca="false">Gov_Map!$H688&amp;""</f>
        <v/>
      </c>
      <c r="B1443" s="71" t="s">
        <v>8132</v>
      </c>
      <c r="C1443" s="58" t="n">
        <v>688</v>
      </c>
      <c r="D1443" s="58" t="s">
        <v>8133</v>
      </c>
      <c r="E1443" s="58" t="s">
        <v>8133</v>
      </c>
      <c r="F1443" s="59" t="s">
        <v>604</v>
      </c>
    </row>
    <row r="1444" customFormat="false" ht="15" hidden="false" customHeight="false" outlineLevel="0" collapsed="false">
      <c r="A1444" s="90" t="str">
        <f aca="false">Gov_Map!$H689&amp;""</f>
        <v/>
      </c>
      <c r="B1444" s="71" t="s">
        <v>8132</v>
      </c>
      <c r="C1444" s="58" t="n">
        <v>689</v>
      </c>
      <c r="D1444" s="58" t="s">
        <v>8133</v>
      </c>
      <c r="E1444" s="58" t="s">
        <v>8133</v>
      </c>
      <c r="F1444" s="59" t="s">
        <v>604</v>
      </c>
    </row>
    <row r="1445" customFormat="false" ht="15" hidden="false" customHeight="false" outlineLevel="0" collapsed="false">
      <c r="A1445" s="90" t="str">
        <f aca="false">Gov_Map!$H690&amp;""</f>
        <v/>
      </c>
      <c r="B1445" s="71" t="s">
        <v>8132</v>
      </c>
      <c r="C1445" s="58" t="n">
        <v>690</v>
      </c>
      <c r="D1445" s="58" t="s">
        <v>8133</v>
      </c>
      <c r="E1445" s="58" t="s">
        <v>8133</v>
      </c>
      <c r="F1445" s="59" t="s">
        <v>604</v>
      </c>
    </row>
    <row r="1446" customFormat="false" ht="15" hidden="false" customHeight="false" outlineLevel="0" collapsed="false">
      <c r="A1446" s="90" t="str">
        <f aca="false">Gov_Map!$H691&amp;""</f>
        <v/>
      </c>
      <c r="B1446" s="71" t="s">
        <v>8132</v>
      </c>
      <c r="C1446" s="58" t="n">
        <v>691</v>
      </c>
      <c r="D1446" s="58" t="s">
        <v>8133</v>
      </c>
      <c r="E1446" s="58" t="s">
        <v>8133</v>
      </c>
      <c r="F1446" s="59" t="s">
        <v>604</v>
      </c>
    </row>
    <row r="1447" customFormat="false" ht="15" hidden="false" customHeight="false" outlineLevel="0" collapsed="false">
      <c r="A1447" s="90" t="str">
        <f aca="false">Gov_Map!$H692&amp;""</f>
        <v/>
      </c>
      <c r="B1447" s="71" t="s">
        <v>8132</v>
      </c>
      <c r="C1447" s="58" t="n">
        <v>692</v>
      </c>
      <c r="D1447" s="58" t="s">
        <v>8133</v>
      </c>
      <c r="E1447" s="58" t="s">
        <v>8133</v>
      </c>
      <c r="F1447" s="59" t="s">
        <v>604</v>
      </c>
    </row>
    <row r="1448" customFormat="false" ht="15" hidden="false" customHeight="false" outlineLevel="0" collapsed="false">
      <c r="A1448" s="90" t="str">
        <f aca="false">Gov_Map!$H693&amp;""</f>
        <v/>
      </c>
      <c r="B1448" s="71" t="s">
        <v>8132</v>
      </c>
      <c r="C1448" s="58" t="n">
        <v>693</v>
      </c>
      <c r="D1448" s="58" t="s">
        <v>8133</v>
      </c>
      <c r="E1448" s="58" t="s">
        <v>8133</v>
      </c>
      <c r="F1448" s="59" t="s">
        <v>604</v>
      </c>
    </row>
    <row r="1449" customFormat="false" ht="15" hidden="false" customHeight="false" outlineLevel="0" collapsed="false">
      <c r="A1449" s="90" t="str">
        <f aca="false">Gov_Map!$H694&amp;""</f>
        <v/>
      </c>
      <c r="B1449" s="71" t="s">
        <v>8132</v>
      </c>
      <c r="C1449" s="58" t="n">
        <v>694</v>
      </c>
      <c r="D1449" s="58" t="s">
        <v>8133</v>
      </c>
      <c r="E1449" s="58" t="s">
        <v>8133</v>
      </c>
      <c r="F1449" s="59" t="s">
        <v>604</v>
      </c>
    </row>
    <row r="1450" customFormat="false" ht="15" hidden="false" customHeight="false" outlineLevel="0" collapsed="false">
      <c r="A1450" s="90" t="str">
        <f aca="false">Gov_Map!$H695&amp;""</f>
        <v/>
      </c>
      <c r="B1450" s="71" t="s">
        <v>8132</v>
      </c>
      <c r="C1450" s="58" t="n">
        <v>695</v>
      </c>
      <c r="D1450" s="58" t="s">
        <v>8133</v>
      </c>
      <c r="E1450" s="58" t="s">
        <v>8133</v>
      </c>
      <c r="F1450" s="59" t="s">
        <v>604</v>
      </c>
    </row>
    <row r="1451" customFormat="false" ht="15" hidden="false" customHeight="false" outlineLevel="0" collapsed="false">
      <c r="A1451" s="90" t="str">
        <f aca="false">Gov_Map!$H696&amp;""</f>
        <v/>
      </c>
      <c r="B1451" s="71" t="s">
        <v>8132</v>
      </c>
      <c r="C1451" s="58" t="n">
        <v>696</v>
      </c>
      <c r="D1451" s="58" t="s">
        <v>8133</v>
      </c>
      <c r="E1451" s="58" t="s">
        <v>8133</v>
      </c>
      <c r="F1451" s="59" t="s">
        <v>604</v>
      </c>
    </row>
    <row r="1452" customFormat="false" ht="15" hidden="false" customHeight="false" outlineLevel="0" collapsed="false">
      <c r="A1452" s="90" t="str">
        <f aca="false">Gov_Map!$H697&amp;""</f>
        <v/>
      </c>
      <c r="B1452" s="71" t="s">
        <v>8132</v>
      </c>
      <c r="C1452" s="58" t="n">
        <v>697</v>
      </c>
      <c r="D1452" s="58" t="s">
        <v>8133</v>
      </c>
      <c r="E1452" s="58" t="s">
        <v>8133</v>
      </c>
      <c r="F1452" s="59" t="s">
        <v>604</v>
      </c>
    </row>
    <row r="1453" customFormat="false" ht="15" hidden="false" customHeight="false" outlineLevel="0" collapsed="false">
      <c r="A1453" s="90" t="str">
        <f aca="false">Gov_Map!$H698&amp;""</f>
        <v/>
      </c>
      <c r="B1453" s="71" t="s">
        <v>8132</v>
      </c>
      <c r="C1453" s="58" t="n">
        <v>698</v>
      </c>
      <c r="D1453" s="58" t="s">
        <v>8133</v>
      </c>
      <c r="E1453" s="58" t="s">
        <v>8133</v>
      </c>
      <c r="F1453" s="59" t="s">
        <v>604</v>
      </c>
    </row>
    <row r="1454" customFormat="false" ht="15" hidden="false" customHeight="false" outlineLevel="0" collapsed="false">
      <c r="A1454" s="90" t="str">
        <f aca="false">Gov_Map!$H699&amp;""</f>
        <v/>
      </c>
      <c r="B1454" s="71" t="s">
        <v>8132</v>
      </c>
      <c r="C1454" s="58" t="n">
        <v>699</v>
      </c>
      <c r="D1454" s="58" t="s">
        <v>8133</v>
      </c>
      <c r="E1454" s="58" t="s">
        <v>8133</v>
      </c>
      <c r="F1454" s="59" t="s">
        <v>604</v>
      </c>
    </row>
    <row r="1455" customFormat="false" ht="15" hidden="false" customHeight="false" outlineLevel="0" collapsed="false">
      <c r="A1455" s="90" t="str">
        <f aca="false">Gov_Map!$H700&amp;""</f>
        <v/>
      </c>
      <c r="B1455" s="71" t="s">
        <v>8132</v>
      </c>
      <c r="C1455" s="58" t="n">
        <v>700</v>
      </c>
      <c r="D1455" s="58" t="s">
        <v>8133</v>
      </c>
      <c r="E1455" s="58" t="s">
        <v>8133</v>
      </c>
      <c r="F1455" s="59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8134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1" t="s">
        <v>583</v>
      </c>
      <c r="B3" s="12" t="s">
        <v>353</v>
      </c>
      <c r="C3" s="12" t="s">
        <v>8135</v>
      </c>
      <c r="D3" s="12" t="s">
        <v>77</v>
      </c>
      <c r="E3" s="12" t="s">
        <v>5588</v>
      </c>
      <c r="F3" s="12" t="s">
        <v>447</v>
      </c>
      <c r="G3" s="12" t="s">
        <v>8136</v>
      </c>
    </row>
    <row r="4" customFormat="false" ht="29.25" hidden="false" customHeight="true" outlineLevel="0" collapsed="false">
      <c r="A4" s="15" t="s">
        <v>5885</v>
      </c>
      <c r="B4" s="15" t="s">
        <v>8137</v>
      </c>
      <c r="C4" s="19" t="s">
        <v>8138</v>
      </c>
      <c r="D4" s="15" t="s">
        <v>125</v>
      </c>
      <c r="E4" s="15" t="s">
        <v>6271</v>
      </c>
      <c r="F4" s="6" t="s">
        <v>6272</v>
      </c>
      <c r="G4" s="20" t="s">
        <v>8139</v>
      </c>
    </row>
    <row r="5" customFormat="false" ht="15" hidden="false" customHeight="true" outlineLevel="0" collapsed="false">
      <c r="A5" s="15" t="s">
        <v>5894</v>
      </c>
      <c r="B5" s="15" t="s">
        <v>8140</v>
      </c>
      <c r="C5" s="19" t="s">
        <v>8141</v>
      </c>
      <c r="D5" s="15" t="s">
        <v>94</v>
      </c>
      <c r="E5" s="15" t="s">
        <v>6283</v>
      </c>
      <c r="F5" s="6" t="s">
        <v>6284</v>
      </c>
      <c r="G5" s="20" t="s">
        <v>8139</v>
      </c>
    </row>
    <row r="6" customFormat="false" ht="15" hidden="false" customHeight="true" outlineLevel="0" collapsed="false">
      <c r="A6" s="15" t="s">
        <v>6301</v>
      </c>
      <c r="B6" s="15" t="s">
        <v>8142</v>
      </c>
      <c r="C6" s="6" t="s">
        <v>8143</v>
      </c>
      <c r="D6" s="15" t="s">
        <v>202</v>
      </c>
      <c r="E6" s="15" t="s">
        <v>6297</v>
      </c>
      <c r="F6" s="6" t="s">
        <v>6306</v>
      </c>
      <c r="G6" s="20" t="s">
        <v>8139</v>
      </c>
    </row>
    <row r="7" customFormat="false" ht="15" hidden="false" customHeight="true" outlineLevel="0" collapsed="false">
      <c r="A7" s="15" t="s">
        <v>6317</v>
      </c>
      <c r="B7" s="15" t="s">
        <v>8144</v>
      </c>
      <c r="C7" s="6" t="s">
        <v>8145</v>
      </c>
      <c r="D7" s="15" t="s">
        <v>202</v>
      </c>
      <c r="E7" s="15" t="s">
        <v>6313</v>
      </c>
      <c r="F7" s="6" t="s">
        <v>6314</v>
      </c>
      <c r="G7" s="20" t="s">
        <v>8139</v>
      </c>
    </row>
    <row r="8" customFormat="false" ht="15" hidden="false" customHeight="true" outlineLevel="0" collapsed="false">
      <c r="A8" s="15" t="s">
        <v>6336</v>
      </c>
      <c r="B8" s="15" t="s">
        <v>8146</v>
      </c>
      <c r="C8" s="6" t="s">
        <v>8147</v>
      </c>
      <c r="D8" s="15" t="s">
        <v>202</v>
      </c>
      <c r="E8" s="15" t="s">
        <v>1210</v>
      </c>
      <c r="F8" s="6" t="s">
        <v>6333</v>
      </c>
      <c r="G8" s="20" t="s">
        <v>8139</v>
      </c>
    </row>
    <row r="9" customFormat="false" ht="15" hidden="false" customHeight="true" outlineLevel="0" collapsed="false">
      <c r="A9" s="15" t="s">
        <v>6343</v>
      </c>
      <c r="B9" s="15" t="s">
        <v>8148</v>
      </c>
      <c r="C9" s="6" t="s">
        <v>8149</v>
      </c>
      <c r="D9" s="15" t="s">
        <v>202</v>
      </c>
      <c r="E9" s="15" t="s">
        <v>1210</v>
      </c>
      <c r="F9" s="6" t="s">
        <v>8150</v>
      </c>
      <c r="G9" s="20" t="s">
        <v>8139</v>
      </c>
    </row>
    <row r="10" customFormat="false" ht="29.25" hidden="false" customHeight="true" outlineLevel="0" collapsed="false">
      <c r="A10" s="15" t="s">
        <v>6351</v>
      </c>
      <c r="B10" s="15" t="s">
        <v>8151</v>
      </c>
      <c r="C10" s="6" t="s">
        <v>8152</v>
      </c>
      <c r="D10" s="15" t="s">
        <v>202</v>
      </c>
      <c r="E10" s="15" t="s">
        <v>6283</v>
      </c>
      <c r="F10" s="6" t="s">
        <v>6356</v>
      </c>
      <c r="G10" s="20" t="s">
        <v>8139</v>
      </c>
    </row>
    <row r="11" customFormat="false" ht="15" hidden="false" customHeight="true" outlineLevel="0" collapsed="false">
      <c r="A11" s="15" t="s">
        <v>6373</v>
      </c>
      <c r="B11" s="15" t="s">
        <v>6367</v>
      </c>
      <c r="C11" s="6" t="s">
        <v>8153</v>
      </c>
      <c r="D11" s="15" t="s">
        <v>202</v>
      </c>
      <c r="E11" s="15" t="s">
        <v>1207</v>
      </c>
      <c r="F11" s="6" t="s">
        <v>8154</v>
      </c>
      <c r="G11" s="20" t="s">
        <v>8139</v>
      </c>
    </row>
    <row r="12" customFormat="false" ht="15" hidden="false" customHeight="true" outlineLevel="0" collapsed="false">
      <c r="A12" s="15" t="s">
        <v>6383</v>
      </c>
      <c r="B12" s="15" t="s">
        <v>8155</v>
      </c>
      <c r="C12" s="6" t="s">
        <v>8156</v>
      </c>
      <c r="D12" s="15" t="s">
        <v>202</v>
      </c>
      <c r="E12" s="15" t="s">
        <v>8157</v>
      </c>
      <c r="F12" s="6" t="s">
        <v>6379</v>
      </c>
      <c r="G12" s="20" t="s">
        <v>8139</v>
      </c>
    </row>
    <row r="13" customFormat="false" ht="15" hidden="false" customHeight="true" outlineLevel="0" collapsed="false">
      <c r="A13" s="15" t="s">
        <v>6642</v>
      </c>
      <c r="B13" s="20" t="s">
        <v>8158</v>
      </c>
      <c r="C13" s="6" t="s">
        <v>8159</v>
      </c>
      <c r="D13" s="15" t="s">
        <v>94</v>
      </c>
      <c r="E13" s="15" t="s">
        <v>6283</v>
      </c>
      <c r="F13" s="6" t="s">
        <v>6639</v>
      </c>
      <c r="G13" s="20" t="s">
        <v>8139</v>
      </c>
    </row>
    <row r="14" customFormat="false" ht="15" hidden="false" customHeight="true" outlineLevel="0" collapsed="false">
      <c r="A14" s="15" t="s">
        <v>6404</v>
      </c>
      <c r="B14" s="15" t="s">
        <v>8160</v>
      </c>
      <c r="C14" s="19" t="s">
        <v>8161</v>
      </c>
      <c r="D14" s="15" t="s">
        <v>202</v>
      </c>
      <c r="E14" s="15" t="s">
        <v>6283</v>
      </c>
      <c r="F14" s="6" t="s">
        <v>6401</v>
      </c>
      <c r="G14" s="20" t="s">
        <v>8162</v>
      </c>
    </row>
    <row r="15" customFormat="false" ht="29.25" hidden="false" customHeight="true" outlineLevel="0" collapsed="false">
      <c r="A15" s="15" t="s">
        <v>6654</v>
      </c>
      <c r="B15" s="20" t="s">
        <v>8163</v>
      </c>
      <c r="C15" s="6" t="s">
        <v>8164</v>
      </c>
      <c r="D15" s="15" t="s">
        <v>94</v>
      </c>
      <c r="E15" s="15" t="s">
        <v>6283</v>
      </c>
      <c r="F15" s="6" t="s">
        <v>6652</v>
      </c>
      <c r="G15" s="20" t="s">
        <v>8139</v>
      </c>
    </row>
    <row r="16" customFormat="false" ht="26.25" hidden="false" customHeight="true" outlineLevel="0" collapsed="false">
      <c r="A16" s="15" t="s">
        <v>6667</v>
      </c>
      <c r="B16" s="20" t="s">
        <v>8165</v>
      </c>
      <c r="C16" s="6" t="s">
        <v>8166</v>
      </c>
      <c r="D16" s="15" t="s">
        <v>125</v>
      </c>
      <c r="E16" s="15" t="s">
        <v>6378</v>
      </c>
      <c r="F16" s="6" t="s">
        <v>6664</v>
      </c>
      <c r="G16" s="20" t="s">
        <v>8167</v>
      </c>
    </row>
    <row r="17" customFormat="false" ht="15" hidden="false" customHeight="true" outlineLevel="0" collapsed="false">
      <c r="A17" s="15" t="s">
        <v>8168</v>
      </c>
      <c r="B17" s="15" t="s">
        <v>92</v>
      </c>
      <c r="C17" s="19" t="s">
        <v>8169</v>
      </c>
      <c r="D17" s="15" t="s">
        <v>94</v>
      </c>
      <c r="E17" s="15" t="s">
        <v>604</v>
      </c>
      <c r="F17" s="6" t="s">
        <v>8170</v>
      </c>
      <c r="G17" s="20" t="s">
        <v>8139</v>
      </c>
    </row>
    <row r="18" customFormat="false" ht="29.25" hidden="false" customHeight="true" outlineLevel="0" collapsed="false">
      <c r="A18" s="15" t="s">
        <v>6676</v>
      </c>
      <c r="B18" s="15" t="s">
        <v>8171</v>
      </c>
      <c r="C18" s="6" t="s">
        <v>8172</v>
      </c>
      <c r="D18" s="15" t="s">
        <v>125</v>
      </c>
      <c r="E18" s="15" t="s">
        <v>6408</v>
      </c>
      <c r="F18" s="6" t="s">
        <v>6674</v>
      </c>
      <c r="G18" s="20" t="s">
        <v>8173</v>
      </c>
    </row>
    <row r="19" customFormat="false" ht="15" hidden="false" customHeight="true" outlineLevel="0" collapsed="false">
      <c r="A19" s="15" t="s">
        <v>6691</v>
      </c>
      <c r="B19" s="20" t="s">
        <v>8174</v>
      </c>
      <c r="C19" s="19" t="s">
        <v>8175</v>
      </c>
      <c r="D19" s="15" t="s">
        <v>202</v>
      </c>
      <c r="E19" s="15" t="s">
        <v>6687</v>
      </c>
      <c r="F19" s="6" t="s">
        <v>6688</v>
      </c>
      <c r="G19" s="20" t="s">
        <v>8176</v>
      </c>
    </row>
    <row r="20" customFormat="false" ht="15" hidden="false" customHeight="true" outlineLevel="0" collapsed="false">
      <c r="A20" s="15" t="s">
        <v>6701</v>
      </c>
      <c r="B20" s="15" t="s">
        <v>8177</v>
      </c>
      <c r="C20" s="6" t="s">
        <v>8178</v>
      </c>
      <c r="D20" s="15" t="s">
        <v>202</v>
      </c>
      <c r="E20" s="15" t="s">
        <v>6378</v>
      </c>
      <c r="F20" s="6" t="s">
        <v>6697</v>
      </c>
      <c r="G20" s="20" t="s">
        <v>6696</v>
      </c>
    </row>
    <row r="21" customFormat="false" ht="15" hidden="false" customHeight="true" outlineLevel="0" collapsed="false">
      <c r="A21" s="15" t="s">
        <v>7321</v>
      </c>
      <c r="B21" s="15" t="s">
        <v>8179</v>
      </c>
      <c r="C21" s="6" t="s">
        <v>8180</v>
      </c>
      <c r="D21" s="15" t="s">
        <v>125</v>
      </c>
      <c r="E21" s="15" t="s">
        <v>6378</v>
      </c>
      <c r="F21" s="6" t="s">
        <v>7318</v>
      </c>
      <c r="G21" s="20" t="s">
        <v>8139</v>
      </c>
    </row>
    <row r="22" customFormat="false" ht="15" hidden="false" customHeight="true" outlineLevel="0" collapsed="false">
      <c r="A22" s="15" t="s">
        <v>7331</v>
      </c>
      <c r="B22" s="20" t="s">
        <v>8181</v>
      </c>
      <c r="C22" s="6" t="s">
        <v>8182</v>
      </c>
      <c r="D22" s="15" t="s">
        <v>137</v>
      </c>
      <c r="E22" s="15" t="s">
        <v>1207</v>
      </c>
      <c r="F22" s="6" t="s">
        <v>7327</v>
      </c>
      <c r="G22" s="20" t="s">
        <v>7326</v>
      </c>
    </row>
    <row r="23" customFormat="false" ht="54.75" hidden="false" customHeight="true" outlineLevel="0" collapsed="false">
      <c r="A23" s="6" t="s">
        <v>450</v>
      </c>
      <c r="B23" s="6" t="s">
        <v>8183</v>
      </c>
      <c r="C23" s="6" t="s">
        <v>8184</v>
      </c>
      <c r="D23" s="6" t="s">
        <v>8185</v>
      </c>
      <c r="E23" s="6" t="s">
        <v>6378</v>
      </c>
      <c r="F23" s="6" t="s">
        <v>7031</v>
      </c>
      <c r="G23" s="5" t="s">
        <v>8186</v>
      </c>
    </row>
    <row r="24" customFormat="false" ht="43.5" hidden="false" customHeight="true" outlineLevel="0" collapsed="false">
      <c r="A24" s="6" t="s">
        <v>449</v>
      </c>
      <c r="B24" s="6" t="s">
        <v>8187</v>
      </c>
      <c r="C24" s="6" t="s">
        <v>8188</v>
      </c>
      <c r="D24" s="6" t="s">
        <v>8189</v>
      </c>
      <c r="E24" s="6" t="s">
        <v>7045</v>
      </c>
      <c r="F24" s="6" t="s">
        <v>7046</v>
      </c>
      <c r="G24" s="5" t="s">
        <v>8190</v>
      </c>
    </row>
    <row r="25" customFormat="false" ht="29.25" hidden="false" customHeight="true" outlineLevel="0" collapsed="false">
      <c r="A25" s="6" t="s">
        <v>448</v>
      </c>
      <c r="B25" s="6" t="s">
        <v>8191</v>
      </c>
      <c r="C25" s="6" t="s">
        <v>8192</v>
      </c>
      <c r="D25" s="6" t="s">
        <v>8193</v>
      </c>
      <c r="E25" s="5" t="s">
        <v>8194</v>
      </c>
      <c r="F25" s="6" t="s">
        <v>7069</v>
      </c>
      <c r="G25" s="5" t="s">
        <v>8195</v>
      </c>
    </row>
    <row r="26" customFormat="false" ht="29.25" hidden="false" customHeight="true" outlineLevel="0" collapsed="false">
      <c r="A26" s="6" t="s">
        <v>451</v>
      </c>
      <c r="B26" s="6" t="s">
        <v>8196</v>
      </c>
      <c r="C26" s="6" t="s">
        <v>8197</v>
      </c>
      <c r="D26" s="6" t="s">
        <v>8198</v>
      </c>
      <c r="E26" s="6" t="s">
        <v>7091</v>
      </c>
      <c r="F26" s="6" t="s">
        <v>7092</v>
      </c>
      <c r="G26" s="5" t="s">
        <v>8199</v>
      </c>
    </row>
    <row r="27" customFormat="false" ht="29.25" hidden="false" customHeight="true" outlineLevel="0" collapsed="false">
      <c r="A27" s="6" t="s">
        <v>7105</v>
      </c>
      <c r="B27" s="6" t="s">
        <v>8200</v>
      </c>
      <c r="C27" s="6" t="s">
        <v>8201</v>
      </c>
      <c r="D27" s="6" t="s">
        <v>8198</v>
      </c>
      <c r="E27" s="6" t="s">
        <v>1210</v>
      </c>
      <c r="F27" s="6" t="s">
        <v>7102</v>
      </c>
      <c r="G27" s="5" t="s">
        <v>8202</v>
      </c>
    </row>
    <row r="28" customFormat="false" ht="29.25" hidden="false" customHeight="true" outlineLevel="0" collapsed="false">
      <c r="A28" s="6" t="s">
        <v>7582</v>
      </c>
      <c r="B28" s="6" t="s">
        <v>8203</v>
      </c>
      <c r="C28" s="6" t="s">
        <v>8204</v>
      </c>
      <c r="D28" s="6" t="s">
        <v>8205</v>
      </c>
      <c r="E28" s="6" t="s">
        <v>6865</v>
      </c>
      <c r="F28" s="6" t="s">
        <v>7579</v>
      </c>
      <c r="G28" s="5" t="s">
        <v>8206</v>
      </c>
    </row>
    <row r="29" customFormat="false" ht="54.75" hidden="false" customHeight="true" outlineLevel="0" collapsed="false">
      <c r="A29" s="6" t="s">
        <v>7116</v>
      </c>
      <c r="B29" s="6" t="s">
        <v>8207</v>
      </c>
      <c r="C29" s="6" t="s">
        <v>8208</v>
      </c>
      <c r="D29" s="6" t="s">
        <v>8209</v>
      </c>
      <c r="E29" s="6" t="s">
        <v>1207</v>
      </c>
      <c r="F29" s="6" t="s">
        <v>7113</v>
      </c>
      <c r="G29" s="5" t="s">
        <v>8210</v>
      </c>
    </row>
    <row r="30" customFormat="false" ht="29.25" hidden="false" customHeight="true" outlineLevel="0" collapsed="false">
      <c r="A30" s="6" t="s">
        <v>3448</v>
      </c>
      <c r="B30" s="6" t="s">
        <v>8211</v>
      </c>
      <c r="C30" s="6" t="s">
        <v>8212</v>
      </c>
      <c r="D30" s="6" t="s">
        <v>125</v>
      </c>
      <c r="E30" s="6" t="s">
        <v>6283</v>
      </c>
      <c r="F30" s="6" t="s">
        <v>6745</v>
      </c>
      <c r="G30" s="5" t="s">
        <v>8213</v>
      </c>
    </row>
    <row r="31" customFormat="false" ht="43.5" hidden="false" customHeight="true" outlineLevel="0" collapsed="false">
      <c r="A31" s="6" t="s">
        <v>6413</v>
      </c>
      <c r="B31" s="6" t="s">
        <v>8214</v>
      </c>
      <c r="C31" s="6" t="s">
        <v>8215</v>
      </c>
      <c r="D31" s="6" t="s">
        <v>8216</v>
      </c>
      <c r="E31" s="6" t="s">
        <v>6408</v>
      </c>
      <c r="F31" s="5" t="s">
        <v>6409</v>
      </c>
      <c r="G31" s="5" t="s">
        <v>8217</v>
      </c>
    </row>
    <row r="32" customFormat="false" ht="15" hidden="false" customHeight="true" outlineLevel="0" collapsed="false">
      <c r="A32" s="6" t="s">
        <v>6462</v>
      </c>
      <c r="B32" s="5" t="s">
        <v>8218</v>
      </c>
      <c r="C32" s="6" t="s">
        <v>8219</v>
      </c>
      <c r="D32" s="6" t="s">
        <v>94</v>
      </c>
      <c r="E32" s="6" t="s">
        <v>604</v>
      </c>
      <c r="F32" s="5" t="s">
        <v>6459</v>
      </c>
      <c r="G32" s="5" t="s">
        <v>8139</v>
      </c>
    </row>
    <row r="33" customFormat="false" ht="29.25" hidden="false" customHeight="true" outlineLevel="0" collapsed="false">
      <c r="A33" s="6" t="s">
        <v>7149</v>
      </c>
      <c r="B33" s="6" t="s">
        <v>8220</v>
      </c>
      <c r="C33" s="6" t="s">
        <v>8221</v>
      </c>
      <c r="D33" s="6" t="s">
        <v>8222</v>
      </c>
      <c r="E33" s="6" t="s">
        <v>7144</v>
      </c>
      <c r="F33" s="6" t="s">
        <v>7145</v>
      </c>
      <c r="G33" s="5" t="s">
        <v>8206</v>
      </c>
    </row>
    <row r="34" customFormat="false" ht="69" hidden="false" customHeight="true" outlineLevel="0" collapsed="false">
      <c r="A34" s="6" t="s">
        <v>3434</v>
      </c>
      <c r="B34" s="6" t="s">
        <v>8223</v>
      </c>
      <c r="C34" s="6" t="s">
        <v>8224</v>
      </c>
      <c r="D34" s="6" t="s">
        <v>8225</v>
      </c>
      <c r="E34" s="6" t="s">
        <v>7160</v>
      </c>
      <c r="F34" s="6" t="s">
        <v>8226</v>
      </c>
      <c r="G34" s="5" t="s">
        <v>8227</v>
      </c>
    </row>
    <row r="35" customFormat="false" ht="29.25" hidden="false" customHeight="true" outlineLevel="0" collapsed="false">
      <c r="A35" s="6" t="s">
        <v>7176</v>
      </c>
      <c r="B35" s="6" t="s">
        <v>8228</v>
      </c>
      <c r="C35" s="5" t="s">
        <v>8229</v>
      </c>
      <c r="D35" s="6" t="s">
        <v>125</v>
      </c>
      <c r="E35" s="6" t="s">
        <v>8230</v>
      </c>
      <c r="F35" s="6" t="s">
        <v>7173</v>
      </c>
      <c r="G35" s="5" t="s">
        <v>8210</v>
      </c>
    </row>
    <row r="36" customFormat="false" ht="29.25" hidden="false" customHeight="true" outlineLevel="0" collapsed="false">
      <c r="A36" s="6" t="s">
        <v>8231</v>
      </c>
      <c r="B36" s="6" t="s">
        <v>8232</v>
      </c>
      <c r="C36" s="6" t="s">
        <v>8233</v>
      </c>
      <c r="D36" s="6" t="s">
        <v>8234</v>
      </c>
      <c r="E36" s="6" t="s">
        <v>6313</v>
      </c>
      <c r="F36" s="6" t="s">
        <v>8235</v>
      </c>
      <c r="G36" s="5" t="s">
        <v>8236</v>
      </c>
    </row>
    <row r="37" customFormat="false" ht="29.25" hidden="false" customHeight="true" outlineLevel="0" collapsed="false">
      <c r="A37" s="6" t="s">
        <v>6852</v>
      </c>
      <c r="B37" s="6" t="s">
        <v>8237</v>
      </c>
      <c r="C37" s="6" t="s">
        <v>8238</v>
      </c>
      <c r="D37" s="6" t="s">
        <v>8239</v>
      </c>
      <c r="E37" s="6" t="s">
        <v>6297</v>
      </c>
      <c r="F37" s="6" t="s">
        <v>6848</v>
      </c>
      <c r="G37" s="5" t="s">
        <v>8240</v>
      </c>
    </row>
    <row r="38" customFormat="false" ht="29.25" hidden="false" customHeight="true" outlineLevel="0" collapsed="false">
      <c r="A38" s="6" t="s">
        <v>6481</v>
      </c>
      <c r="B38" s="6" t="s">
        <v>8241</v>
      </c>
      <c r="C38" s="6" t="s">
        <v>8242</v>
      </c>
      <c r="D38" s="6" t="s">
        <v>8216</v>
      </c>
      <c r="E38" s="6" t="s">
        <v>6283</v>
      </c>
      <c r="F38" s="6" t="s">
        <v>6477</v>
      </c>
      <c r="G38" s="5" t="s">
        <v>8243</v>
      </c>
    </row>
    <row r="39" customFormat="false" ht="29.25" hidden="false" customHeight="true" outlineLevel="0" collapsed="false">
      <c r="A39" s="6" t="s">
        <v>7202</v>
      </c>
      <c r="B39" s="6" t="s">
        <v>8244</v>
      </c>
      <c r="C39" s="6" t="s">
        <v>8245</v>
      </c>
      <c r="D39" s="6" t="s">
        <v>8246</v>
      </c>
      <c r="E39" s="6" t="s">
        <v>7198</v>
      </c>
      <c r="F39" s="6" t="s">
        <v>7199</v>
      </c>
      <c r="G39" s="5" t="s">
        <v>8139</v>
      </c>
    </row>
    <row r="40" customFormat="false" ht="57.75" hidden="false" customHeight="true" outlineLevel="0" collapsed="false">
      <c r="A40" s="6" t="s">
        <v>7649</v>
      </c>
      <c r="B40" s="6" t="s">
        <v>8247</v>
      </c>
      <c r="C40" s="5" t="s">
        <v>8248</v>
      </c>
      <c r="D40" s="6" t="s">
        <v>8249</v>
      </c>
      <c r="E40" s="6" t="s">
        <v>6313</v>
      </c>
      <c r="F40" s="6" t="s">
        <v>7646</v>
      </c>
      <c r="G40" s="5" t="s">
        <v>8210</v>
      </c>
    </row>
    <row r="41" customFormat="false" ht="29.25" hidden="false" customHeight="true" outlineLevel="0" collapsed="false">
      <c r="A41" s="6" t="s">
        <v>6870</v>
      </c>
      <c r="B41" s="6" t="s">
        <v>8250</v>
      </c>
      <c r="C41" s="6" t="s">
        <v>8251</v>
      </c>
      <c r="D41" s="6" t="s">
        <v>8252</v>
      </c>
      <c r="E41" s="6" t="s">
        <v>6865</v>
      </c>
      <c r="F41" s="6" t="s">
        <v>6866</v>
      </c>
      <c r="G41" s="5" t="s">
        <v>8210</v>
      </c>
    </row>
    <row r="42" customFormat="false" ht="43.5" hidden="false" customHeight="true" outlineLevel="0" collapsed="false">
      <c r="A42" s="6" t="s">
        <v>6881</v>
      </c>
      <c r="B42" s="6" t="s">
        <v>8253</v>
      </c>
      <c r="C42" s="6" t="s">
        <v>8254</v>
      </c>
      <c r="D42" s="6" t="s">
        <v>8255</v>
      </c>
      <c r="E42" s="6" t="s">
        <v>8256</v>
      </c>
      <c r="F42" s="6" t="s">
        <v>6878</v>
      </c>
      <c r="G42" s="5" t="s">
        <v>8257</v>
      </c>
    </row>
    <row r="43" customFormat="false" ht="29.25" hidden="false" customHeight="true" outlineLevel="0" collapsed="false">
      <c r="A43" s="6" t="s">
        <v>6893</v>
      </c>
      <c r="B43" s="6" t="s">
        <v>8258</v>
      </c>
      <c r="C43" s="6" t="s">
        <v>8259</v>
      </c>
      <c r="D43" s="6" t="s">
        <v>8260</v>
      </c>
      <c r="E43" s="6" t="s">
        <v>6889</v>
      </c>
      <c r="F43" s="6" t="s">
        <v>6890</v>
      </c>
      <c r="G43" s="5" t="s">
        <v>8210</v>
      </c>
    </row>
    <row r="44" customFormat="false" ht="40.5" hidden="false" customHeight="true" outlineLevel="0" collapsed="false">
      <c r="A44" s="6" t="s">
        <v>6901</v>
      </c>
      <c r="B44" s="6" t="s">
        <v>8261</v>
      </c>
      <c r="C44" s="5" t="s">
        <v>8262</v>
      </c>
      <c r="D44" s="6" t="s">
        <v>8263</v>
      </c>
      <c r="E44" s="6" t="s">
        <v>6897</v>
      </c>
      <c r="F44" s="6" t="s">
        <v>6898</v>
      </c>
      <c r="G44" s="5" t="s">
        <v>8264</v>
      </c>
    </row>
    <row r="45" customFormat="false" ht="29.25" hidden="false" customHeight="true" outlineLevel="0" collapsed="false">
      <c r="A45" s="6" t="s">
        <v>8265</v>
      </c>
      <c r="B45" s="6" t="s">
        <v>8266</v>
      </c>
      <c r="C45" s="6" t="s">
        <v>8267</v>
      </c>
      <c r="D45" s="6" t="s">
        <v>8268</v>
      </c>
      <c r="E45" s="6" t="s">
        <v>6283</v>
      </c>
      <c r="F45" s="6" t="s">
        <v>8269</v>
      </c>
      <c r="G45" s="5" t="s">
        <v>8270</v>
      </c>
    </row>
    <row r="46" customFormat="false" ht="29.25" hidden="false" customHeight="true" outlineLevel="0" collapsed="false">
      <c r="A46" s="6" t="s">
        <v>969</v>
      </c>
      <c r="B46" s="6" t="s">
        <v>8271</v>
      </c>
      <c r="C46" s="5" t="s">
        <v>8272</v>
      </c>
      <c r="D46" s="6" t="s">
        <v>8239</v>
      </c>
      <c r="E46" s="6" t="s">
        <v>6911</v>
      </c>
      <c r="F46" s="6" t="s">
        <v>6912</v>
      </c>
      <c r="G46" s="6" t="s">
        <v>8273</v>
      </c>
    </row>
    <row r="47" customFormat="false" ht="29.25" hidden="false" customHeight="true" outlineLevel="0" collapsed="false">
      <c r="A47" s="6" t="s">
        <v>6930</v>
      </c>
      <c r="B47" s="6" t="s">
        <v>8274</v>
      </c>
      <c r="C47" s="5" t="s">
        <v>8275</v>
      </c>
      <c r="D47" s="6" t="s">
        <v>8239</v>
      </c>
      <c r="E47" s="6" t="s">
        <v>1207</v>
      </c>
      <c r="F47" s="6" t="s">
        <v>6928</v>
      </c>
      <c r="G47" s="5" t="s">
        <v>8240</v>
      </c>
    </row>
    <row r="48" customFormat="false" ht="29.25" hidden="false" customHeight="true" outlineLevel="0" collapsed="false">
      <c r="A48" s="6" t="s">
        <v>6940</v>
      </c>
      <c r="B48" s="6" t="s">
        <v>8276</v>
      </c>
      <c r="C48" s="5" t="s">
        <v>8277</v>
      </c>
      <c r="D48" s="6" t="s">
        <v>8278</v>
      </c>
      <c r="E48" s="6" t="s">
        <v>6936</v>
      </c>
      <c r="F48" s="6" t="s">
        <v>6937</v>
      </c>
      <c r="G48" s="5" t="s">
        <v>8240</v>
      </c>
    </row>
    <row r="49" customFormat="false" ht="29.25" hidden="false" customHeight="true" outlineLevel="0" collapsed="false">
      <c r="A49" s="6" t="s">
        <v>6945</v>
      </c>
      <c r="B49" s="6" t="s">
        <v>8279</v>
      </c>
      <c r="C49" s="5" t="s">
        <v>8280</v>
      </c>
      <c r="D49" s="6" t="s">
        <v>8281</v>
      </c>
      <c r="E49" s="6" t="s">
        <v>6877</v>
      </c>
      <c r="F49" s="6" t="s">
        <v>6943</v>
      </c>
      <c r="G49" s="5" t="s">
        <v>8257</v>
      </c>
    </row>
    <row r="50" customFormat="false" ht="29.25" hidden="false" customHeight="true" outlineLevel="0" collapsed="false">
      <c r="A50" s="6" t="s">
        <v>6954</v>
      </c>
      <c r="B50" s="6" t="s">
        <v>8282</v>
      </c>
      <c r="C50" s="6" t="s">
        <v>8283</v>
      </c>
      <c r="D50" s="6" t="s">
        <v>8246</v>
      </c>
      <c r="E50" s="6" t="s">
        <v>6897</v>
      </c>
      <c r="F50" s="6" t="s">
        <v>6951</v>
      </c>
      <c r="G50" s="5" t="s">
        <v>8210</v>
      </c>
    </row>
    <row r="51" customFormat="false" ht="29.25" hidden="false" customHeight="true" outlineLevel="0" collapsed="false">
      <c r="A51" s="6" t="s">
        <v>7216</v>
      </c>
      <c r="B51" s="6" t="s">
        <v>8284</v>
      </c>
      <c r="C51" s="6" t="s">
        <v>8285</v>
      </c>
      <c r="D51" s="6" t="s">
        <v>8286</v>
      </c>
      <c r="E51" s="6" t="s">
        <v>8287</v>
      </c>
      <c r="F51" s="6" t="s">
        <v>7213</v>
      </c>
      <c r="G51" s="5" t="s">
        <v>8288</v>
      </c>
    </row>
    <row r="52" customFormat="false" ht="29.25" hidden="false" customHeight="true" outlineLevel="0" collapsed="false">
      <c r="A52" s="6" t="s">
        <v>7138</v>
      </c>
      <c r="B52" s="6" t="s">
        <v>8289</v>
      </c>
      <c r="C52" s="6" t="s">
        <v>8290</v>
      </c>
      <c r="D52" s="6" t="s">
        <v>8239</v>
      </c>
      <c r="E52" s="6" t="s">
        <v>7134</v>
      </c>
      <c r="F52" s="6" t="s">
        <v>7135</v>
      </c>
      <c r="G52" s="5" t="s">
        <v>8139</v>
      </c>
    </row>
    <row r="53" customFormat="false" ht="29.25" hidden="false" customHeight="true" outlineLevel="0" collapsed="false">
      <c r="A53" s="6" t="s">
        <v>7340</v>
      </c>
      <c r="B53" s="6" t="s">
        <v>8291</v>
      </c>
      <c r="C53" s="6" t="s">
        <v>8292</v>
      </c>
      <c r="D53" s="6" t="s">
        <v>125</v>
      </c>
      <c r="E53" s="6" t="s">
        <v>1198</v>
      </c>
      <c r="F53" s="6" t="s">
        <v>7337</v>
      </c>
      <c r="G53" s="5" t="s">
        <v>8210</v>
      </c>
    </row>
    <row r="54" customFormat="false" ht="72" hidden="false" customHeight="true" outlineLevel="0" collapsed="false">
      <c r="A54" s="6" t="s">
        <v>7371</v>
      </c>
      <c r="B54" s="6" t="s">
        <v>8293</v>
      </c>
      <c r="C54" s="6" t="s">
        <v>8294</v>
      </c>
      <c r="D54" s="6" t="s">
        <v>8295</v>
      </c>
      <c r="E54" s="6" t="s">
        <v>8296</v>
      </c>
      <c r="F54" s="6" t="s">
        <v>7368</v>
      </c>
      <c r="G54" s="5" t="s">
        <v>8297</v>
      </c>
    </row>
    <row r="55" customFormat="false" ht="29.25" hidden="false" customHeight="true" outlineLevel="0" collapsed="false">
      <c r="A55" s="6" t="s">
        <v>3488</v>
      </c>
      <c r="B55" s="6" t="s">
        <v>8298</v>
      </c>
      <c r="C55" s="6" t="s">
        <v>8299</v>
      </c>
      <c r="D55" s="6" t="s">
        <v>125</v>
      </c>
      <c r="E55" s="6" t="s">
        <v>1219</v>
      </c>
      <c r="F55" s="6" t="s">
        <v>7403</v>
      </c>
      <c r="G55" s="5" t="s">
        <v>8300</v>
      </c>
    </row>
    <row r="56" customFormat="false" ht="29.25" hidden="false" customHeight="true" outlineLevel="0" collapsed="false">
      <c r="A56" s="6" t="s">
        <v>7436</v>
      </c>
      <c r="B56" s="6" t="s">
        <v>8301</v>
      </c>
      <c r="C56" s="6" t="s">
        <v>8302</v>
      </c>
      <c r="D56" s="6" t="s">
        <v>125</v>
      </c>
      <c r="E56" s="6" t="s">
        <v>1219</v>
      </c>
      <c r="F56" s="6" t="s">
        <v>7433</v>
      </c>
      <c r="G56" s="5" t="s">
        <v>8190</v>
      </c>
    </row>
    <row r="57" customFormat="false" ht="43.5" hidden="false" customHeight="true" outlineLevel="0" collapsed="false">
      <c r="A57" s="6" t="s">
        <v>7458</v>
      </c>
      <c r="B57" s="6" t="s">
        <v>8303</v>
      </c>
      <c r="C57" s="6" t="s">
        <v>8304</v>
      </c>
      <c r="D57" s="6" t="s">
        <v>8305</v>
      </c>
      <c r="E57" s="6" t="s">
        <v>8296</v>
      </c>
      <c r="F57" s="6" t="s">
        <v>7455</v>
      </c>
      <c r="G57" s="5" t="s">
        <v>8306</v>
      </c>
    </row>
    <row r="58" customFormat="false" ht="54.75" hidden="false" customHeight="true" outlineLevel="0" collapsed="false">
      <c r="A58" s="6" t="s">
        <v>7495</v>
      </c>
      <c r="B58" s="6" t="s">
        <v>8307</v>
      </c>
      <c r="C58" s="6" t="s">
        <v>8308</v>
      </c>
      <c r="D58" s="6" t="s">
        <v>8309</v>
      </c>
      <c r="E58" s="6" t="s">
        <v>1207</v>
      </c>
      <c r="F58" s="6" t="s">
        <v>7492</v>
      </c>
      <c r="G58" s="5" t="s">
        <v>8310</v>
      </c>
    </row>
    <row r="59" customFormat="false" ht="29.25" hidden="false" customHeight="true" outlineLevel="0" collapsed="false">
      <c r="A59" s="6" t="s">
        <v>7521</v>
      </c>
      <c r="B59" s="6" t="s">
        <v>8311</v>
      </c>
      <c r="C59" s="6" t="s">
        <v>8312</v>
      </c>
      <c r="D59" s="6" t="s">
        <v>328</v>
      </c>
      <c r="E59" s="6" t="s">
        <v>1207</v>
      </c>
      <c r="F59" s="6" t="s">
        <v>7518</v>
      </c>
      <c r="G59" s="5" t="s">
        <v>8313</v>
      </c>
    </row>
    <row r="60" customFormat="false" ht="72" hidden="false" customHeight="true" outlineLevel="0" collapsed="false">
      <c r="A60" s="6" t="s">
        <v>7661</v>
      </c>
      <c r="B60" s="6" t="s">
        <v>8314</v>
      </c>
      <c r="C60" s="5" t="s">
        <v>8315</v>
      </c>
      <c r="D60" s="6" t="s">
        <v>8316</v>
      </c>
      <c r="E60" s="6" t="s">
        <v>6283</v>
      </c>
      <c r="F60" s="6" t="s">
        <v>7658</v>
      </c>
      <c r="G60" s="5" t="s">
        <v>8317</v>
      </c>
    </row>
    <row r="61" customFormat="false" ht="83.25" hidden="false" customHeight="true" outlineLevel="0" collapsed="false">
      <c r="A61" s="6" t="s">
        <v>1896</v>
      </c>
      <c r="B61" s="6" t="s">
        <v>8318</v>
      </c>
      <c r="C61" s="6" t="s">
        <v>8319</v>
      </c>
      <c r="D61" s="6" t="s">
        <v>8320</v>
      </c>
      <c r="E61" s="6" t="s">
        <v>1207</v>
      </c>
      <c r="F61" s="6" t="s">
        <v>7589</v>
      </c>
      <c r="G61" s="6" t="s">
        <v>8321</v>
      </c>
    </row>
    <row r="62" customFormat="false" ht="57.75" hidden="false" customHeight="true" outlineLevel="0" collapsed="false">
      <c r="A62" s="6" t="s">
        <v>1915</v>
      </c>
      <c r="B62" s="6" t="s">
        <v>8322</v>
      </c>
      <c r="C62" s="6" t="s">
        <v>8323</v>
      </c>
      <c r="D62" s="6" t="s">
        <v>8324</v>
      </c>
      <c r="E62" s="6" t="s">
        <v>8325</v>
      </c>
      <c r="F62" s="6" t="s">
        <v>7540</v>
      </c>
      <c r="G62" s="6" t="s">
        <v>8326</v>
      </c>
    </row>
    <row r="63" customFormat="false" ht="40.5" hidden="false" customHeight="true" outlineLevel="0" collapsed="false">
      <c r="A63" s="6" t="s">
        <v>7630</v>
      </c>
      <c r="B63" s="6" t="s">
        <v>8327</v>
      </c>
      <c r="C63" s="6" t="s">
        <v>8328</v>
      </c>
      <c r="D63" s="6" t="s">
        <v>8329</v>
      </c>
      <c r="E63" s="6" t="s">
        <v>1207</v>
      </c>
      <c r="F63" s="6" t="s">
        <v>7627</v>
      </c>
      <c r="G63" s="5" t="s">
        <v>8330</v>
      </c>
    </row>
    <row r="64" customFormat="false" ht="29.25" hidden="false" customHeight="true" outlineLevel="0" collapsed="false">
      <c r="A64" s="6" t="s">
        <v>7640</v>
      </c>
      <c r="B64" s="6" t="s">
        <v>8331</v>
      </c>
      <c r="C64" s="6" t="s">
        <v>8332</v>
      </c>
      <c r="D64" s="6" t="s">
        <v>8333</v>
      </c>
      <c r="E64" s="6" t="s">
        <v>1207</v>
      </c>
      <c r="F64" s="6" t="s">
        <v>7637</v>
      </c>
      <c r="G64" s="5" t="s">
        <v>8334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8" t="s">
        <v>8335</v>
      </c>
    </row>
    <row r="2" customFormat="false" ht="15" hidden="false" customHeight="true" outlineLevel="0" collapsed="false">
      <c r="A2" s="230" t="s">
        <v>8336</v>
      </c>
    </row>
    <row r="3" customFormat="false" ht="15" hidden="false" customHeight="true" outlineLevel="0" collapsed="false">
      <c r="A3" s="42" t="s">
        <v>8337</v>
      </c>
    </row>
    <row r="4" customFormat="false" ht="15" hidden="false" customHeight="true" outlineLevel="0" collapsed="false">
      <c r="A4" s="82" t="s">
        <v>583</v>
      </c>
      <c r="B4" s="219" t="s">
        <v>5588</v>
      </c>
      <c r="C4" s="219" t="s">
        <v>8338</v>
      </c>
      <c r="D4" s="219" t="s">
        <v>8339</v>
      </c>
      <c r="E4" s="219" t="s">
        <v>77</v>
      </c>
      <c r="F4" s="219" t="s">
        <v>8340</v>
      </c>
      <c r="G4" s="82" t="s">
        <v>8341</v>
      </c>
      <c r="H4" s="219" t="s">
        <v>8342</v>
      </c>
      <c r="I4" s="219" t="s">
        <v>8343</v>
      </c>
      <c r="J4" s="219" t="s">
        <v>8344</v>
      </c>
      <c r="K4" s="219" t="s">
        <v>6262</v>
      </c>
      <c r="L4" s="219" t="s">
        <v>8345</v>
      </c>
      <c r="M4" s="219" t="s">
        <v>8346</v>
      </c>
      <c r="N4" s="219" t="s">
        <v>6255</v>
      </c>
      <c r="O4" s="219" t="s">
        <v>8347</v>
      </c>
      <c r="P4" s="219" t="s">
        <v>5762</v>
      </c>
      <c r="Q4" s="219" t="s">
        <v>6252</v>
      </c>
    </row>
    <row r="5" customFormat="false" ht="30" hidden="false" customHeight="true" outlineLevel="0" collapsed="false">
      <c r="A5" s="223" t="s">
        <v>6497</v>
      </c>
      <c r="B5" s="223" t="s">
        <v>5649</v>
      </c>
      <c r="C5" s="232" t="s">
        <v>8348</v>
      </c>
      <c r="D5" s="223" t="s">
        <v>8349</v>
      </c>
      <c r="E5" s="223" t="s">
        <v>202</v>
      </c>
      <c r="F5" s="232" t="s">
        <v>8350</v>
      </c>
      <c r="G5" s="223" t="s">
        <v>8351</v>
      </c>
      <c r="H5" s="223" t="s">
        <v>8352</v>
      </c>
      <c r="I5" s="233" t="s">
        <v>8353</v>
      </c>
      <c r="J5" s="223" t="s">
        <v>8354</v>
      </c>
      <c r="K5" s="232" t="s">
        <v>8355</v>
      </c>
      <c r="L5" s="221" t="s">
        <v>8356</v>
      </c>
      <c r="M5" s="6" t="s">
        <v>8357</v>
      </c>
      <c r="N5" s="28" t="s">
        <v>604</v>
      </c>
      <c r="O5" s="28" t="s">
        <v>604</v>
      </c>
      <c r="P5" s="28" t="s">
        <v>604</v>
      </c>
      <c r="Q5" s="6" t="s">
        <v>604</v>
      </c>
    </row>
    <row r="6" customFormat="false" ht="30" hidden="false" customHeight="true" outlineLevel="0" collapsed="false">
      <c r="A6" s="223" t="s">
        <v>8358</v>
      </c>
      <c r="B6" s="223" t="s">
        <v>5649</v>
      </c>
      <c r="C6" s="232" t="s">
        <v>8359</v>
      </c>
      <c r="D6" s="223" t="s">
        <v>6852</v>
      </c>
      <c r="E6" s="223" t="s">
        <v>125</v>
      </c>
      <c r="F6" s="232" t="s">
        <v>8360</v>
      </c>
      <c r="G6" s="233" t="s">
        <v>8361</v>
      </c>
      <c r="H6" s="223" t="s">
        <v>8362</v>
      </c>
      <c r="I6" s="233" t="s">
        <v>8353</v>
      </c>
      <c r="J6" s="223" t="s">
        <v>8354</v>
      </c>
      <c r="K6" s="232"/>
      <c r="L6" s="221" t="s">
        <v>8356</v>
      </c>
      <c r="M6" s="6" t="s">
        <v>8363</v>
      </c>
      <c r="N6" s="28" t="s">
        <v>604</v>
      </c>
      <c r="O6" s="28" t="s">
        <v>604</v>
      </c>
      <c r="P6" s="28" t="s">
        <v>604</v>
      </c>
      <c r="Q6" s="6" t="s">
        <v>604</v>
      </c>
    </row>
    <row r="7" customFormat="false" ht="30" hidden="false" customHeight="true" outlineLevel="0" collapsed="false">
      <c r="A7" s="223" t="s">
        <v>8364</v>
      </c>
      <c r="B7" s="223" t="s">
        <v>5649</v>
      </c>
      <c r="C7" s="232" t="s">
        <v>8365</v>
      </c>
      <c r="D7" s="223" t="s">
        <v>6481</v>
      </c>
      <c r="E7" s="223" t="s">
        <v>202</v>
      </c>
      <c r="F7" s="232" t="s">
        <v>8366</v>
      </c>
      <c r="G7" s="233" t="s">
        <v>8361</v>
      </c>
      <c r="H7" s="223" t="s">
        <v>8367</v>
      </c>
      <c r="I7" s="233" t="s">
        <v>8353</v>
      </c>
      <c r="J7" s="223" t="s">
        <v>8354</v>
      </c>
      <c r="K7" s="232"/>
      <c r="L7" s="221" t="s">
        <v>8356</v>
      </c>
      <c r="M7" s="6" t="s">
        <v>8368</v>
      </c>
      <c r="N7" s="28" t="s">
        <v>604</v>
      </c>
      <c r="O7" s="28" t="s">
        <v>604</v>
      </c>
      <c r="P7" s="28" t="s">
        <v>604</v>
      </c>
      <c r="Q7" s="6" t="s">
        <v>604</v>
      </c>
    </row>
    <row r="8" customFormat="false" ht="30" hidden="false" customHeight="true" outlineLevel="0" collapsed="false">
      <c r="A8" s="223" t="s">
        <v>8369</v>
      </c>
      <c r="B8" s="223" t="s">
        <v>5649</v>
      </c>
      <c r="C8" s="234" t="s">
        <v>8370</v>
      </c>
      <c r="D8" s="223" t="s">
        <v>7649</v>
      </c>
      <c r="E8" s="223" t="s">
        <v>94</v>
      </c>
      <c r="F8" s="232" t="s">
        <v>8371</v>
      </c>
      <c r="G8" s="233" t="s">
        <v>8361</v>
      </c>
      <c r="H8" s="223" t="s">
        <v>8372</v>
      </c>
      <c r="I8" s="233" t="s">
        <v>8373</v>
      </c>
      <c r="J8" s="223" t="s">
        <v>8354</v>
      </c>
      <c r="K8" s="234" t="s">
        <v>8374</v>
      </c>
      <c r="L8" s="221" t="s">
        <v>8356</v>
      </c>
      <c r="M8" s="6" t="s">
        <v>8375</v>
      </c>
      <c r="N8" s="28" t="s">
        <v>604</v>
      </c>
      <c r="O8" s="28" t="s">
        <v>604</v>
      </c>
      <c r="P8" s="28" t="s">
        <v>604</v>
      </c>
      <c r="Q8" s="6" t="s">
        <v>604</v>
      </c>
    </row>
    <row r="9" customFormat="false" ht="30" hidden="false" customHeight="true" outlineLevel="0" collapsed="false">
      <c r="A9" s="223" t="s">
        <v>8376</v>
      </c>
      <c r="B9" s="223" t="s">
        <v>5649</v>
      </c>
      <c r="C9" s="232" t="s">
        <v>8377</v>
      </c>
      <c r="D9" s="223" t="s">
        <v>6901</v>
      </c>
      <c r="E9" s="223" t="s">
        <v>202</v>
      </c>
      <c r="F9" s="232" t="s">
        <v>8378</v>
      </c>
      <c r="G9" s="223" t="s">
        <v>604</v>
      </c>
      <c r="H9" s="223" t="s">
        <v>8379</v>
      </c>
      <c r="I9" s="233" t="s">
        <v>8380</v>
      </c>
      <c r="J9" s="223" t="s">
        <v>8354</v>
      </c>
      <c r="K9" s="234" t="s">
        <v>8381</v>
      </c>
      <c r="L9" s="221" t="s">
        <v>8356</v>
      </c>
      <c r="M9" s="6" t="s">
        <v>8382</v>
      </c>
      <c r="N9" s="28" t="s">
        <v>604</v>
      </c>
      <c r="O9" s="28" t="s">
        <v>604</v>
      </c>
      <c r="P9" s="28" t="s">
        <v>604</v>
      </c>
      <c r="Q9" s="6" t="s">
        <v>604</v>
      </c>
    </row>
    <row r="10" customFormat="false" ht="30" hidden="false" customHeight="true" outlineLevel="0" collapsed="false">
      <c r="A10" s="223" t="s">
        <v>8383</v>
      </c>
      <c r="B10" s="223" t="s">
        <v>5649</v>
      </c>
      <c r="C10" s="234" t="s">
        <v>8384</v>
      </c>
      <c r="D10" s="223" t="s">
        <v>6870</v>
      </c>
      <c r="E10" s="223" t="s">
        <v>94</v>
      </c>
      <c r="F10" s="232" t="s">
        <v>8385</v>
      </c>
      <c r="G10" s="223" t="s">
        <v>8386</v>
      </c>
      <c r="H10" s="233" t="s">
        <v>8387</v>
      </c>
      <c r="I10" s="233" t="s">
        <v>1213</v>
      </c>
      <c r="J10" s="223" t="s">
        <v>604</v>
      </c>
      <c r="K10" s="232" t="s">
        <v>8388</v>
      </c>
      <c r="L10" s="221" t="s">
        <v>8389</v>
      </c>
      <c r="M10" s="6" t="s">
        <v>5193</v>
      </c>
      <c r="N10" s="28" t="s">
        <v>604</v>
      </c>
      <c r="O10" s="28" t="s">
        <v>604</v>
      </c>
      <c r="P10" s="28" t="s">
        <v>604</v>
      </c>
      <c r="Q10" s="6" t="s">
        <v>604</v>
      </c>
    </row>
    <row r="11" customFormat="false" ht="30" hidden="false" customHeight="true" outlineLevel="0" collapsed="false">
      <c r="A11" s="223" t="s">
        <v>8390</v>
      </c>
      <c r="B11" s="223" t="s">
        <v>1219</v>
      </c>
      <c r="C11" s="234" t="s">
        <v>8391</v>
      </c>
      <c r="D11" s="223" t="s">
        <v>8392</v>
      </c>
      <c r="E11" s="223" t="s">
        <v>202</v>
      </c>
      <c r="F11" s="232" t="s">
        <v>8393</v>
      </c>
      <c r="G11" s="223" t="s">
        <v>8394</v>
      </c>
      <c r="H11" s="223" t="s">
        <v>8395</v>
      </c>
      <c r="I11" s="233" t="s">
        <v>8353</v>
      </c>
      <c r="J11" s="223" t="s">
        <v>8396</v>
      </c>
      <c r="K11" s="232" t="s">
        <v>8397</v>
      </c>
      <c r="L11" s="221" t="s">
        <v>8356</v>
      </c>
      <c r="M11" s="6" t="s">
        <v>8398</v>
      </c>
      <c r="N11" s="28" t="s">
        <v>604</v>
      </c>
      <c r="O11" s="28" t="s">
        <v>604</v>
      </c>
      <c r="P11" s="28" t="s">
        <v>604</v>
      </c>
      <c r="Q11" s="6" t="s">
        <v>604</v>
      </c>
    </row>
    <row r="12" customFormat="false" ht="30" hidden="false" customHeight="true" outlineLevel="0" collapsed="false">
      <c r="A12" s="223" t="s">
        <v>8399</v>
      </c>
      <c r="B12" s="223" t="s">
        <v>1219</v>
      </c>
      <c r="C12" s="234" t="s">
        <v>8400</v>
      </c>
      <c r="D12" s="223" t="s">
        <v>8265</v>
      </c>
      <c r="E12" s="223" t="s">
        <v>125</v>
      </c>
      <c r="F12" s="232" t="s">
        <v>8401</v>
      </c>
      <c r="G12" s="223" t="s">
        <v>8402</v>
      </c>
      <c r="H12" s="223" t="s">
        <v>208</v>
      </c>
      <c r="I12" s="233" t="s">
        <v>8403</v>
      </c>
      <c r="J12" s="223" t="s">
        <v>8354</v>
      </c>
      <c r="K12" s="234" t="s">
        <v>8404</v>
      </c>
      <c r="L12" s="221" t="s">
        <v>8356</v>
      </c>
      <c r="M12" s="6" t="s">
        <v>604</v>
      </c>
      <c r="N12" s="28" t="s">
        <v>604</v>
      </c>
      <c r="O12" s="28" t="s">
        <v>604</v>
      </c>
      <c r="P12" s="28" t="s">
        <v>604</v>
      </c>
      <c r="Q12" s="19" t="s">
        <v>8405</v>
      </c>
    </row>
    <row r="13" customFormat="false" ht="30" hidden="false" customHeight="true" outlineLevel="0" collapsed="false">
      <c r="A13" s="223" t="s">
        <v>8406</v>
      </c>
      <c r="B13" s="223" t="s">
        <v>1219</v>
      </c>
      <c r="C13" s="232" t="s">
        <v>8407</v>
      </c>
      <c r="D13" s="223" t="s">
        <v>7216</v>
      </c>
      <c r="E13" s="223" t="s">
        <v>94</v>
      </c>
      <c r="F13" s="232" t="s">
        <v>8408</v>
      </c>
      <c r="G13" s="223" t="s">
        <v>604</v>
      </c>
      <c r="H13" s="233" t="s">
        <v>8409</v>
      </c>
      <c r="I13" s="233" t="s">
        <v>8380</v>
      </c>
      <c r="J13" s="223" t="s">
        <v>8396</v>
      </c>
      <c r="K13" s="234" t="s">
        <v>8410</v>
      </c>
      <c r="L13" s="221" t="s">
        <v>8356</v>
      </c>
      <c r="M13" s="6" t="s">
        <v>8411</v>
      </c>
      <c r="N13" s="28" t="s">
        <v>604</v>
      </c>
      <c r="O13" s="28" t="s">
        <v>604</v>
      </c>
      <c r="P13" s="28" t="s">
        <v>604</v>
      </c>
      <c r="Q13" s="6" t="s">
        <v>604</v>
      </c>
    </row>
    <row r="14" customFormat="false" ht="30" hidden="false" customHeight="true" outlineLevel="0" collapsed="false">
      <c r="A14" s="223" t="s">
        <v>8412</v>
      </c>
      <c r="B14" s="223" t="s">
        <v>1219</v>
      </c>
      <c r="C14" s="232" t="s">
        <v>8413</v>
      </c>
      <c r="D14" s="223" t="s">
        <v>7661</v>
      </c>
      <c r="E14" s="223" t="s">
        <v>202</v>
      </c>
      <c r="F14" s="232" t="s">
        <v>8414</v>
      </c>
      <c r="G14" s="233" t="s">
        <v>8361</v>
      </c>
      <c r="H14" s="223" t="s">
        <v>8415</v>
      </c>
      <c r="I14" s="233" t="s">
        <v>8353</v>
      </c>
      <c r="J14" s="223" t="s">
        <v>8416</v>
      </c>
      <c r="K14" s="234" t="s">
        <v>8417</v>
      </c>
      <c r="L14" s="221" t="s">
        <v>8356</v>
      </c>
      <c r="M14" s="6" t="s">
        <v>8418</v>
      </c>
      <c r="N14" s="28" t="s">
        <v>604</v>
      </c>
      <c r="O14" s="28" t="s">
        <v>604</v>
      </c>
      <c r="P14" s="28" t="s">
        <v>604</v>
      </c>
      <c r="Q14" s="6" t="s">
        <v>604</v>
      </c>
    </row>
    <row r="15" customFormat="false" ht="30" hidden="false" customHeight="true" outlineLevel="0" collapsed="false">
      <c r="A15" s="223" t="s">
        <v>8419</v>
      </c>
      <c r="B15" s="223" t="s">
        <v>1219</v>
      </c>
      <c r="C15" s="232" t="s">
        <v>8420</v>
      </c>
      <c r="D15" s="223" t="s">
        <v>3488</v>
      </c>
      <c r="E15" s="223" t="s">
        <v>125</v>
      </c>
      <c r="F15" s="232" t="s">
        <v>8421</v>
      </c>
      <c r="G15" s="233" t="s">
        <v>8422</v>
      </c>
      <c r="H15" s="233" t="s">
        <v>8423</v>
      </c>
      <c r="I15" s="233" t="s">
        <v>8353</v>
      </c>
      <c r="J15" s="223" t="s">
        <v>8416</v>
      </c>
      <c r="K15" s="234" t="s">
        <v>8424</v>
      </c>
      <c r="L15" s="221" t="s">
        <v>8356</v>
      </c>
      <c r="M15" s="6" t="s">
        <v>8425</v>
      </c>
      <c r="N15" s="28" t="s">
        <v>604</v>
      </c>
      <c r="O15" s="28" t="s">
        <v>604</v>
      </c>
      <c r="P15" s="28" t="s">
        <v>604</v>
      </c>
      <c r="Q15" s="6" t="s">
        <v>604</v>
      </c>
    </row>
    <row r="16" customFormat="false" ht="30" hidden="false" customHeight="true" outlineLevel="0" collapsed="false">
      <c r="A16" s="223" t="s">
        <v>8426</v>
      </c>
      <c r="B16" s="223" t="s">
        <v>1219</v>
      </c>
      <c r="C16" s="234" t="s">
        <v>8427</v>
      </c>
      <c r="D16" s="223" t="s">
        <v>8428</v>
      </c>
      <c r="E16" s="223" t="s">
        <v>202</v>
      </c>
      <c r="F16" s="232" t="s">
        <v>8429</v>
      </c>
      <c r="G16" s="223" t="s">
        <v>604</v>
      </c>
      <c r="H16" s="233" t="s">
        <v>8430</v>
      </c>
      <c r="I16" s="233" t="s">
        <v>8380</v>
      </c>
      <c r="J16" s="223" t="s">
        <v>8416</v>
      </c>
      <c r="K16" s="234" t="s">
        <v>8431</v>
      </c>
      <c r="L16" s="221" t="s">
        <v>8356</v>
      </c>
      <c r="M16" s="6" t="s">
        <v>8432</v>
      </c>
      <c r="N16" s="28" t="s">
        <v>604</v>
      </c>
      <c r="O16" s="28" t="s">
        <v>604</v>
      </c>
      <c r="P16" s="28" t="s">
        <v>604</v>
      </c>
      <c r="Q16" s="6" t="s">
        <v>604</v>
      </c>
    </row>
    <row r="17" customFormat="false" ht="30" hidden="false" customHeight="true" outlineLevel="0" collapsed="false">
      <c r="A17" s="223" t="s">
        <v>8433</v>
      </c>
      <c r="B17" s="223" t="s">
        <v>1219</v>
      </c>
      <c r="C17" s="232" t="s">
        <v>8434</v>
      </c>
      <c r="D17" s="223" t="s">
        <v>7495</v>
      </c>
      <c r="E17" s="223" t="s">
        <v>328</v>
      </c>
      <c r="F17" s="232" t="s">
        <v>8435</v>
      </c>
      <c r="G17" s="223" t="s">
        <v>604</v>
      </c>
      <c r="H17" s="223" t="s">
        <v>8436</v>
      </c>
      <c r="I17" s="233" t="s">
        <v>8380</v>
      </c>
      <c r="J17" s="223" t="s">
        <v>8416</v>
      </c>
      <c r="K17" s="234" t="s">
        <v>8437</v>
      </c>
      <c r="L17" s="221" t="s">
        <v>8356</v>
      </c>
      <c r="M17" s="6" t="s">
        <v>8438</v>
      </c>
      <c r="N17" s="28" t="s">
        <v>604</v>
      </c>
      <c r="O17" s="28" t="s">
        <v>604</v>
      </c>
      <c r="P17" s="28" t="s">
        <v>604</v>
      </c>
      <c r="Q17" s="6" t="s">
        <v>604</v>
      </c>
    </row>
    <row r="18" customFormat="false" ht="30" hidden="false" customHeight="true" outlineLevel="0" collapsed="false">
      <c r="A18" s="223" t="s">
        <v>8439</v>
      </c>
      <c r="B18" s="223" t="s">
        <v>1219</v>
      </c>
      <c r="C18" s="232" t="s">
        <v>8440</v>
      </c>
      <c r="D18" s="223" t="s">
        <v>7371</v>
      </c>
      <c r="E18" s="223" t="s">
        <v>202</v>
      </c>
      <c r="F18" s="232" t="s">
        <v>8441</v>
      </c>
      <c r="G18" s="223" t="s">
        <v>604</v>
      </c>
      <c r="H18" s="233" t="s">
        <v>8442</v>
      </c>
      <c r="I18" s="233" t="s">
        <v>1213</v>
      </c>
      <c r="J18" s="223" t="s">
        <v>604</v>
      </c>
      <c r="K18" s="234" t="s">
        <v>8443</v>
      </c>
      <c r="L18" s="221" t="s">
        <v>8389</v>
      </c>
      <c r="M18" s="6" t="s">
        <v>8444</v>
      </c>
      <c r="N18" s="28" t="s">
        <v>604</v>
      </c>
      <c r="O18" s="28" t="s">
        <v>604</v>
      </c>
      <c r="P18" s="28" t="s">
        <v>604</v>
      </c>
      <c r="Q18" s="6" t="s">
        <v>604</v>
      </c>
    </row>
    <row r="19" customFormat="false" ht="30" hidden="false" customHeight="true" outlineLevel="0" collapsed="false">
      <c r="A19" s="223" t="s">
        <v>8445</v>
      </c>
      <c r="B19" s="223" t="s">
        <v>1219</v>
      </c>
      <c r="C19" s="232" t="s">
        <v>8446</v>
      </c>
      <c r="D19" s="223" t="s">
        <v>7458</v>
      </c>
      <c r="E19" s="223" t="s">
        <v>202</v>
      </c>
      <c r="F19" s="232" t="s">
        <v>8447</v>
      </c>
      <c r="G19" s="223" t="s">
        <v>604</v>
      </c>
      <c r="H19" s="233" t="s">
        <v>1235</v>
      </c>
      <c r="I19" s="233" t="s">
        <v>1213</v>
      </c>
      <c r="J19" s="223" t="s">
        <v>604</v>
      </c>
      <c r="K19" s="232"/>
      <c r="L19" s="221" t="s">
        <v>8389</v>
      </c>
      <c r="M19" s="6" t="s">
        <v>8448</v>
      </c>
      <c r="N19" s="28" t="s">
        <v>604</v>
      </c>
      <c r="O19" s="28" t="s">
        <v>604</v>
      </c>
      <c r="P19" s="28" t="s">
        <v>604</v>
      </c>
      <c r="Q19" s="6" t="s">
        <v>604</v>
      </c>
    </row>
    <row r="20" customFormat="false" ht="30" hidden="false" customHeight="true" outlineLevel="0" collapsed="false">
      <c r="A20" s="223" t="s">
        <v>8449</v>
      </c>
      <c r="B20" s="223" t="s">
        <v>1219</v>
      </c>
      <c r="C20" s="232" t="s">
        <v>8450</v>
      </c>
      <c r="D20" s="223" t="s">
        <v>1896</v>
      </c>
      <c r="E20" s="223" t="s">
        <v>8451</v>
      </c>
      <c r="F20" s="232" t="s">
        <v>8452</v>
      </c>
      <c r="G20" s="233" t="s">
        <v>8361</v>
      </c>
      <c r="H20" s="223" t="s">
        <v>8453</v>
      </c>
      <c r="I20" s="233" t="s">
        <v>8380</v>
      </c>
      <c r="J20" s="223" t="s">
        <v>8454</v>
      </c>
      <c r="K20" s="234" t="s">
        <v>8455</v>
      </c>
      <c r="L20" s="221" t="s">
        <v>8356</v>
      </c>
      <c r="M20" s="6" t="s">
        <v>8456</v>
      </c>
      <c r="N20" s="28" t="s">
        <v>604</v>
      </c>
      <c r="O20" s="28" t="s">
        <v>604</v>
      </c>
      <c r="P20" s="28" t="s">
        <v>604</v>
      </c>
      <c r="Q20" s="6" t="s">
        <v>604</v>
      </c>
    </row>
    <row r="21" customFormat="false" ht="30" hidden="false" customHeight="true" outlineLevel="0" collapsed="false">
      <c r="A21" s="223" t="s">
        <v>8457</v>
      </c>
      <c r="B21" s="223" t="s">
        <v>1219</v>
      </c>
      <c r="C21" s="232" t="s">
        <v>8458</v>
      </c>
      <c r="D21" s="223" t="s">
        <v>7582</v>
      </c>
      <c r="E21" s="223" t="s">
        <v>202</v>
      </c>
      <c r="F21" s="232" t="s">
        <v>8459</v>
      </c>
      <c r="G21" s="223" t="s">
        <v>604</v>
      </c>
      <c r="H21" s="223" t="s">
        <v>8460</v>
      </c>
      <c r="I21" s="233" t="s">
        <v>8380</v>
      </c>
      <c r="J21" s="223" t="s">
        <v>8454</v>
      </c>
      <c r="K21" s="232" t="s">
        <v>8461</v>
      </c>
      <c r="L21" s="221" t="s">
        <v>8356</v>
      </c>
      <c r="M21" s="6" t="s">
        <v>8462</v>
      </c>
      <c r="N21" s="28" t="s">
        <v>604</v>
      </c>
      <c r="O21" s="28" t="s">
        <v>604</v>
      </c>
      <c r="P21" s="28" t="s">
        <v>604</v>
      </c>
      <c r="Q21" s="6" t="s">
        <v>604</v>
      </c>
    </row>
    <row r="22" customFormat="false" ht="30" hidden="false" customHeight="true" outlineLevel="0" collapsed="false">
      <c r="A22" s="223" t="s">
        <v>8463</v>
      </c>
      <c r="B22" s="223" t="s">
        <v>1219</v>
      </c>
      <c r="C22" s="232" t="s">
        <v>8464</v>
      </c>
      <c r="D22" s="223" t="s">
        <v>1915</v>
      </c>
      <c r="E22" s="223" t="s">
        <v>328</v>
      </c>
      <c r="F22" s="232" t="s">
        <v>8465</v>
      </c>
      <c r="G22" s="223" t="s">
        <v>604</v>
      </c>
      <c r="H22" s="223" t="s">
        <v>8466</v>
      </c>
      <c r="I22" s="233" t="s">
        <v>8380</v>
      </c>
      <c r="J22" s="223" t="s">
        <v>8454</v>
      </c>
      <c r="K22" s="232" t="s">
        <v>8467</v>
      </c>
      <c r="L22" s="221" t="s">
        <v>8356</v>
      </c>
      <c r="M22" s="6" t="s">
        <v>8468</v>
      </c>
      <c r="N22" s="28" t="s">
        <v>604</v>
      </c>
      <c r="O22" s="28" t="s">
        <v>604</v>
      </c>
      <c r="P22" s="28" t="s">
        <v>604</v>
      </c>
      <c r="Q22" s="6" t="s">
        <v>604</v>
      </c>
    </row>
    <row r="23" customFormat="false" ht="30" hidden="false" customHeight="true" outlineLevel="0" collapsed="false">
      <c r="A23" s="223" t="s">
        <v>8469</v>
      </c>
      <c r="B23" s="223" t="s">
        <v>1219</v>
      </c>
      <c r="C23" s="232" t="s">
        <v>8470</v>
      </c>
      <c r="D23" s="223" t="s">
        <v>1915</v>
      </c>
      <c r="E23" s="223" t="s">
        <v>328</v>
      </c>
      <c r="F23" s="232" t="s">
        <v>8471</v>
      </c>
      <c r="G23" s="223" t="s">
        <v>604</v>
      </c>
      <c r="H23" s="223" t="s">
        <v>8472</v>
      </c>
      <c r="I23" s="233" t="s">
        <v>8353</v>
      </c>
      <c r="J23" s="223" t="s">
        <v>8454</v>
      </c>
      <c r="K23" s="232"/>
      <c r="L23" s="221" t="s">
        <v>8356</v>
      </c>
      <c r="M23" s="6" t="s">
        <v>8468</v>
      </c>
      <c r="N23" s="28" t="s">
        <v>604</v>
      </c>
      <c r="O23" s="28" t="s">
        <v>604</v>
      </c>
      <c r="P23" s="28" t="s">
        <v>604</v>
      </c>
      <c r="Q23" s="6" t="s">
        <v>604</v>
      </c>
    </row>
    <row r="24" customFormat="false" ht="30" hidden="false" customHeight="true" outlineLevel="0" collapsed="false">
      <c r="A24" s="223" t="s">
        <v>8473</v>
      </c>
      <c r="B24" s="223" t="s">
        <v>1219</v>
      </c>
      <c r="C24" s="232" t="s">
        <v>8474</v>
      </c>
      <c r="D24" s="223" t="s">
        <v>7640</v>
      </c>
      <c r="E24" s="223" t="s">
        <v>202</v>
      </c>
      <c r="F24" s="232" t="s">
        <v>8475</v>
      </c>
      <c r="G24" s="223" t="s">
        <v>8476</v>
      </c>
      <c r="H24" s="223" t="s">
        <v>8477</v>
      </c>
      <c r="I24" s="233" t="s">
        <v>1213</v>
      </c>
      <c r="J24" s="223" t="s">
        <v>604</v>
      </c>
      <c r="K24" s="234" t="s">
        <v>8478</v>
      </c>
      <c r="L24" s="221" t="s">
        <v>8389</v>
      </c>
      <c r="M24" s="6" t="s">
        <v>7634</v>
      </c>
      <c r="N24" s="28" t="s">
        <v>604</v>
      </c>
      <c r="O24" s="28" t="s">
        <v>604</v>
      </c>
      <c r="P24" s="28" t="s">
        <v>604</v>
      </c>
      <c r="Q24" s="6" t="s">
        <v>604</v>
      </c>
    </row>
    <row r="25" customFormat="false" ht="29.25" hidden="false" customHeight="true" outlineLevel="0" collapsed="false">
      <c r="A25" s="223" t="s">
        <v>8479</v>
      </c>
      <c r="B25" s="223" t="s">
        <v>5712</v>
      </c>
      <c r="C25" s="232" t="s">
        <v>8480</v>
      </c>
      <c r="D25" s="223" t="s">
        <v>5885</v>
      </c>
      <c r="E25" s="233" t="s">
        <v>8481</v>
      </c>
      <c r="F25" s="233" t="s">
        <v>8482</v>
      </c>
      <c r="G25" s="223" t="s">
        <v>604</v>
      </c>
      <c r="H25" s="223" t="s">
        <v>604</v>
      </c>
      <c r="I25" s="233" t="s">
        <v>8483</v>
      </c>
      <c r="J25" s="223" t="s">
        <v>8484</v>
      </c>
      <c r="K25" s="232" t="s">
        <v>8485</v>
      </c>
      <c r="L25" s="221" t="s">
        <v>8356</v>
      </c>
      <c r="M25" s="6" t="s">
        <v>3907</v>
      </c>
      <c r="N25" s="28" t="s">
        <v>604</v>
      </c>
      <c r="O25" s="28" t="s">
        <v>604</v>
      </c>
      <c r="P25" s="28" t="s">
        <v>8486</v>
      </c>
      <c r="Q25" s="221" t="s">
        <v>6273</v>
      </c>
    </row>
    <row r="26" customFormat="false" ht="29.25" hidden="false" customHeight="true" outlineLevel="0" collapsed="false">
      <c r="A26" s="223" t="s">
        <v>6287</v>
      </c>
      <c r="B26" s="223" t="s">
        <v>5712</v>
      </c>
      <c r="C26" s="232" t="s">
        <v>8487</v>
      </c>
      <c r="D26" s="223" t="s">
        <v>5894</v>
      </c>
      <c r="E26" s="233" t="s">
        <v>8481</v>
      </c>
      <c r="F26" s="233" t="s">
        <v>8482</v>
      </c>
      <c r="G26" s="223" t="s">
        <v>604</v>
      </c>
      <c r="H26" s="223" t="s">
        <v>604</v>
      </c>
      <c r="I26" s="233" t="s">
        <v>8483</v>
      </c>
      <c r="J26" s="223" t="s">
        <v>8484</v>
      </c>
      <c r="K26" s="232" t="s">
        <v>8485</v>
      </c>
      <c r="L26" s="221" t="s">
        <v>8356</v>
      </c>
      <c r="M26" s="6" t="s">
        <v>8488</v>
      </c>
      <c r="N26" s="28" t="s">
        <v>604</v>
      </c>
      <c r="O26" s="28" t="s">
        <v>604</v>
      </c>
      <c r="P26" s="28" t="s">
        <v>8486</v>
      </c>
      <c r="Q26" s="221" t="s">
        <v>6273</v>
      </c>
    </row>
    <row r="27" customFormat="false" ht="29.25" hidden="false" customHeight="true" outlineLevel="0" collapsed="false">
      <c r="A27" s="223" t="s">
        <v>8489</v>
      </c>
      <c r="B27" s="223" t="s">
        <v>5712</v>
      </c>
      <c r="C27" s="232" t="s">
        <v>8490</v>
      </c>
      <c r="D27" s="223" t="s">
        <v>6301</v>
      </c>
      <c r="E27" s="233" t="s">
        <v>8481</v>
      </c>
      <c r="F27" s="233" t="s">
        <v>8482</v>
      </c>
      <c r="G27" s="223" t="s">
        <v>604</v>
      </c>
      <c r="H27" s="223" t="s">
        <v>604</v>
      </c>
      <c r="I27" s="233" t="s">
        <v>8483</v>
      </c>
      <c r="J27" s="223" t="s">
        <v>8484</v>
      </c>
      <c r="K27" s="232" t="s">
        <v>8485</v>
      </c>
      <c r="L27" s="221" t="s">
        <v>8356</v>
      </c>
      <c r="M27" s="6" t="s">
        <v>8491</v>
      </c>
      <c r="N27" s="28" t="s">
        <v>604</v>
      </c>
      <c r="O27" s="28" t="s">
        <v>604</v>
      </c>
      <c r="P27" s="28" t="s">
        <v>8486</v>
      </c>
      <c r="Q27" s="221" t="s">
        <v>6273</v>
      </c>
    </row>
    <row r="28" customFormat="false" ht="29.25" hidden="false" customHeight="true" outlineLevel="0" collapsed="false">
      <c r="A28" s="223" t="s">
        <v>6328</v>
      </c>
      <c r="B28" s="223" t="s">
        <v>5712</v>
      </c>
      <c r="C28" s="232" t="s">
        <v>8492</v>
      </c>
      <c r="D28" s="223" t="s">
        <v>6317</v>
      </c>
      <c r="E28" s="233" t="s">
        <v>8481</v>
      </c>
      <c r="F28" s="233" t="s">
        <v>8482</v>
      </c>
      <c r="G28" s="223" t="s">
        <v>604</v>
      </c>
      <c r="H28" s="223" t="s">
        <v>604</v>
      </c>
      <c r="I28" s="233" t="s">
        <v>8483</v>
      </c>
      <c r="J28" s="223" t="s">
        <v>8484</v>
      </c>
      <c r="K28" s="232" t="s">
        <v>8485</v>
      </c>
      <c r="L28" s="221" t="s">
        <v>8356</v>
      </c>
      <c r="M28" s="6" t="s">
        <v>8493</v>
      </c>
      <c r="N28" s="28" t="s">
        <v>604</v>
      </c>
      <c r="O28" s="28" t="s">
        <v>604</v>
      </c>
      <c r="P28" s="28" t="s">
        <v>8486</v>
      </c>
      <c r="Q28" s="221" t="s">
        <v>6273</v>
      </c>
    </row>
    <row r="29" customFormat="false" ht="29.25" hidden="false" customHeight="true" outlineLevel="0" collapsed="false">
      <c r="A29" s="223" t="s">
        <v>6335</v>
      </c>
      <c r="B29" s="223" t="s">
        <v>5712</v>
      </c>
      <c r="C29" s="232" t="s">
        <v>8494</v>
      </c>
      <c r="D29" s="223" t="s">
        <v>6336</v>
      </c>
      <c r="E29" s="233" t="s">
        <v>8481</v>
      </c>
      <c r="F29" s="233" t="s">
        <v>8482</v>
      </c>
      <c r="G29" s="223" t="s">
        <v>604</v>
      </c>
      <c r="H29" s="223" t="s">
        <v>604</v>
      </c>
      <c r="I29" s="233" t="s">
        <v>8483</v>
      </c>
      <c r="J29" s="223" t="s">
        <v>8484</v>
      </c>
      <c r="K29" s="232" t="s">
        <v>8485</v>
      </c>
      <c r="L29" s="221" t="s">
        <v>8356</v>
      </c>
      <c r="M29" s="6" t="s">
        <v>6330</v>
      </c>
      <c r="N29" s="28" t="s">
        <v>604</v>
      </c>
      <c r="O29" s="28" t="s">
        <v>604</v>
      </c>
      <c r="P29" s="28" t="s">
        <v>8486</v>
      </c>
      <c r="Q29" s="221" t="s">
        <v>6273</v>
      </c>
    </row>
    <row r="30" customFormat="false" ht="29.25" hidden="false" customHeight="true" outlineLevel="0" collapsed="false">
      <c r="A30" s="223" t="s">
        <v>8495</v>
      </c>
      <c r="B30" s="223" t="s">
        <v>5712</v>
      </c>
      <c r="C30" s="232" t="s">
        <v>8496</v>
      </c>
      <c r="D30" s="223" t="s">
        <v>6343</v>
      </c>
      <c r="E30" s="233" t="s">
        <v>8481</v>
      </c>
      <c r="F30" s="233" t="s">
        <v>8482</v>
      </c>
      <c r="G30" s="223" t="s">
        <v>604</v>
      </c>
      <c r="H30" s="223" t="s">
        <v>604</v>
      </c>
      <c r="I30" s="233" t="s">
        <v>8483</v>
      </c>
      <c r="J30" s="223" t="s">
        <v>8484</v>
      </c>
      <c r="K30" s="232" t="s">
        <v>8485</v>
      </c>
      <c r="L30" s="221" t="s">
        <v>8356</v>
      </c>
      <c r="M30" s="6" t="s">
        <v>3982</v>
      </c>
      <c r="N30" s="28" t="s">
        <v>604</v>
      </c>
      <c r="O30" s="28" t="s">
        <v>604</v>
      </c>
      <c r="P30" s="28" t="s">
        <v>8486</v>
      </c>
      <c r="Q30" s="221" t="s">
        <v>6273</v>
      </c>
    </row>
    <row r="31" customFormat="false" ht="29.25" hidden="false" customHeight="true" outlineLevel="0" collapsed="false">
      <c r="A31" s="223" t="s">
        <v>6357</v>
      </c>
      <c r="B31" s="223" t="s">
        <v>5712</v>
      </c>
      <c r="C31" s="232" t="s">
        <v>8497</v>
      </c>
      <c r="D31" s="223" t="s">
        <v>6351</v>
      </c>
      <c r="E31" s="233" t="s">
        <v>8481</v>
      </c>
      <c r="F31" s="233" t="s">
        <v>8482</v>
      </c>
      <c r="G31" s="223" t="s">
        <v>604</v>
      </c>
      <c r="H31" s="223" t="s">
        <v>604</v>
      </c>
      <c r="I31" s="233" t="s">
        <v>8483</v>
      </c>
      <c r="J31" s="223" t="s">
        <v>8484</v>
      </c>
      <c r="K31" s="232" t="s">
        <v>8485</v>
      </c>
      <c r="L31" s="221" t="s">
        <v>8356</v>
      </c>
      <c r="M31" s="6" t="s">
        <v>8498</v>
      </c>
      <c r="N31" s="28" t="s">
        <v>604</v>
      </c>
      <c r="O31" s="28" t="s">
        <v>604</v>
      </c>
      <c r="P31" s="28" t="s">
        <v>8486</v>
      </c>
      <c r="Q31" s="221" t="s">
        <v>6273</v>
      </c>
    </row>
    <row r="32" customFormat="false" ht="29.25" hidden="false" customHeight="true" outlineLevel="0" collapsed="false">
      <c r="A32" s="223" t="s">
        <v>8499</v>
      </c>
      <c r="B32" s="223" t="s">
        <v>5712</v>
      </c>
      <c r="C32" s="232" t="s">
        <v>8500</v>
      </c>
      <c r="D32" s="223" t="s">
        <v>6373</v>
      </c>
      <c r="E32" s="233" t="s">
        <v>8481</v>
      </c>
      <c r="F32" s="233" t="s">
        <v>8482</v>
      </c>
      <c r="G32" s="223" t="s">
        <v>604</v>
      </c>
      <c r="H32" s="223" t="s">
        <v>604</v>
      </c>
      <c r="I32" s="233" t="s">
        <v>8483</v>
      </c>
      <c r="J32" s="223" t="s">
        <v>8484</v>
      </c>
      <c r="K32" s="232" t="s">
        <v>8485</v>
      </c>
      <c r="L32" s="221" t="s">
        <v>8356</v>
      </c>
      <c r="M32" s="6" t="s">
        <v>3918</v>
      </c>
      <c r="N32" s="28" t="s">
        <v>604</v>
      </c>
      <c r="O32" s="28" t="s">
        <v>604</v>
      </c>
      <c r="P32" s="28" t="s">
        <v>8486</v>
      </c>
      <c r="Q32" s="221" t="s">
        <v>6273</v>
      </c>
    </row>
    <row r="33" customFormat="false" ht="29.25" hidden="false" customHeight="true" outlineLevel="0" collapsed="false">
      <c r="A33" s="223" t="s">
        <v>6390</v>
      </c>
      <c r="B33" s="223" t="s">
        <v>5712</v>
      </c>
      <c r="C33" s="232" t="s">
        <v>8501</v>
      </c>
      <c r="D33" s="223" t="s">
        <v>6383</v>
      </c>
      <c r="E33" s="233" t="s">
        <v>8481</v>
      </c>
      <c r="F33" s="233" t="s">
        <v>8482</v>
      </c>
      <c r="G33" s="223" t="s">
        <v>604</v>
      </c>
      <c r="H33" s="223" t="s">
        <v>604</v>
      </c>
      <c r="I33" s="233" t="s">
        <v>8483</v>
      </c>
      <c r="J33" s="223" t="s">
        <v>8484</v>
      </c>
      <c r="K33" s="232" t="s">
        <v>8485</v>
      </c>
      <c r="L33" s="221" t="s">
        <v>8356</v>
      </c>
      <c r="M33" s="6" t="s">
        <v>8502</v>
      </c>
      <c r="N33" s="28" t="s">
        <v>604</v>
      </c>
      <c r="O33" s="28" t="s">
        <v>604</v>
      </c>
      <c r="P33" s="28" t="s">
        <v>8486</v>
      </c>
      <c r="Q33" s="221" t="s">
        <v>6380</v>
      </c>
    </row>
    <row r="34" customFormat="false" ht="29.25" hidden="false" customHeight="true" outlineLevel="0" collapsed="false">
      <c r="A34" s="223" t="s">
        <v>6403</v>
      </c>
      <c r="B34" s="223" t="s">
        <v>5712</v>
      </c>
      <c r="C34" s="232" t="s">
        <v>8503</v>
      </c>
      <c r="D34" s="223" t="s">
        <v>6404</v>
      </c>
      <c r="E34" s="233" t="s">
        <v>8481</v>
      </c>
      <c r="F34" s="233" t="s">
        <v>8482</v>
      </c>
      <c r="G34" s="223" t="s">
        <v>604</v>
      </c>
      <c r="H34" s="223" t="s">
        <v>604</v>
      </c>
      <c r="I34" s="233" t="s">
        <v>8483</v>
      </c>
      <c r="J34" s="223" t="s">
        <v>8484</v>
      </c>
      <c r="K34" s="232" t="s">
        <v>8485</v>
      </c>
      <c r="L34" s="221" t="s">
        <v>8356</v>
      </c>
      <c r="M34" s="6" t="s">
        <v>6399</v>
      </c>
      <c r="N34" s="28" t="s">
        <v>604</v>
      </c>
      <c r="O34" s="28" t="s">
        <v>604</v>
      </c>
      <c r="P34" s="28" t="s">
        <v>8486</v>
      </c>
      <c r="Q34" s="221" t="s">
        <v>6273</v>
      </c>
    </row>
    <row r="35" customFormat="false" ht="97.5" hidden="false" customHeight="true" outlineLevel="0" collapsed="false">
      <c r="A35" s="223" t="s">
        <v>6412</v>
      </c>
      <c r="B35" s="223" t="s">
        <v>5712</v>
      </c>
      <c r="C35" s="232" t="s">
        <v>8504</v>
      </c>
      <c r="D35" s="223" t="s">
        <v>6413</v>
      </c>
      <c r="E35" s="233" t="s">
        <v>8481</v>
      </c>
      <c r="F35" s="233" t="s">
        <v>8482</v>
      </c>
      <c r="G35" s="223" t="s">
        <v>604</v>
      </c>
      <c r="H35" s="223" t="s">
        <v>604</v>
      </c>
      <c r="I35" s="233" t="s">
        <v>8483</v>
      </c>
      <c r="J35" s="223" t="s">
        <v>8484</v>
      </c>
      <c r="K35" s="232" t="s">
        <v>8485</v>
      </c>
      <c r="L35" s="221" t="s">
        <v>8356</v>
      </c>
      <c r="M35" s="6" t="s">
        <v>8505</v>
      </c>
      <c r="N35" s="28" t="s">
        <v>604</v>
      </c>
      <c r="O35" s="28" t="s">
        <v>604</v>
      </c>
      <c r="P35" s="28" t="s">
        <v>8486</v>
      </c>
      <c r="Q35" s="221" t="s">
        <v>6273</v>
      </c>
    </row>
    <row r="36" customFormat="false" ht="29.25" hidden="false" customHeight="true" outlineLevel="0" collapsed="false">
      <c r="A36" s="223" t="s">
        <v>6461</v>
      </c>
      <c r="B36" s="223" t="s">
        <v>5712</v>
      </c>
      <c r="C36" s="232" t="s">
        <v>8506</v>
      </c>
      <c r="D36" s="223" t="s">
        <v>6462</v>
      </c>
      <c r="E36" s="233" t="s">
        <v>8481</v>
      </c>
      <c r="F36" s="233" t="s">
        <v>8482</v>
      </c>
      <c r="G36" s="223" t="s">
        <v>604</v>
      </c>
      <c r="H36" s="223" t="s">
        <v>604</v>
      </c>
      <c r="I36" s="233" t="s">
        <v>8483</v>
      </c>
      <c r="J36" s="223" t="s">
        <v>8484</v>
      </c>
      <c r="K36" s="232" t="s">
        <v>8485</v>
      </c>
      <c r="L36" s="221" t="s">
        <v>8356</v>
      </c>
      <c r="M36" s="6" t="s">
        <v>8507</v>
      </c>
      <c r="N36" s="28" t="s">
        <v>604</v>
      </c>
      <c r="O36" s="28" t="s">
        <v>604</v>
      </c>
      <c r="P36" s="28" t="s">
        <v>8486</v>
      </c>
      <c r="Q36" s="221" t="s">
        <v>6380</v>
      </c>
    </row>
    <row r="37" customFormat="false" ht="29.25" hidden="false" customHeight="true" outlineLevel="0" collapsed="false">
      <c r="A37" s="223" t="s">
        <v>8508</v>
      </c>
      <c r="B37" s="223" t="s">
        <v>5712</v>
      </c>
      <c r="C37" s="232" t="s">
        <v>8509</v>
      </c>
      <c r="D37" s="223" t="s">
        <v>6481</v>
      </c>
      <c r="E37" s="233" t="s">
        <v>8481</v>
      </c>
      <c r="F37" s="233" t="s">
        <v>8482</v>
      </c>
      <c r="G37" s="223" t="s">
        <v>604</v>
      </c>
      <c r="H37" s="223" t="s">
        <v>604</v>
      </c>
      <c r="I37" s="233" t="s">
        <v>8483</v>
      </c>
      <c r="J37" s="223" t="s">
        <v>8484</v>
      </c>
      <c r="K37" s="232" t="s">
        <v>8485</v>
      </c>
      <c r="L37" s="221" t="s">
        <v>8356</v>
      </c>
      <c r="M37" s="6" t="s">
        <v>8368</v>
      </c>
      <c r="N37" s="28" t="s">
        <v>604</v>
      </c>
      <c r="O37" s="28" t="s">
        <v>604</v>
      </c>
      <c r="P37" s="28" t="s">
        <v>8510</v>
      </c>
      <c r="Q37" s="221" t="s">
        <v>6273</v>
      </c>
    </row>
    <row r="38" customFormat="false" ht="29.25" hidden="false" customHeight="true" outlineLevel="0" collapsed="false">
      <c r="A38" s="223" t="s">
        <v>8511</v>
      </c>
      <c r="B38" s="223" t="s">
        <v>5712</v>
      </c>
      <c r="C38" s="232" t="s">
        <v>8512</v>
      </c>
      <c r="D38" s="223" t="s">
        <v>6497</v>
      </c>
      <c r="E38" s="233" t="s">
        <v>8481</v>
      </c>
      <c r="F38" s="233" t="s">
        <v>8482</v>
      </c>
      <c r="G38" s="223" t="s">
        <v>604</v>
      </c>
      <c r="H38" s="223" t="s">
        <v>604</v>
      </c>
      <c r="I38" s="233" t="s">
        <v>8483</v>
      </c>
      <c r="J38" s="223" t="s">
        <v>8484</v>
      </c>
      <c r="K38" s="232" t="s">
        <v>8485</v>
      </c>
      <c r="L38" s="221" t="s">
        <v>8356</v>
      </c>
      <c r="M38" s="6" t="s">
        <v>3994</v>
      </c>
      <c r="N38" s="28" t="s">
        <v>604</v>
      </c>
      <c r="O38" s="28" t="s">
        <v>604</v>
      </c>
      <c r="P38" s="28" t="s">
        <v>8486</v>
      </c>
      <c r="Q38" s="221" t="s">
        <v>6273</v>
      </c>
    </row>
    <row r="39" customFormat="false" ht="72" hidden="false" customHeight="true" outlineLevel="0" collapsed="false">
      <c r="A39" s="223" t="s">
        <v>6504</v>
      </c>
      <c r="B39" s="223" t="s">
        <v>5712</v>
      </c>
      <c r="C39" s="232" t="s">
        <v>8513</v>
      </c>
      <c r="D39" s="223" t="s">
        <v>6505</v>
      </c>
      <c r="E39" s="233" t="s">
        <v>8481</v>
      </c>
      <c r="F39" s="233" t="s">
        <v>8482</v>
      </c>
      <c r="G39" s="223" t="s">
        <v>604</v>
      </c>
      <c r="H39" s="223" t="s">
        <v>604</v>
      </c>
      <c r="I39" s="233" t="s">
        <v>8483</v>
      </c>
      <c r="J39" s="223" t="s">
        <v>8484</v>
      </c>
      <c r="K39" s="232" t="s">
        <v>8485</v>
      </c>
      <c r="L39" s="221" t="s">
        <v>8356</v>
      </c>
      <c r="M39" s="6" t="s">
        <v>8514</v>
      </c>
      <c r="N39" s="28" t="s">
        <v>604</v>
      </c>
      <c r="O39" s="28" t="s">
        <v>604</v>
      </c>
      <c r="P39" s="28" t="s">
        <v>8486</v>
      </c>
      <c r="Q39" s="221" t="s">
        <v>6273</v>
      </c>
    </row>
    <row r="40" customFormat="false" ht="29.25" hidden="false" customHeight="true" outlineLevel="0" collapsed="false">
      <c r="A40" s="223" t="s">
        <v>6549</v>
      </c>
      <c r="B40" s="223" t="s">
        <v>5712</v>
      </c>
      <c r="C40" s="232" t="s">
        <v>8515</v>
      </c>
      <c r="D40" s="223" t="s">
        <v>6550</v>
      </c>
      <c r="E40" s="233" t="s">
        <v>8481</v>
      </c>
      <c r="F40" s="233" t="s">
        <v>8482</v>
      </c>
      <c r="G40" s="223" t="s">
        <v>604</v>
      </c>
      <c r="H40" s="223" t="s">
        <v>604</v>
      </c>
      <c r="I40" s="233" t="s">
        <v>8483</v>
      </c>
      <c r="J40" s="223" t="s">
        <v>8484</v>
      </c>
      <c r="K40" s="232" t="s">
        <v>8485</v>
      </c>
      <c r="L40" s="221" t="s">
        <v>8356</v>
      </c>
      <c r="M40" s="6" t="s">
        <v>8516</v>
      </c>
      <c r="N40" s="28" t="s">
        <v>604</v>
      </c>
      <c r="O40" s="28" t="s">
        <v>604</v>
      </c>
      <c r="P40" s="28" t="s">
        <v>8486</v>
      </c>
      <c r="Q40" s="221" t="s">
        <v>6380</v>
      </c>
    </row>
    <row r="41" customFormat="false" ht="29.25" hidden="false" customHeight="true" outlineLevel="0" collapsed="false">
      <c r="A41" s="223" t="s">
        <v>6641</v>
      </c>
      <c r="B41" s="223" t="s">
        <v>5712</v>
      </c>
      <c r="C41" s="232" t="s">
        <v>8517</v>
      </c>
      <c r="D41" s="223" t="s">
        <v>6642</v>
      </c>
      <c r="E41" s="233" t="s">
        <v>8481</v>
      </c>
      <c r="F41" s="233" t="s">
        <v>8482</v>
      </c>
      <c r="G41" s="223" t="s">
        <v>604</v>
      </c>
      <c r="H41" s="223" t="s">
        <v>604</v>
      </c>
      <c r="I41" s="233" t="s">
        <v>8483</v>
      </c>
      <c r="J41" s="223" t="s">
        <v>8484</v>
      </c>
      <c r="K41" s="232" t="s">
        <v>8485</v>
      </c>
      <c r="L41" s="221" t="s">
        <v>8356</v>
      </c>
      <c r="M41" s="6" t="s">
        <v>8518</v>
      </c>
      <c r="N41" s="28" t="s">
        <v>604</v>
      </c>
      <c r="O41" s="28" t="s">
        <v>604</v>
      </c>
      <c r="P41" s="28" t="s">
        <v>8486</v>
      </c>
      <c r="Q41" s="221" t="s">
        <v>6273</v>
      </c>
    </row>
    <row r="42" customFormat="false" ht="29.25" hidden="false" customHeight="true" outlineLevel="0" collapsed="false">
      <c r="A42" s="223" t="s">
        <v>4631</v>
      </c>
      <c r="B42" s="223" t="s">
        <v>5712</v>
      </c>
      <c r="C42" s="232" t="s">
        <v>8519</v>
      </c>
      <c r="D42" s="223" t="s">
        <v>6654</v>
      </c>
      <c r="E42" s="233" t="s">
        <v>8481</v>
      </c>
      <c r="F42" s="233" t="s">
        <v>8482</v>
      </c>
      <c r="G42" s="223" t="s">
        <v>604</v>
      </c>
      <c r="H42" s="223" t="s">
        <v>604</v>
      </c>
      <c r="I42" s="233" t="s">
        <v>8483</v>
      </c>
      <c r="J42" s="223" t="s">
        <v>8484</v>
      </c>
      <c r="K42" s="232" t="s">
        <v>8485</v>
      </c>
      <c r="L42" s="221" t="s">
        <v>8356</v>
      </c>
      <c r="M42" s="6" t="s">
        <v>8520</v>
      </c>
      <c r="N42" s="28" t="s">
        <v>604</v>
      </c>
      <c r="O42" s="28" t="s">
        <v>604</v>
      </c>
      <c r="P42" s="28" t="s">
        <v>8486</v>
      </c>
      <c r="Q42" s="221" t="s">
        <v>6380</v>
      </c>
    </row>
    <row r="43" customFormat="false" ht="29.25" hidden="false" customHeight="true" outlineLevel="0" collapsed="false">
      <c r="A43" s="223" t="s">
        <v>4643</v>
      </c>
      <c r="B43" s="223" t="s">
        <v>5712</v>
      </c>
      <c r="C43" s="232" t="s">
        <v>8521</v>
      </c>
      <c r="D43" s="223" t="s">
        <v>6667</v>
      </c>
      <c r="E43" s="233" t="s">
        <v>8481</v>
      </c>
      <c r="F43" s="233" t="s">
        <v>8482</v>
      </c>
      <c r="G43" s="223" t="s">
        <v>604</v>
      </c>
      <c r="H43" s="223" t="s">
        <v>604</v>
      </c>
      <c r="I43" s="233" t="s">
        <v>8483</v>
      </c>
      <c r="J43" s="223" t="s">
        <v>8484</v>
      </c>
      <c r="K43" s="232" t="s">
        <v>8485</v>
      </c>
      <c r="L43" s="221" t="s">
        <v>8356</v>
      </c>
      <c r="M43" s="6" t="s">
        <v>8522</v>
      </c>
      <c r="N43" s="28" t="s">
        <v>604</v>
      </c>
      <c r="O43" s="28" t="s">
        <v>604</v>
      </c>
      <c r="P43" s="28" t="s">
        <v>8510</v>
      </c>
      <c r="Q43" s="221" t="s">
        <v>6380</v>
      </c>
    </row>
    <row r="44" customFormat="false" ht="29.25" hidden="false" customHeight="true" outlineLevel="0" collapsed="false">
      <c r="A44" s="223" t="s">
        <v>4655</v>
      </c>
      <c r="B44" s="223" t="s">
        <v>5712</v>
      </c>
      <c r="C44" s="232" t="s">
        <v>8523</v>
      </c>
      <c r="D44" s="223" t="s">
        <v>6676</v>
      </c>
      <c r="E44" s="233" t="s">
        <v>8481</v>
      </c>
      <c r="F44" s="233" t="s">
        <v>8482</v>
      </c>
      <c r="G44" s="223" t="s">
        <v>604</v>
      </c>
      <c r="H44" s="223" t="s">
        <v>604</v>
      </c>
      <c r="I44" s="233" t="s">
        <v>8483</v>
      </c>
      <c r="J44" s="223" t="s">
        <v>8484</v>
      </c>
      <c r="K44" s="232" t="s">
        <v>8485</v>
      </c>
      <c r="L44" s="221" t="s">
        <v>8356</v>
      </c>
      <c r="M44" s="6" t="s">
        <v>8524</v>
      </c>
      <c r="N44" s="28" t="s">
        <v>604</v>
      </c>
      <c r="O44" s="28" t="s">
        <v>604</v>
      </c>
      <c r="P44" s="28" t="s">
        <v>8510</v>
      </c>
      <c r="Q44" s="221" t="s">
        <v>6273</v>
      </c>
    </row>
    <row r="45" customFormat="false" ht="29.25" hidden="false" customHeight="true" outlineLevel="0" collapsed="false">
      <c r="A45" s="223" t="s">
        <v>6690</v>
      </c>
      <c r="B45" s="223" t="s">
        <v>5712</v>
      </c>
      <c r="C45" s="232" t="s">
        <v>8525</v>
      </c>
      <c r="D45" s="223" t="s">
        <v>6691</v>
      </c>
      <c r="E45" s="233" t="s">
        <v>8481</v>
      </c>
      <c r="F45" s="233" t="s">
        <v>8482</v>
      </c>
      <c r="G45" s="223" t="s">
        <v>604</v>
      </c>
      <c r="H45" s="223" t="s">
        <v>604</v>
      </c>
      <c r="I45" s="233" t="s">
        <v>8483</v>
      </c>
      <c r="J45" s="223" t="s">
        <v>8484</v>
      </c>
      <c r="K45" s="232" t="s">
        <v>8485</v>
      </c>
      <c r="L45" s="221" t="s">
        <v>8356</v>
      </c>
      <c r="M45" s="6" t="s">
        <v>8526</v>
      </c>
      <c r="N45" s="28" t="s">
        <v>604</v>
      </c>
      <c r="O45" s="28" t="s">
        <v>604</v>
      </c>
      <c r="P45" s="28" t="s">
        <v>8486</v>
      </c>
      <c r="Q45" s="221" t="s">
        <v>6273</v>
      </c>
    </row>
    <row r="46" customFormat="false" ht="29.25" hidden="false" customHeight="true" outlineLevel="0" collapsed="false">
      <c r="A46" s="223" t="s">
        <v>6700</v>
      </c>
      <c r="B46" s="223" t="s">
        <v>5712</v>
      </c>
      <c r="C46" s="232" t="s">
        <v>8527</v>
      </c>
      <c r="D46" s="223" t="s">
        <v>6701</v>
      </c>
      <c r="E46" s="233" t="s">
        <v>8481</v>
      </c>
      <c r="F46" s="233" t="s">
        <v>8482</v>
      </c>
      <c r="G46" s="223" t="s">
        <v>604</v>
      </c>
      <c r="H46" s="223" t="s">
        <v>604</v>
      </c>
      <c r="I46" s="233" t="s">
        <v>8483</v>
      </c>
      <c r="J46" s="223" t="s">
        <v>8484</v>
      </c>
      <c r="K46" s="232" t="s">
        <v>8485</v>
      </c>
      <c r="L46" s="221" t="s">
        <v>8356</v>
      </c>
      <c r="M46" s="6" t="s">
        <v>8528</v>
      </c>
      <c r="N46" s="28" t="s">
        <v>604</v>
      </c>
      <c r="O46" s="28" t="s">
        <v>604</v>
      </c>
      <c r="P46" s="28" t="s">
        <v>8510</v>
      </c>
      <c r="Q46" s="221" t="s">
        <v>6273</v>
      </c>
    </row>
    <row r="47" customFormat="false" ht="54.75" hidden="false" customHeight="true" outlineLevel="0" collapsed="false">
      <c r="A47" s="223" t="s">
        <v>6747</v>
      </c>
      <c r="B47" s="223" t="s">
        <v>5712</v>
      </c>
      <c r="C47" s="232" t="s">
        <v>8529</v>
      </c>
      <c r="D47" s="223" t="s">
        <v>3448</v>
      </c>
      <c r="E47" s="233" t="s">
        <v>8481</v>
      </c>
      <c r="F47" s="233" t="s">
        <v>8482</v>
      </c>
      <c r="G47" s="223" t="s">
        <v>604</v>
      </c>
      <c r="H47" s="223" t="s">
        <v>604</v>
      </c>
      <c r="I47" s="233" t="s">
        <v>8483</v>
      </c>
      <c r="J47" s="223" t="s">
        <v>8484</v>
      </c>
      <c r="K47" s="232" t="s">
        <v>8485</v>
      </c>
      <c r="L47" s="221" t="s">
        <v>8356</v>
      </c>
      <c r="M47" s="6" t="s">
        <v>8530</v>
      </c>
      <c r="N47" s="28" t="s">
        <v>604</v>
      </c>
      <c r="O47" s="28" t="s">
        <v>604</v>
      </c>
      <c r="P47" s="28" t="s">
        <v>8486</v>
      </c>
      <c r="Q47" s="221" t="s">
        <v>6273</v>
      </c>
    </row>
    <row r="48" customFormat="false" ht="168" hidden="false" customHeight="true" outlineLevel="0" collapsed="false">
      <c r="A48" s="223" t="s">
        <v>6776</v>
      </c>
      <c r="B48" s="223" t="s">
        <v>5712</v>
      </c>
      <c r="C48" s="232" t="s">
        <v>8531</v>
      </c>
      <c r="D48" s="223" t="s">
        <v>6771</v>
      </c>
      <c r="E48" s="233" t="s">
        <v>8481</v>
      </c>
      <c r="F48" s="233" t="s">
        <v>8482</v>
      </c>
      <c r="G48" s="223" t="s">
        <v>604</v>
      </c>
      <c r="H48" s="223" t="s">
        <v>604</v>
      </c>
      <c r="I48" s="233" t="s">
        <v>8483</v>
      </c>
      <c r="J48" s="223" t="s">
        <v>8484</v>
      </c>
      <c r="K48" s="232" t="s">
        <v>8485</v>
      </c>
      <c r="L48" s="221" t="s">
        <v>8356</v>
      </c>
      <c r="M48" s="6" t="s">
        <v>8532</v>
      </c>
      <c r="N48" s="28" t="s">
        <v>604</v>
      </c>
      <c r="O48" s="28" t="s">
        <v>604</v>
      </c>
      <c r="P48" s="28" t="s">
        <v>8486</v>
      </c>
      <c r="Q48" s="221" t="s">
        <v>6273</v>
      </c>
    </row>
    <row r="49" customFormat="false" ht="40.5" hidden="false" customHeight="true" outlineLevel="0" collapsed="false">
      <c r="A49" s="223" t="s">
        <v>8533</v>
      </c>
      <c r="B49" s="223" t="s">
        <v>5712</v>
      </c>
      <c r="C49" s="232" t="s">
        <v>8534</v>
      </c>
      <c r="D49" s="223" t="s">
        <v>6852</v>
      </c>
      <c r="E49" s="233" t="s">
        <v>8481</v>
      </c>
      <c r="F49" s="233" t="s">
        <v>8482</v>
      </c>
      <c r="G49" s="223" t="s">
        <v>604</v>
      </c>
      <c r="H49" s="223" t="s">
        <v>604</v>
      </c>
      <c r="I49" s="233" t="s">
        <v>8483</v>
      </c>
      <c r="J49" s="223" t="s">
        <v>8484</v>
      </c>
      <c r="K49" s="232" t="s">
        <v>8485</v>
      </c>
      <c r="L49" s="221" t="s">
        <v>8356</v>
      </c>
      <c r="M49" s="6" t="s">
        <v>8363</v>
      </c>
      <c r="N49" s="28" t="s">
        <v>604</v>
      </c>
      <c r="O49" s="28" t="s">
        <v>604</v>
      </c>
      <c r="P49" s="28" t="s">
        <v>8535</v>
      </c>
      <c r="Q49" s="221" t="s">
        <v>6273</v>
      </c>
    </row>
    <row r="50" customFormat="false" ht="29.25" hidden="false" customHeight="true" outlineLevel="0" collapsed="false">
      <c r="A50" s="223" t="s">
        <v>8536</v>
      </c>
      <c r="B50" s="223" t="s">
        <v>5712</v>
      </c>
      <c r="C50" s="232" t="s">
        <v>8537</v>
      </c>
      <c r="D50" s="223" t="s">
        <v>6870</v>
      </c>
      <c r="E50" s="233" t="s">
        <v>8481</v>
      </c>
      <c r="F50" s="233" t="s">
        <v>8482</v>
      </c>
      <c r="G50" s="223" t="s">
        <v>604</v>
      </c>
      <c r="H50" s="223" t="s">
        <v>604</v>
      </c>
      <c r="I50" s="233" t="s">
        <v>8483</v>
      </c>
      <c r="J50" s="223" t="s">
        <v>8484</v>
      </c>
      <c r="K50" s="232" t="s">
        <v>8485</v>
      </c>
      <c r="L50" s="221" t="s">
        <v>8356</v>
      </c>
      <c r="M50" s="6" t="s">
        <v>5193</v>
      </c>
      <c r="N50" s="28" t="s">
        <v>604</v>
      </c>
      <c r="O50" s="28" t="s">
        <v>604</v>
      </c>
      <c r="P50" s="28" t="s">
        <v>8535</v>
      </c>
      <c r="Q50" s="221" t="s">
        <v>6380</v>
      </c>
    </row>
    <row r="51" customFormat="false" ht="29.25" hidden="false" customHeight="true" outlineLevel="0" collapsed="false">
      <c r="A51" s="223" t="s">
        <v>6880</v>
      </c>
      <c r="B51" s="223" t="s">
        <v>5712</v>
      </c>
      <c r="C51" s="232" t="s">
        <v>8538</v>
      </c>
      <c r="D51" s="223" t="s">
        <v>6881</v>
      </c>
      <c r="E51" s="233" t="s">
        <v>8481</v>
      </c>
      <c r="F51" s="233" t="s">
        <v>8482</v>
      </c>
      <c r="G51" s="223" t="s">
        <v>604</v>
      </c>
      <c r="H51" s="223" t="s">
        <v>604</v>
      </c>
      <c r="I51" s="233" t="s">
        <v>8483</v>
      </c>
      <c r="J51" s="223" t="s">
        <v>8484</v>
      </c>
      <c r="K51" s="232" t="s">
        <v>8485</v>
      </c>
      <c r="L51" s="221" t="s">
        <v>8356</v>
      </c>
      <c r="M51" s="6" t="s">
        <v>2792</v>
      </c>
      <c r="N51" s="28" t="s">
        <v>604</v>
      </c>
      <c r="O51" s="28" t="s">
        <v>604</v>
      </c>
      <c r="P51" s="28" t="s">
        <v>8510</v>
      </c>
      <c r="Q51" s="221" t="s">
        <v>6273</v>
      </c>
    </row>
    <row r="52" customFormat="false" ht="29.25" hidden="false" customHeight="true" outlineLevel="0" collapsed="false">
      <c r="A52" s="223" t="s">
        <v>6892</v>
      </c>
      <c r="B52" s="223" t="s">
        <v>5712</v>
      </c>
      <c r="C52" s="232" t="s">
        <v>8539</v>
      </c>
      <c r="D52" s="223" t="s">
        <v>6893</v>
      </c>
      <c r="E52" s="233" t="s">
        <v>8481</v>
      </c>
      <c r="F52" s="233" t="s">
        <v>8482</v>
      </c>
      <c r="G52" s="223" t="s">
        <v>604</v>
      </c>
      <c r="H52" s="223" t="s">
        <v>604</v>
      </c>
      <c r="I52" s="233" t="s">
        <v>8483</v>
      </c>
      <c r="J52" s="223" t="s">
        <v>8484</v>
      </c>
      <c r="K52" s="232" t="s">
        <v>8485</v>
      </c>
      <c r="L52" s="221" t="s">
        <v>8356</v>
      </c>
      <c r="M52" s="6" t="s">
        <v>6884</v>
      </c>
      <c r="N52" s="28" t="s">
        <v>604</v>
      </c>
      <c r="O52" s="28" t="s">
        <v>604</v>
      </c>
      <c r="P52" s="28" t="s">
        <v>8510</v>
      </c>
      <c r="Q52" s="221" t="s">
        <v>6273</v>
      </c>
    </row>
    <row r="53" customFormat="false" ht="29.25" hidden="false" customHeight="true" outlineLevel="0" collapsed="false">
      <c r="A53" s="223" t="s">
        <v>8540</v>
      </c>
      <c r="B53" s="223" t="s">
        <v>5712</v>
      </c>
      <c r="C53" s="232" t="s">
        <v>8541</v>
      </c>
      <c r="D53" s="223" t="s">
        <v>6901</v>
      </c>
      <c r="E53" s="233" t="s">
        <v>8481</v>
      </c>
      <c r="F53" s="233" t="s">
        <v>8482</v>
      </c>
      <c r="G53" s="223" t="s">
        <v>604</v>
      </c>
      <c r="H53" s="223" t="s">
        <v>604</v>
      </c>
      <c r="I53" s="233" t="s">
        <v>8483</v>
      </c>
      <c r="J53" s="223" t="s">
        <v>8484</v>
      </c>
      <c r="K53" s="232" t="s">
        <v>8485</v>
      </c>
      <c r="L53" s="221" t="s">
        <v>8356</v>
      </c>
      <c r="M53" s="6" t="s">
        <v>8382</v>
      </c>
      <c r="N53" s="28" t="s">
        <v>604</v>
      </c>
      <c r="O53" s="28" t="s">
        <v>604</v>
      </c>
      <c r="P53" s="28" t="s">
        <v>8535</v>
      </c>
      <c r="Q53" s="221" t="s">
        <v>6273</v>
      </c>
    </row>
    <row r="54" customFormat="false" ht="40.5" hidden="false" customHeight="true" outlineLevel="0" collapsed="false">
      <c r="A54" s="223" t="s">
        <v>6914</v>
      </c>
      <c r="B54" s="223" t="s">
        <v>5712</v>
      </c>
      <c r="C54" s="232" t="s">
        <v>8542</v>
      </c>
      <c r="D54" s="223" t="s">
        <v>969</v>
      </c>
      <c r="E54" s="233" t="s">
        <v>8481</v>
      </c>
      <c r="F54" s="233" t="s">
        <v>8482</v>
      </c>
      <c r="G54" s="223" t="s">
        <v>604</v>
      </c>
      <c r="H54" s="223" t="s">
        <v>604</v>
      </c>
      <c r="I54" s="233" t="s">
        <v>8483</v>
      </c>
      <c r="J54" s="223" t="s">
        <v>8484</v>
      </c>
      <c r="K54" s="232" t="s">
        <v>8485</v>
      </c>
      <c r="L54" s="221" t="s">
        <v>8356</v>
      </c>
      <c r="M54" s="6" t="s">
        <v>8543</v>
      </c>
      <c r="N54" s="28" t="s">
        <v>604</v>
      </c>
      <c r="O54" s="28" t="s">
        <v>604</v>
      </c>
      <c r="P54" s="28" t="s">
        <v>8486</v>
      </c>
      <c r="Q54" s="221" t="s">
        <v>6273</v>
      </c>
    </row>
    <row r="55" customFormat="false" ht="29.25" hidden="false" customHeight="true" outlineLevel="0" collapsed="false">
      <c r="A55" s="223" t="s">
        <v>8544</v>
      </c>
      <c r="B55" s="223" t="s">
        <v>5712</v>
      </c>
      <c r="C55" s="232" t="s">
        <v>8545</v>
      </c>
      <c r="D55" s="223" t="s">
        <v>6930</v>
      </c>
      <c r="E55" s="233" t="s">
        <v>8481</v>
      </c>
      <c r="F55" s="233" t="s">
        <v>8482</v>
      </c>
      <c r="G55" s="223" t="s">
        <v>604</v>
      </c>
      <c r="H55" s="223" t="s">
        <v>604</v>
      </c>
      <c r="I55" s="233" t="s">
        <v>8483</v>
      </c>
      <c r="J55" s="223" t="s">
        <v>8484</v>
      </c>
      <c r="K55" s="232" t="s">
        <v>8485</v>
      </c>
      <c r="L55" s="221" t="s">
        <v>8356</v>
      </c>
      <c r="M55" s="6" t="s">
        <v>4757</v>
      </c>
      <c r="N55" s="28" t="s">
        <v>604</v>
      </c>
      <c r="O55" s="28" t="s">
        <v>604</v>
      </c>
      <c r="P55" s="28" t="s">
        <v>8535</v>
      </c>
      <c r="Q55" s="221" t="s">
        <v>6273</v>
      </c>
    </row>
    <row r="56" customFormat="false" ht="29.25" hidden="false" customHeight="true" outlineLevel="0" collapsed="false">
      <c r="A56" s="223" t="s">
        <v>8546</v>
      </c>
      <c r="B56" s="223" t="s">
        <v>5712</v>
      </c>
      <c r="C56" s="232" t="s">
        <v>8547</v>
      </c>
      <c r="D56" s="223" t="s">
        <v>6940</v>
      </c>
      <c r="E56" s="233" t="s">
        <v>8481</v>
      </c>
      <c r="F56" s="233" t="s">
        <v>8482</v>
      </c>
      <c r="G56" s="223" t="s">
        <v>604</v>
      </c>
      <c r="H56" s="223" t="s">
        <v>604</v>
      </c>
      <c r="I56" s="233" t="s">
        <v>8483</v>
      </c>
      <c r="J56" s="223" t="s">
        <v>8484</v>
      </c>
      <c r="K56" s="232" t="s">
        <v>8485</v>
      </c>
      <c r="L56" s="221" t="s">
        <v>8356</v>
      </c>
      <c r="M56" s="6" t="s">
        <v>6933</v>
      </c>
      <c r="N56" s="28" t="s">
        <v>604</v>
      </c>
      <c r="O56" s="28" t="s">
        <v>604</v>
      </c>
      <c r="P56" s="28" t="s">
        <v>8535</v>
      </c>
      <c r="Q56" s="221" t="s">
        <v>6273</v>
      </c>
    </row>
    <row r="57" customFormat="false" ht="29.25" hidden="false" customHeight="true" outlineLevel="0" collapsed="false">
      <c r="A57" s="223" t="s">
        <v>8548</v>
      </c>
      <c r="B57" s="223" t="s">
        <v>5712</v>
      </c>
      <c r="C57" s="232" t="s">
        <v>8549</v>
      </c>
      <c r="D57" s="223" t="s">
        <v>6945</v>
      </c>
      <c r="E57" s="233" t="s">
        <v>8481</v>
      </c>
      <c r="F57" s="233" t="s">
        <v>8482</v>
      </c>
      <c r="G57" s="223" t="s">
        <v>604</v>
      </c>
      <c r="H57" s="223" t="s">
        <v>604</v>
      </c>
      <c r="I57" s="233" t="s">
        <v>8483</v>
      </c>
      <c r="J57" s="223" t="s">
        <v>8484</v>
      </c>
      <c r="K57" s="232" t="s">
        <v>8485</v>
      </c>
      <c r="L57" s="221" t="s">
        <v>8356</v>
      </c>
      <c r="M57" s="6" t="s">
        <v>8550</v>
      </c>
      <c r="N57" s="28" t="s">
        <v>604</v>
      </c>
      <c r="O57" s="28" t="s">
        <v>604</v>
      </c>
      <c r="P57" s="28" t="s">
        <v>8510</v>
      </c>
      <c r="Q57" s="221" t="s">
        <v>6273</v>
      </c>
    </row>
    <row r="58" customFormat="false" ht="29.25" hidden="false" customHeight="true" outlineLevel="0" collapsed="false">
      <c r="A58" s="223" t="s">
        <v>8551</v>
      </c>
      <c r="B58" s="223" t="s">
        <v>5712</v>
      </c>
      <c r="C58" s="232" t="s">
        <v>8552</v>
      </c>
      <c r="D58" s="223" t="s">
        <v>6954</v>
      </c>
      <c r="E58" s="233" t="s">
        <v>8481</v>
      </c>
      <c r="F58" s="233" t="s">
        <v>8482</v>
      </c>
      <c r="G58" s="223" t="s">
        <v>604</v>
      </c>
      <c r="H58" s="223" t="s">
        <v>604</v>
      </c>
      <c r="I58" s="233" t="s">
        <v>8483</v>
      </c>
      <c r="J58" s="223" t="s">
        <v>8484</v>
      </c>
      <c r="K58" s="232" t="s">
        <v>8485</v>
      </c>
      <c r="L58" s="221" t="s">
        <v>8356</v>
      </c>
      <c r="M58" s="6" t="s">
        <v>8553</v>
      </c>
      <c r="N58" s="28" t="s">
        <v>604</v>
      </c>
      <c r="O58" s="28" t="s">
        <v>604</v>
      </c>
      <c r="P58" s="28" t="s">
        <v>8535</v>
      </c>
      <c r="Q58" s="221" t="s">
        <v>6273</v>
      </c>
    </row>
    <row r="59" customFormat="false" ht="29.25" hidden="false" customHeight="true" outlineLevel="0" collapsed="false">
      <c r="A59" s="223" t="s">
        <v>7033</v>
      </c>
      <c r="B59" s="223" t="s">
        <v>5712</v>
      </c>
      <c r="C59" s="232" t="s">
        <v>8554</v>
      </c>
      <c r="D59" s="223" t="s">
        <v>450</v>
      </c>
      <c r="E59" s="233" t="s">
        <v>8481</v>
      </c>
      <c r="F59" s="233" t="s">
        <v>8482</v>
      </c>
      <c r="G59" s="223" t="s">
        <v>604</v>
      </c>
      <c r="H59" s="223" t="s">
        <v>604</v>
      </c>
      <c r="I59" s="233" t="s">
        <v>8483</v>
      </c>
      <c r="J59" s="223" t="s">
        <v>8484</v>
      </c>
      <c r="K59" s="232" t="s">
        <v>8485</v>
      </c>
      <c r="L59" s="221" t="s">
        <v>8356</v>
      </c>
      <c r="M59" s="6" t="s">
        <v>8555</v>
      </c>
      <c r="N59" s="28" t="s">
        <v>604</v>
      </c>
      <c r="O59" s="28" t="s">
        <v>604</v>
      </c>
      <c r="P59" s="28" t="s">
        <v>8535</v>
      </c>
      <c r="Q59" s="221" t="s">
        <v>6273</v>
      </c>
    </row>
    <row r="60" customFormat="false" ht="43.5" hidden="false" customHeight="true" outlineLevel="0" collapsed="false">
      <c r="A60" s="223" t="s">
        <v>7048</v>
      </c>
      <c r="B60" s="223" t="s">
        <v>5712</v>
      </c>
      <c r="C60" s="232" t="s">
        <v>8556</v>
      </c>
      <c r="D60" s="223" t="s">
        <v>449</v>
      </c>
      <c r="E60" s="233" t="s">
        <v>8481</v>
      </c>
      <c r="F60" s="233" t="s">
        <v>8482</v>
      </c>
      <c r="G60" s="223" t="s">
        <v>604</v>
      </c>
      <c r="H60" s="223" t="s">
        <v>604</v>
      </c>
      <c r="I60" s="233" t="s">
        <v>8483</v>
      </c>
      <c r="J60" s="223" t="s">
        <v>8484</v>
      </c>
      <c r="K60" s="232" t="s">
        <v>8485</v>
      </c>
      <c r="L60" s="221" t="s">
        <v>8356</v>
      </c>
      <c r="M60" s="6" t="s">
        <v>8557</v>
      </c>
      <c r="N60" s="28" t="s">
        <v>604</v>
      </c>
      <c r="O60" s="28" t="s">
        <v>604</v>
      </c>
      <c r="P60" s="28" t="s">
        <v>8535</v>
      </c>
      <c r="Q60" s="221" t="s">
        <v>6273</v>
      </c>
    </row>
    <row r="61" customFormat="false" ht="43.5" hidden="false" customHeight="true" outlineLevel="0" collapsed="false">
      <c r="A61" s="223" t="s">
        <v>7083</v>
      </c>
      <c r="B61" s="223" t="s">
        <v>5712</v>
      </c>
      <c r="C61" s="232" t="s">
        <v>8558</v>
      </c>
      <c r="D61" s="223" t="s">
        <v>448</v>
      </c>
      <c r="E61" s="233" t="s">
        <v>8481</v>
      </c>
      <c r="F61" s="233" t="s">
        <v>8482</v>
      </c>
      <c r="G61" s="223" t="s">
        <v>604</v>
      </c>
      <c r="H61" s="223" t="s">
        <v>604</v>
      </c>
      <c r="I61" s="233" t="s">
        <v>8483</v>
      </c>
      <c r="J61" s="223" t="s">
        <v>8484</v>
      </c>
      <c r="K61" s="232" t="s">
        <v>8485</v>
      </c>
      <c r="L61" s="221" t="s">
        <v>8356</v>
      </c>
      <c r="M61" s="6" t="s">
        <v>8559</v>
      </c>
      <c r="N61" s="28" t="s">
        <v>604</v>
      </c>
      <c r="O61" s="28" t="s">
        <v>604</v>
      </c>
      <c r="P61" s="28" t="s">
        <v>8486</v>
      </c>
      <c r="Q61" s="221" t="s">
        <v>6273</v>
      </c>
    </row>
    <row r="62" customFormat="false" ht="29.25" hidden="false" customHeight="true" outlineLevel="0" collapsed="false">
      <c r="A62" s="223" t="s">
        <v>7094</v>
      </c>
      <c r="B62" s="223" t="s">
        <v>5712</v>
      </c>
      <c r="C62" s="232" t="s">
        <v>8560</v>
      </c>
      <c r="D62" s="223" t="s">
        <v>451</v>
      </c>
      <c r="E62" s="233" t="s">
        <v>8481</v>
      </c>
      <c r="F62" s="233" t="s">
        <v>8482</v>
      </c>
      <c r="G62" s="223" t="s">
        <v>604</v>
      </c>
      <c r="H62" s="223" t="s">
        <v>604</v>
      </c>
      <c r="I62" s="233" t="s">
        <v>8483</v>
      </c>
      <c r="J62" s="223" t="s">
        <v>8484</v>
      </c>
      <c r="K62" s="232" t="s">
        <v>8485</v>
      </c>
      <c r="L62" s="221" t="s">
        <v>8356</v>
      </c>
      <c r="M62" s="6" t="s">
        <v>8561</v>
      </c>
      <c r="N62" s="28" t="s">
        <v>604</v>
      </c>
      <c r="O62" s="28" t="s">
        <v>604</v>
      </c>
      <c r="P62" s="28" t="s">
        <v>8535</v>
      </c>
      <c r="Q62" s="221" t="s">
        <v>6273</v>
      </c>
    </row>
    <row r="63" customFormat="false" ht="29.25" hidden="false" customHeight="true" outlineLevel="0" collapsed="false">
      <c r="A63" s="223" t="s">
        <v>7104</v>
      </c>
      <c r="B63" s="223" t="s">
        <v>5712</v>
      </c>
      <c r="C63" s="232" t="s">
        <v>8562</v>
      </c>
      <c r="D63" s="223" t="s">
        <v>7105</v>
      </c>
      <c r="E63" s="233" t="s">
        <v>8481</v>
      </c>
      <c r="F63" s="233" t="s">
        <v>8482</v>
      </c>
      <c r="G63" s="223" t="s">
        <v>604</v>
      </c>
      <c r="H63" s="223" t="s">
        <v>604</v>
      </c>
      <c r="I63" s="233" t="s">
        <v>8483</v>
      </c>
      <c r="J63" s="223" t="s">
        <v>8484</v>
      </c>
      <c r="K63" s="232" t="s">
        <v>8485</v>
      </c>
      <c r="L63" s="221" t="s">
        <v>8356</v>
      </c>
      <c r="M63" s="6" t="s">
        <v>8563</v>
      </c>
      <c r="N63" s="28" t="s">
        <v>604</v>
      </c>
      <c r="O63" s="28" t="s">
        <v>604</v>
      </c>
      <c r="P63" s="28" t="s">
        <v>8535</v>
      </c>
      <c r="Q63" s="221" t="s">
        <v>6273</v>
      </c>
    </row>
    <row r="64" customFormat="false" ht="43.5" hidden="false" customHeight="true" outlineLevel="0" collapsed="false">
      <c r="A64" s="223" t="s">
        <v>7115</v>
      </c>
      <c r="B64" s="223" t="s">
        <v>5712</v>
      </c>
      <c r="C64" s="232" t="s">
        <v>8564</v>
      </c>
      <c r="D64" s="223" t="s">
        <v>7116</v>
      </c>
      <c r="E64" s="233" t="s">
        <v>8481</v>
      </c>
      <c r="F64" s="233" t="s">
        <v>8482</v>
      </c>
      <c r="G64" s="223" t="s">
        <v>604</v>
      </c>
      <c r="H64" s="223" t="s">
        <v>604</v>
      </c>
      <c r="I64" s="233" t="s">
        <v>8483</v>
      </c>
      <c r="J64" s="223" t="s">
        <v>8484</v>
      </c>
      <c r="K64" s="232" t="s">
        <v>8485</v>
      </c>
      <c r="L64" s="221" t="s">
        <v>8356</v>
      </c>
      <c r="M64" s="6" t="s">
        <v>8565</v>
      </c>
      <c r="N64" s="28" t="s">
        <v>604</v>
      </c>
      <c r="O64" s="28" t="s">
        <v>604</v>
      </c>
      <c r="P64" s="28" t="s">
        <v>8535</v>
      </c>
      <c r="Q64" s="221" t="s">
        <v>6380</v>
      </c>
    </row>
    <row r="65" customFormat="false" ht="29.25" hidden="false" customHeight="true" outlineLevel="0" collapsed="false">
      <c r="A65" s="223" t="s">
        <v>7137</v>
      </c>
      <c r="B65" s="223" t="s">
        <v>5712</v>
      </c>
      <c r="C65" s="232" t="s">
        <v>8566</v>
      </c>
      <c r="D65" s="223" t="s">
        <v>7138</v>
      </c>
      <c r="E65" s="233" t="s">
        <v>8481</v>
      </c>
      <c r="F65" s="233" t="s">
        <v>8482</v>
      </c>
      <c r="G65" s="223" t="s">
        <v>604</v>
      </c>
      <c r="H65" s="223" t="s">
        <v>604</v>
      </c>
      <c r="I65" s="233" t="s">
        <v>8483</v>
      </c>
      <c r="J65" s="223" t="s">
        <v>8484</v>
      </c>
      <c r="K65" s="232" t="s">
        <v>8485</v>
      </c>
      <c r="L65" s="221" t="s">
        <v>8356</v>
      </c>
      <c r="M65" s="6" t="s">
        <v>7130</v>
      </c>
      <c r="N65" s="28" t="s">
        <v>604</v>
      </c>
      <c r="O65" s="28" t="s">
        <v>604</v>
      </c>
      <c r="P65" s="28" t="s">
        <v>8486</v>
      </c>
      <c r="Q65" s="221" t="s">
        <v>6273</v>
      </c>
    </row>
    <row r="66" customFormat="false" ht="29.25" hidden="false" customHeight="true" outlineLevel="0" collapsed="false">
      <c r="A66" s="223" t="s">
        <v>7148</v>
      </c>
      <c r="B66" s="223" t="s">
        <v>5712</v>
      </c>
      <c r="C66" s="232" t="s">
        <v>8567</v>
      </c>
      <c r="D66" s="223" t="s">
        <v>7149</v>
      </c>
      <c r="E66" s="233" t="s">
        <v>8481</v>
      </c>
      <c r="F66" s="233" t="s">
        <v>8482</v>
      </c>
      <c r="G66" s="223" t="s">
        <v>604</v>
      </c>
      <c r="H66" s="223" t="s">
        <v>604</v>
      </c>
      <c r="I66" s="233" t="s">
        <v>8483</v>
      </c>
      <c r="J66" s="223" t="s">
        <v>8484</v>
      </c>
      <c r="K66" s="232" t="s">
        <v>8485</v>
      </c>
      <c r="L66" s="221" t="s">
        <v>8356</v>
      </c>
      <c r="M66" s="6" t="s">
        <v>8568</v>
      </c>
      <c r="N66" s="28" t="s">
        <v>604</v>
      </c>
      <c r="O66" s="28" t="s">
        <v>604</v>
      </c>
      <c r="P66" s="28" t="s">
        <v>8510</v>
      </c>
      <c r="Q66" s="221" t="s">
        <v>6273</v>
      </c>
    </row>
    <row r="67" customFormat="false" ht="29.25" hidden="false" customHeight="true" outlineLevel="0" collapsed="false">
      <c r="A67" s="223" t="s">
        <v>8569</v>
      </c>
      <c r="B67" s="223" t="s">
        <v>5712</v>
      </c>
      <c r="C67" s="232" t="s">
        <v>8570</v>
      </c>
      <c r="D67" s="223" t="s">
        <v>3434</v>
      </c>
      <c r="E67" s="233" t="s">
        <v>8481</v>
      </c>
      <c r="F67" s="233" t="s">
        <v>8482</v>
      </c>
      <c r="G67" s="223" t="s">
        <v>604</v>
      </c>
      <c r="H67" s="223" t="s">
        <v>604</v>
      </c>
      <c r="I67" s="233" t="s">
        <v>8483</v>
      </c>
      <c r="J67" s="223" t="s">
        <v>8484</v>
      </c>
      <c r="K67" s="232" t="s">
        <v>8485</v>
      </c>
      <c r="L67" s="221" t="s">
        <v>8356</v>
      </c>
      <c r="M67" s="6" t="s">
        <v>8571</v>
      </c>
      <c r="N67" s="28" t="s">
        <v>604</v>
      </c>
      <c r="O67" s="28" t="s">
        <v>604</v>
      </c>
      <c r="P67" s="28" t="s">
        <v>8510</v>
      </c>
      <c r="Q67" s="221" t="s">
        <v>6273</v>
      </c>
    </row>
    <row r="68" customFormat="false" ht="57.75" hidden="false" customHeight="true" outlineLevel="0" collapsed="false">
      <c r="A68" s="223" t="s">
        <v>7175</v>
      </c>
      <c r="B68" s="223" t="s">
        <v>5712</v>
      </c>
      <c r="C68" s="232" t="s">
        <v>8572</v>
      </c>
      <c r="D68" s="223" t="s">
        <v>7176</v>
      </c>
      <c r="E68" s="233" t="s">
        <v>8481</v>
      </c>
      <c r="F68" s="233" t="s">
        <v>8482</v>
      </c>
      <c r="G68" s="223" t="s">
        <v>604</v>
      </c>
      <c r="H68" s="223" t="s">
        <v>604</v>
      </c>
      <c r="I68" s="233" t="s">
        <v>8483</v>
      </c>
      <c r="J68" s="223" t="s">
        <v>8484</v>
      </c>
      <c r="K68" s="232" t="s">
        <v>8485</v>
      </c>
      <c r="L68" s="221" t="s">
        <v>8356</v>
      </c>
      <c r="M68" s="6" t="s">
        <v>8573</v>
      </c>
      <c r="N68" s="28" t="s">
        <v>604</v>
      </c>
      <c r="O68" s="28" t="s">
        <v>604</v>
      </c>
      <c r="P68" s="28" t="s">
        <v>8535</v>
      </c>
      <c r="Q68" s="221" t="s">
        <v>6380</v>
      </c>
    </row>
    <row r="69" customFormat="false" ht="29.25" hidden="false" customHeight="true" outlineLevel="0" collapsed="false">
      <c r="A69" s="223" t="s">
        <v>8574</v>
      </c>
      <c r="B69" s="223" t="s">
        <v>5712</v>
      </c>
      <c r="C69" s="232" t="s">
        <v>8575</v>
      </c>
      <c r="D69" s="223" t="s">
        <v>7202</v>
      </c>
      <c r="E69" s="233" t="s">
        <v>8481</v>
      </c>
      <c r="F69" s="233" t="s">
        <v>8482</v>
      </c>
      <c r="G69" s="223" t="s">
        <v>604</v>
      </c>
      <c r="H69" s="223" t="s">
        <v>604</v>
      </c>
      <c r="I69" s="233" t="s">
        <v>8483</v>
      </c>
      <c r="J69" s="223" t="s">
        <v>8484</v>
      </c>
      <c r="K69" s="232" t="s">
        <v>8485</v>
      </c>
      <c r="L69" s="221" t="s">
        <v>8356</v>
      </c>
      <c r="M69" s="6" t="s">
        <v>8576</v>
      </c>
      <c r="N69" s="28" t="s">
        <v>604</v>
      </c>
      <c r="O69" s="28" t="s">
        <v>604</v>
      </c>
      <c r="P69" s="28" t="s">
        <v>8486</v>
      </c>
      <c r="Q69" s="221" t="s">
        <v>6273</v>
      </c>
    </row>
    <row r="70" customFormat="false" ht="29.25" hidden="false" customHeight="true" outlineLevel="0" collapsed="false">
      <c r="A70" s="223" t="s">
        <v>8577</v>
      </c>
      <c r="B70" s="223" t="s">
        <v>5712</v>
      </c>
      <c r="C70" s="232" t="s">
        <v>8578</v>
      </c>
      <c r="D70" s="223" t="s">
        <v>7216</v>
      </c>
      <c r="E70" s="233" t="s">
        <v>8481</v>
      </c>
      <c r="F70" s="233" t="s">
        <v>8482</v>
      </c>
      <c r="G70" s="223" t="s">
        <v>604</v>
      </c>
      <c r="H70" s="223" t="s">
        <v>604</v>
      </c>
      <c r="I70" s="233" t="s">
        <v>8483</v>
      </c>
      <c r="J70" s="223" t="s">
        <v>8484</v>
      </c>
      <c r="K70" s="232" t="s">
        <v>8485</v>
      </c>
      <c r="L70" s="221" t="s">
        <v>8356</v>
      </c>
      <c r="M70" s="6" t="s">
        <v>8411</v>
      </c>
      <c r="N70" s="28" t="s">
        <v>604</v>
      </c>
      <c r="O70" s="28" t="s">
        <v>604</v>
      </c>
      <c r="P70" s="28" t="s">
        <v>8535</v>
      </c>
      <c r="Q70" s="221" t="s">
        <v>6273</v>
      </c>
    </row>
    <row r="71" customFormat="false" ht="83.25" hidden="false" customHeight="true" outlineLevel="0" collapsed="false">
      <c r="A71" s="223" t="s">
        <v>6571</v>
      </c>
      <c r="B71" s="223" t="s">
        <v>5712</v>
      </c>
      <c r="C71" s="232" t="s">
        <v>8579</v>
      </c>
      <c r="D71" s="223" t="s">
        <v>6564</v>
      </c>
      <c r="E71" s="233" t="s">
        <v>8580</v>
      </c>
      <c r="F71" s="233" t="s">
        <v>8482</v>
      </c>
      <c r="G71" s="223" t="s">
        <v>604</v>
      </c>
      <c r="H71" s="223" t="s">
        <v>604</v>
      </c>
      <c r="I71" s="233" t="s">
        <v>8581</v>
      </c>
      <c r="J71" s="223" t="s">
        <v>8484</v>
      </c>
      <c r="K71" s="232" t="s">
        <v>8582</v>
      </c>
      <c r="L71" s="221" t="s">
        <v>8356</v>
      </c>
      <c r="M71" s="6" t="s">
        <v>8583</v>
      </c>
      <c r="N71" s="28" t="s">
        <v>604</v>
      </c>
      <c r="O71" s="28" t="s">
        <v>604</v>
      </c>
      <c r="P71" s="28" t="s">
        <v>8486</v>
      </c>
      <c r="Q71" s="221" t="s">
        <v>8584</v>
      </c>
    </row>
    <row r="72" customFormat="false" ht="29.25" hidden="false" customHeight="true" outlineLevel="0" collapsed="false">
      <c r="A72" s="223" t="s">
        <v>7320</v>
      </c>
      <c r="B72" s="223" t="s">
        <v>8585</v>
      </c>
      <c r="C72" s="232" t="s">
        <v>8586</v>
      </c>
      <c r="D72" s="223" t="s">
        <v>7321</v>
      </c>
      <c r="E72" s="233" t="s">
        <v>8481</v>
      </c>
      <c r="F72" s="233" t="s">
        <v>8482</v>
      </c>
      <c r="G72" s="223" t="s">
        <v>604</v>
      </c>
      <c r="H72" s="223" t="s">
        <v>604</v>
      </c>
      <c r="I72" s="233" t="s">
        <v>8483</v>
      </c>
      <c r="J72" s="223" t="s">
        <v>8587</v>
      </c>
      <c r="K72" s="232" t="s">
        <v>8485</v>
      </c>
      <c r="L72" s="221" t="s">
        <v>8356</v>
      </c>
      <c r="M72" s="6" t="s">
        <v>2775</v>
      </c>
      <c r="N72" s="28" t="s">
        <v>604</v>
      </c>
      <c r="O72" s="28" t="s">
        <v>604</v>
      </c>
      <c r="P72" s="28" t="s">
        <v>8486</v>
      </c>
      <c r="Q72" s="221" t="s">
        <v>6273</v>
      </c>
    </row>
    <row r="73" customFormat="false" ht="29.25" hidden="false" customHeight="true" outlineLevel="0" collapsed="false">
      <c r="A73" s="223" t="s">
        <v>7330</v>
      </c>
      <c r="B73" s="223" t="s">
        <v>8585</v>
      </c>
      <c r="C73" s="232" t="s">
        <v>8588</v>
      </c>
      <c r="D73" s="223" t="s">
        <v>7331</v>
      </c>
      <c r="E73" s="233" t="s">
        <v>8481</v>
      </c>
      <c r="F73" s="233" t="s">
        <v>8482</v>
      </c>
      <c r="G73" s="223" t="s">
        <v>604</v>
      </c>
      <c r="H73" s="223" t="s">
        <v>604</v>
      </c>
      <c r="I73" s="233" t="s">
        <v>8483</v>
      </c>
      <c r="J73" s="223" t="s">
        <v>8587</v>
      </c>
      <c r="K73" s="232" t="s">
        <v>8485</v>
      </c>
      <c r="L73" s="221" t="s">
        <v>8356</v>
      </c>
      <c r="M73" s="6" t="s">
        <v>2782</v>
      </c>
      <c r="N73" s="28" t="s">
        <v>604</v>
      </c>
      <c r="O73" s="28" t="s">
        <v>604</v>
      </c>
      <c r="P73" s="28" t="s">
        <v>8510</v>
      </c>
      <c r="Q73" s="221" t="s">
        <v>6380</v>
      </c>
    </row>
    <row r="74" customFormat="false" ht="29.25" hidden="false" customHeight="true" outlineLevel="0" collapsed="false">
      <c r="A74" s="223" t="s">
        <v>7581</v>
      </c>
      <c r="B74" s="223" t="s">
        <v>8585</v>
      </c>
      <c r="C74" s="232" t="s">
        <v>8589</v>
      </c>
      <c r="D74" s="223" t="s">
        <v>7582</v>
      </c>
      <c r="E74" s="233" t="s">
        <v>8481</v>
      </c>
      <c r="F74" s="233" t="s">
        <v>8482</v>
      </c>
      <c r="G74" s="223" t="s">
        <v>604</v>
      </c>
      <c r="H74" s="223" t="s">
        <v>604</v>
      </c>
      <c r="I74" s="233" t="s">
        <v>8483</v>
      </c>
      <c r="J74" s="223" t="s">
        <v>8587</v>
      </c>
      <c r="K74" s="232" t="s">
        <v>8485</v>
      </c>
      <c r="L74" s="221" t="s">
        <v>8356</v>
      </c>
      <c r="M74" s="6" t="s">
        <v>8462</v>
      </c>
      <c r="N74" s="28" t="s">
        <v>604</v>
      </c>
      <c r="O74" s="28" t="s">
        <v>604</v>
      </c>
      <c r="P74" s="28" t="s">
        <v>8510</v>
      </c>
      <c r="Q74" s="221" t="s">
        <v>6273</v>
      </c>
    </row>
    <row r="75" customFormat="false" ht="29.25" hidden="false" customHeight="true" outlineLevel="0" collapsed="false">
      <c r="A75" s="223" t="s">
        <v>7648</v>
      </c>
      <c r="B75" s="223" t="s">
        <v>8585</v>
      </c>
      <c r="C75" s="232" t="s">
        <v>8590</v>
      </c>
      <c r="D75" s="223" t="s">
        <v>7649</v>
      </c>
      <c r="E75" s="233" t="s">
        <v>8481</v>
      </c>
      <c r="F75" s="233" t="s">
        <v>8482</v>
      </c>
      <c r="G75" s="223" t="s">
        <v>604</v>
      </c>
      <c r="H75" s="223" t="s">
        <v>604</v>
      </c>
      <c r="I75" s="233" t="s">
        <v>8483</v>
      </c>
      <c r="J75" s="223" t="s">
        <v>8587</v>
      </c>
      <c r="K75" s="232" t="s">
        <v>8485</v>
      </c>
      <c r="L75" s="221" t="s">
        <v>8356</v>
      </c>
      <c r="M75" s="6" t="s">
        <v>8375</v>
      </c>
      <c r="N75" s="28" t="s">
        <v>604</v>
      </c>
      <c r="O75" s="28" t="s">
        <v>604</v>
      </c>
      <c r="P75" s="28" t="s">
        <v>8535</v>
      </c>
      <c r="Q75" s="221" t="s">
        <v>6380</v>
      </c>
    </row>
    <row r="76" customFormat="false" ht="69" hidden="false" customHeight="true" outlineLevel="0" collapsed="false">
      <c r="A76" s="223" t="s">
        <v>7339</v>
      </c>
      <c r="B76" s="223" t="s">
        <v>8585</v>
      </c>
      <c r="C76" s="232" t="s">
        <v>8591</v>
      </c>
      <c r="D76" s="223" t="s">
        <v>7340</v>
      </c>
      <c r="E76" s="233" t="s">
        <v>8481</v>
      </c>
      <c r="F76" s="233" t="s">
        <v>8482</v>
      </c>
      <c r="G76" s="223" t="s">
        <v>604</v>
      </c>
      <c r="H76" s="223" t="s">
        <v>604</v>
      </c>
      <c r="I76" s="233" t="s">
        <v>8483</v>
      </c>
      <c r="J76" s="223" t="s">
        <v>8587</v>
      </c>
      <c r="K76" s="232" t="s">
        <v>8485</v>
      </c>
      <c r="L76" s="221" t="s">
        <v>8356</v>
      </c>
      <c r="M76" s="6" t="s">
        <v>8592</v>
      </c>
      <c r="N76" s="28" t="s">
        <v>604</v>
      </c>
      <c r="O76" s="28" t="s">
        <v>604</v>
      </c>
      <c r="P76" s="28" t="s">
        <v>8535</v>
      </c>
      <c r="Q76" s="221" t="s">
        <v>6273</v>
      </c>
    </row>
    <row r="77" customFormat="false" ht="69" hidden="false" customHeight="true" outlineLevel="0" collapsed="false">
      <c r="A77" s="223" t="s">
        <v>7370</v>
      </c>
      <c r="B77" s="223" t="s">
        <v>8585</v>
      </c>
      <c r="C77" s="232" t="s">
        <v>8593</v>
      </c>
      <c r="D77" s="223" t="s">
        <v>7371</v>
      </c>
      <c r="E77" s="233" t="s">
        <v>8481</v>
      </c>
      <c r="F77" s="233" t="s">
        <v>8482</v>
      </c>
      <c r="G77" s="223" t="s">
        <v>604</v>
      </c>
      <c r="H77" s="223" t="s">
        <v>604</v>
      </c>
      <c r="I77" s="233" t="s">
        <v>8483</v>
      </c>
      <c r="J77" s="223" t="s">
        <v>8587</v>
      </c>
      <c r="K77" s="232" t="s">
        <v>8485</v>
      </c>
      <c r="L77" s="221" t="s">
        <v>8356</v>
      </c>
      <c r="M77" s="6" t="s">
        <v>8444</v>
      </c>
      <c r="N77" s="28" t="s">
        <v>604</v>
      </c>
      <c r="O77" s="28" t="s">
        <v>604</v>
      </c>
      <c r="P77" s="28" t="s">
        <v>8510</v>
      </c>
      <c r="Q77" s="221" t="s">
        <v>6273</v>
      </c>
    </row>
    <row r="78" customFormat="false" ht="57.75" hidden="false" customHeight="true" outlineLevel="0" collapsed="false">
      <c r="A78" s="223" t="s">
        <v>7405</v>
      </c>
      <c r="B78" s="223" t="s">
        <v>8585</v>
      </c>
      <c r="C78" s="232" t="s">
        <v>8594</v>
      </c>
      <c r="D78" s="223" t="s">
        <v>3488</v>
      </c>
      <c r="E78" s="233" t="s">
        <v>8481</v>
      </c>
      <c r="F78" s="233" t="s">
        <v>8482</v>
      </c>
      <c r="G78" s="223" t="s">
        <v>604</v>
      </c>
      <c r="H78" s="223" t="s">
        <v>604</v>
      </c>
      <c r="I78" s="233" t="s">
        <v>8483</v>
      </c>
      <c r="J78" s="223" t="s">
        <v>8587</v>
      </c>
      <c r="K78" s="232" t="s">
        <v>8485</v>
      </c>
      <c r="L78" s="221" t="s">
        <v>8356</v>
      </c>
      <c r="M78" s="6" t="s">
        <v>8425</v>
      </c>
      <c r="N78" s="28" t="s">
        <v>604</v>
      </c>
      <c r="O78" s="28" t="s">
        <v>604</v>
      </c>
      <c r="P78" s="28" t="s">
        <v>8535</v>
      </c>
      <c r="Q78" s="221" t="s">
        <v>6273</v>
      </c>
    </row>
    <row r="79" customFormat="false" ht="43.5" hidden="false" customHeight="true" outlineLevel="0" collapsed="false">
      <c r="A79" s="223" t="s">
        <v>7435</v>
      </c>
      <c r="B79" s="223" t="s">
        <v>8585</v>
      </c>
      <c r="C79" s="232" t="s">
        <v>8595</v>
      </c>
      <c r="D79" s="223" t="s">
        <v>7436</v>
      </c>
      <c r="E79" s="233" t="s">
        <v>8481</v>
      </c>
      <c r="F79" s="233" t="s">
        <v>8482</v>
      </c>
      <c r="G79" s="223" t="s">
        <v>604</v>
      </c>
      <c r="H79" s="223" t="s">
        <v>604</v>
      </c>
      <c r="I79" s="233" t="s">
        <v>8483</v>
      </c>
      <c r="J79" s="223" t="s">
        <v>8587</v>
      </c>
      <c r="K79" s="232" t="s">
        <v>8485</v>
      </c>
      <c r="L79" s="221" t="s">
        <v>8356</v>
      </c>
      <c r="M79" s="6" t="s">
        <v>8596</v>
      </c>
      <c r="N79" s="28" t="s">
        <v>604</v>
      </c>
      <c r="O79" s="28" t="s">
        <v>604</v>
      </c>
      <c r="P79" s="28" t="s">
        <v>8535</v>
      </c>
      <c r="Q79" s="221" t="s">
        <v>6273</v>
      </c>
    </row>
    <row r="80" customFormat="false" ht="72" hidden="false" customHeight="true" outlineLevel="0" collapsed="false">
      <c r="A80" s="223" t="s">
        <v>7457</v>
      </c>
      <c r="B80" s="223" t="s">
        <v>8585</v>
      </c>
      <c r="C80" s="232" t="s">
        <v>8597</v>
      </c>
      <c r="D80" s="223" t="s">
        <v>7458</v>
      </c>
      <c r="E80" s="233" t="s">
        <v>8481</v>
      </c>
      <c r="F80" s="233" t="s">
        <v>8482</v>
      </c>
      <c r="G80" s="223" t="s">
        <v>604</v>
      </c>
      <c r="H80" s="223" t="s">
        <v>604</v>
      </c>
      <c r="I80" s="233" t="s">
        <v>8483</v>
      </c>
      <c r="J80" s="223" t="s">
        <v>8587</v>
      </c>
      <c r="K80" s="232" t="s">
        <v>8485</v>
      </c>
      <c r="L80" s="221" t="s">
        <v>8356</v>
      </c>
      <c r="M80" s="6" t="s">
        <v>8448</v>
      </c>
      <c r="N80" s="28" t="s">
        <v>604</v>
      </c>
      <c r="O80" s="28" t="s">
        <v>604</v>
      </c>
      <c r="P80" s="28" t="s">
        <v>8510</v>
      </c>
      <c r="Q80" s="221" t="s">
        <v>6273</v>
      </c>
    </row>
    <row r="81" customFormat="false" ht="54.75" hidden="false" customHeight="true" outlineLevel="0" collapsed="false">
      <c r="A81" s="223" t="s">
        <v>7494</v>
      </c>
      <c r="B81" s="223" t="s">
        <v>8585</v>
      </c>
      <c r="C81" s="232" t="s">
        <v>8598</v>
      </c>
      <c r="D81" s="223" t="s">
        <v>7495</v>
      </c>
      <c r="E81" s="233" t="s">
        <v>8481</v>
      </c>
      <c r="F81" s="233" t="s">
        <v>8482</v>
      </c>
      <c r="G81" s="223" t="s">
        <v>604</v>
      </c>
      <c r="H81" s="223" t="s">
        <v>604</v>
      </c>
      <c r="I81" s="233" t="s">
        <v>8483</v>
      </c>
      <c r="J81" s="223" t="s">
        <v>8587</v>
      </c>
      <c r="K81" s="232" t="s">
        <v>8485</v>
      </c>
      <c r="L81" s="221" t="s">
        <v>8356</v>
      </c>
      <c r="M81" s="6" t="s">
        <v>8438</v>
      </c>
      <c r="N81" s="28" t="s">
        <v>604</v>
      </c>
      <c r="O81" s="28" t="s">
        <v>604</v>
      </c>
      <c r="P81" s="28" t="s">
        <v>8510</v>
      </c>
      <c r="Q81" s="221" t="s">
        <v>6380</v>
      </c>
    </row>
    <row r="82" customFormat="false" ht="29.25" hidden="false" customHeight="true" outlineLevel="0" collapsed="false">
      <c r="A82" s="223" t="s">
        <v>7526</v>
      </c>
      <c r="B82" s="223" t="s">
        <v>8585</v>
      </c>
      <c r="C82" s="232" t="s">
        <v>8599</v>
      </c>
      <c r="D82" s="223" t="s">
        <v>7521</v>
      </c>
      <c r="E82" s="233" t="s">
        <v>8481</v>
      </c>
      <c r="F82" s="233" t="s">
        <v>8482</v>
      </c>
      <c r="G82" s="223" t="s">
        <v>604</v>
      </c>
      <c r="H82" s="223" t="s">
        <v>604</v>
      </c>
      <c r="I82" s="233" t="s">
        <v>8483</v>
      </c>
      <c r="J82" s="223" t="s">
        <v>8587</v>
      </c>
      <c r="K82" s="232" t="s">
        <v>8485</v>
      </c>
      <c r="L82" s="221" t="s">
        <v>8356</v>
      </c>
      <c r="M82" s="6" t="s">
        <v>8600</v>
      </c>
      <c r="N82" s="28" t="s">
        <v>604</v>
      </c>
      <c r="O82" s="28" t="s">
        <v>604</v>
      </c>
      <c r="P82" s="28" t="s">
        <v>8486</v>
      </c>
      <c r="Q82" s="221" t="s">
        <v>6380</v>
      </c>
    </row>
    <row r="83" customFormat="false" ht="43.5" hidden="false" customHeight="true" outlineLevel="0" collapsed="false">
      <c r="A83" s="223" t="s">
        <v>7660</v>
      </c>
      <c r="B83" s="223" t="s">
        <v>8585</v>
      </c>
      <c r="C83" s="232" t="s">
        <v>8601</v>
      </c>
      <c r="D83" s="223" t="s">
        <v>7661</v>
      </c>
      <c r="E83" s="233" t="s">
        <v>8481</v>
      </c>
      <c r="F83" s="233" t="s">
        <v>8482</v>
      </c>
      <c r="G83" s="223" t="s">
        <v>604</v>
      </c>
      <c r="H83" s="223" t="s">
        <v>604</v>
      </c>
      <c r="I83" s="233" t="s">
        <v>8483</v>
      </c>
      <c r="J83" s="223" t="s">
        <v>8587</v>
      </c>
      <c r="K83" s="232" t="s">
        <v>8485</v>
      </c>
      <c r="L83" s="221" t="s">
        <v>8356</v>
      </c>
      <c r="M83" s="6" t="s">
        <v>8418</v>
      </c>
      <c r="N83" s="28" t="s">
        <v>604</v>
      </c>
      <c r="O83" s="28" t="s">
        <v>604</v>
      </c>
      <c r="P83" s="28" t="s">
        <v>8510</v>
      </c>
      <c r="Q83" s="221" t="s">
        <v>6273</v>
      </c>
    </row>
    <row r="84" customFormat="false" ht="72" hidden="false" customHeight="true" outlineLevel="0" collapsed="false">
      <c r="A84" s="223" t="s">
        <v>7591</v>
      </c>
      <c r="B84" s="223" t="s">
        <v>8585</v>
      </c>
      <c r="C84" s="232" t="s">
        <v>8602</v>
      </c>
      <c r="D84" s="223" t="s">
        <v>1896</v>
      </c>
      <c r="E84" s="233" t="s">
        <v>8481</v>
      </c>
      <c r="F84" s="233" t="s">
        <v>8482</v>
      </c>
      <c r="G84" s="223" t="s">
        <v>604</v>
      </c>
      <c r="H84" s="223" t="s">
        <v>604</v>
      </c>
      <c r="I84" s="233" t="s">
        <v>8483</v>
      </c>
      <c r="J84" s="223" t="s">
        <v>8587</v>
      </c>
      <c r="K84" s="232" t="s">
        <v>8485</v>
      </c>
      <c r="L84" s="221" t="s">
        <v>8356</v>
      </c>
      <c r="M84" s="6" t="s">
        <v>8456</v>
      </c>
      <c r="N84" s="28" t="s">
        <v>604</v>
      </c>
      <c r="O84" s="28" t="s">
        <v>604</v>
      </c>
      <c r="P84" s="28" t="s">
        <v>8510</v>
      </c>
      <c r="Q84" s="221" t="s">
        <v>6273</v>
      </c>
    </row>
    <row r="85" customFormat="false" ht="72" hidden="false" customHeight="true" outlineLevel="0" collapsed="false">
      <c r="A85" s="223" t="s">
        <v>7542</v>
      </c>
      <c r="B85" s="223" t="s">
        <v>8585</v>
      </c>
      <c r="C85" s="232" t="s">
        <v>8603</v>
      </c>
      <c r="D85" s="223" t="s">
        <v>1915</v>
      </c>
      <c r="E85" s="233" t="s">
        <v>8481</v>
      </c>
      <c r="F85" s="233" t="s">
        <v>8482</v>
      </c>
      <c r="G85" s="223" t="s">
        <v>604</v>
      </c>
      <c r="H85" s="223" t="s">
        <v>604</v>
      </c>
      <c r="I85" s="233" t="s">
        <v>8483</v>
      </c>
      <c r="J85" s="223" t="s">
        <v>8587</v>
      </c>
      <c r="K85" s="232" t="s">
        <v>8485</v>
      </c>
      <c r="L85" s="221" t="s">
        <v>8356</v>
      </c>
      <c r="M85" s="6" t="s">
        <v>8468</v>
      </c>
      <c r="N85" s="28" t="s">
        <v>604</v>
      </c>
      <c r="O85" s="28" t="s">
        <v>604</v>
      </c>
      <c r="P85" s="28" t="s">
        <v>8510</v>
      </c>
      <c r="Q85" s="221" t="s">
        <v>6380</v>
      </c>
    </row>
    <row r="86" customFormat="false" ht="29.25" hidden="false" customHeight="true" outlineLevel="0" collapsed="false">
      <c r="A86" s="223" t="s">
        <v>7629</v>
      </c>
      <c r="B86" s="223" t="s">
        <v>8585</v>
      </c>
      <c r="C86" s="232" t="s">
        <v>8604</v>
      </c>
      <c r="D86" s="223" t="s">
        <v>7630</v>
      </c>
      <c r="E86" s="233" t="s">
        <v>8481</v>
      </c>
      <c r="F86" s="233" t="s">
        <v>8482</v>
      </c>
      <c r="G86" s="223" t="s">
        <v>604</v>
      </c>
      <c r="H86" s="223" t="s">
        <v>604</v>
      </c>
      <c r="I86" s="233" t="s">
        <v>8483</v>
      </c>
      <c r="J86" s="223" t="s">
        <v>8587</v>
      </c>
      <c r="K86" s="232" t="s">
        <v>8485</v>
      </c>
      <c r="L86" s="221" t="s">
        <v>8356</v>
      </c>
      <c r="M86" s="6" t="s">
        <v>8605</v>
      </c>
      <c r="N86" s="28" t="s">
        <v>604</v>
      </c>
      <c r="O86" s="28" t="s">
        <v>604</v>
      </c>
      <c r="P86" s="28" t="s">
        <v>8510</v>
      </c>
      <c r="Q86" s="221" t="s">
        <v>6380</v>
      </c>
    </row>
    <row r="87" customFormat="false" ht="29.25" hidden="false" customHeight="true" outlineLevel="0" collapsed="false">
      <c r="A87" s="223" t="s">
        <v>7639</v>
      </c>
      <c r="B87" s="223" t="s">
        <v>8585</v>
      </c>
      <c r="C87" s="232" t="s">
        <v>8606</v>
      </c>
      <c r="D87" s="223" t="s">
        <v>7640</v>
      </c>
      <c r="E87" s="233" t="s">
        <v>8481</v>
      </c>
      <c r="F87" s="233" t="s">
        <v>8482</v>
      </c>
      <c r="G87" s="223" t="s">
        <v>604</v>
      </c>
      <c r="H87" s="223" t="s">
        <v>604</v>
      </c>
      <c r="I87" s="233" t="s">
        <v>8483</v>
      </c>
      <c r="J87" s="223" t="s">
        <v>8587</v>
      </c>
      <c r="K87" s="232" t="s">
        <v>8485</v>
      </c>
      <c r="L87" s="221" t="s">
        <v>8356</v>
      </c>
      <c r="M87" s="6" t="s">
        <v>7634</v>
      </c>
      <c r="N87" s="28" t="s">
        <v>604</v>
      </c>
      <c r="O87" s="28" t="s">
        <v>604</v>
      </c>
      <c r="P87" s="28" t="s">
        <v>8510</v>
      </c>
      <c r="Q87" s="221" t="s">
        <v>6273</v>
      </c>
    </row>
    <row r="88" customFormat="false" ht="86.25" hidden="false" customHeight="true" outlineLevel="0" collapsed="false">
      <c r="A88" s="223" t="s">
        <v>7230</v>
      </c>
      <c r="B88" s="223" t="s">
        <v>8585</v>
      </c>
      <c r="C88" s="232" t="s">
        <v>8607</v>
      </c>
      <c r="D88" s="223" t="s">
        <v>7138</v>
      </c>
      <c r="E88" s="233" t="s">
        <v>8608</v>
      </c>
      <c r="F88" s="223" t="s">
        <v>8609</v>
      </c>
      <c r="G88" s="223" t="s">
        <v>604</v>
      </c>
      <c r="H88" s="223" t="s">
        <v>8610</v>
      </c>
      <c r="I88" s="233" t="s">
        <v>8611</v>
      </c>
      <c r="J88" s="223" t="s">
        <v>8587</v>
      </c>
      <c r="K88" s="232" t="s">
        <v>8612</v>
      </c>
      <c r="L88" s="221" t="s">
        <v>8356</v>
      </c>
      <c r="M88" s="6" t="s">
        <v>8613</v>
      </c>
      <c r="N88" s="28" t="s">
        <v>604</v>
      </c>
      <c r="O88" s="28" t="s">
        <v>604</v>
      </c>
      <c r="P88" s="28" t="s">
        <v>8535</v>
      </c>
      <c r="Q88" s="221" t="s">
        <v>6273</v>
      </c>
    </row>
    <row r="89" customFormat="false" ht="100.5" hidden="false" customHeight="true" outlineLevel="0" collapsed="false">
      <c r="A89" s="223" t="s">
        <v>6969</v>
      </c>
      <c r="B89" s="223" t="s">
        <v>8585</v>
      </c>
      <c r="C89" s="232" t="s">
        <v>8614</v>
      </c>
      <c r="D89" s="223" t="s">
        <v>6970</v>
      </c>
      <c r="E89" s="233" t="s">
        <v>8608</v>
      </c>
      <c r="F89" s="223" t="s">
        <v>8615</v>
      </c>
      <c r="G89" s="223" t="s">
        <v>8616</v>
      </c>
      <c r="H89" s="223" t="s">
        <v>8617</v>
      </c>
      <c r="I89" s="233" t="s">
        <v>8611</v>
      </c>
      <c r="J89" s="223" t="s">
        <v>8587</v>
      </c>
      <c r="K89" s="234" t="s">
        <v>8618</v>
      </c>
      <c r="L89" s="221" t="s">
        <v>8356</v>
      </c>
      <c r="M89" s="6" t="s">
        <v>8619</v>
      </c>
      <c r="N89" s="28" t="s">
        <v>604</v>
      </c>
      <c r="O89" s="28" t="s">
        <v>604</v>
      </c>
      <c r="P89" s="28" t="s">
        <v>8535</v>
      </c>
      <c r="Q89" s="221" t="s">
        <v>6273</v>
      </c>
    </row>
    <row r="90" customFormat="false" ht="15" hidden="false" customHeight="true" outlineLevel="0" collapsed="false">
      <c r="A90" s="223" t="s">
        <v>7687</v>
      </c>
      <c r="B90" s="223" t="s">
        <v>5876</v>
      </c>
      <c r="C90" s="232" t="s">
        <v>8620</v>
      </c>
      <c r="D90" s="223" t="s">
        <v>8621</v>
      </c>
      <c r="E90" s="233" t="s">
        <v>8622</v>
      </c>
      <c r="F90" s="223" t="s">
        <v>8623</v>
      </c>
      <c r="G90" s="223" t="s">
        <v>604</v>
      </c>
      <c r="H90" s="223" t="s">
        <v>8624</v>
      </c>
      <c r="I90" s="233" t="s">
        <v>8625</v>
      </c>
      <c r="J90" s="223" t="s">
        <v>8626</v>
      </c>
      <c r="K90" s="232" t="s">
        <v>8627</v>
      </c>
      <c r="L90" s="221" t="s">
        <v>8356</v>
      </c>
      <c r="M90" s="6" t="s">
        <v>5317</v>
      </c>
      <c r="N90" s="28" t="s">
        <v>604</v>
      </c>
      <c r="O90" s="28" t="s">
        <v>8628</v>
      </c>
      <c r="P90" s="28" t="s">
        <v>8510</v>
      </c>
      <c r="Q90" s="221" t="s">
        <v>6273</v>
      </c>
    </row>
    <row r="91" customFormat="false" ht="39" hidden="false" customHeight="true" outlineLevel="0" collapsed="false">
      <c r="A91" s="223" t="s">
        <v>8629</v>
      </c>
      <c r="B91" s="223" t="s">
        <v>5876</v>
      </c>
      <c r="C91" s="232" t="s">
        <v>8630</v>
      </c>
      <c r="D91" s="223" t="s">
        <v>8631</v>
      </c>
      <c r="E91" s="233" t="s">
        <v>8622</v>
      </c>
      <c r="F91" s="233" t="s">
        <v>8632</v>
      </c>
      <c r="G91" s="223" t="s">
        <v>604</v>
      </c>
      <c r="H91" s="223" t="s">
        <v>8633</v>
      </c>
      <c r="I91" s="233" t="s">
        <v>8625</v>
      </c>
      <c r="J91" s="223" t="s">
        <v>8626</v>
      </c>
      <c r="K91" s="234" t="s">
        <v>8634</v>
      </c>
      <c r="L91" s="221" t="s">
        <v>8356</v>
      </c>
      <c r="M91" s="6" t="s">
        <v>5517</v>
      </c>
      <c r="N91" s="28" t="s">
        <v>604</v>
      </c>
      <c r="O91" s="28" t="s">
        <v>8628</v>
      </c>
      <c r="P91" s="28" t="s">
        <v>8510</v>
      </c>
      <c r="Q91" s="221" t="s">
        <v>6273</v>
      </c>
    </row>
    <row r="92" customFormat="false" ht="15" hidden="false" customHeight="true" outlineLevel="0" collapsed="false">
      <c r="A92" s="223" t="s">
        <v>7702</v>
      </c>
      <c r="B92" s="223" t="s">
        <v>5876</v>
      </c>
      <c r="C92" s="232" t="s">
        <v>8635</v>
      </c>
      <c r="D92" s="223" t="s">
        <v>8636</v>
      </c>
      <c r="E92" s="233" t="s">
        <v>8622</v>
      </c>
      <c r="F92" s="223" t="s">
        <v>8623</v>
      </c>
      <c r="G92" s="223" t="s">
        <v>604</v>
      </c>
      <c r="H92" s="223" t="s">
        <v>8637</v>
      </c>
      <c r="I92" s="233" t="s">
        <v>8625</v>
      </c>
      <c r="J92" s="223" t="s">
        <v>8626</v>
      </c>
      <c r="K92" s="234" t="s">
        <v>8638</v>
      </c>
      <c r="L92" s="221" t="s">
        <v>8356</v>
      </c>
      <c r="M92" s="6" t="s">
        <v>5324</v>
      </c>
      <c r="N92" s="28" t="s">
        <v>604</v>
      </c>
      <c r="O92" s="28" t="s">
        <v>8628</v>
      </c>
      <c r="P92" s="28" t="s">
        <v>8510</v>
      </c>
      <c r="Q92" s="221" t="s">
        <v>6273</v>
      </c>
    </row>
    <row r="93" customFormat="false" ht="26.25" hidden="false" customHeight="true" outlineLevel="0" collapsed="false">
      <c r="A93" s="223" t="s">
        <v>8639</v>
      </c>
      <c r="B93" s="223" t="s">
        <v>5876</v>
      </c>
      <c r="C93" s="234" t="s">
        <v>8640</v>
      </c>
      <c r="D93" s="223" t="s">
        <v>8641</v>
      </c>
      <c r="E93" s="233" t="s">
        <v>8622</v>
      </c>
      <c r="F93" s="223" t="s">
        <v>8642</v>
      </c>
      <c r="G93" s="223" t="s">
        <v>604</v>
      </c>
      <c r="H93" s="223" t="s">
        <v>8643</v>
      </c>
      <c r="I93" s="233" t="s">
        <v>8625</v>
      </c>
      <c r="J93" s="223" t="s">
        <v>8626</v>
      </c>
      <c r="K93" s="234" t="s">
        <v>8644</v>
      </c>
      <c r="L93" s="221" t="s">
        <v>8356</v>
      </c>
      <c r="M93" s="6" t="s">
        <v>2921</v>
      </c>
      <c r="N93" s="28" t="s">
        <v>604</v>
      </c>
      <c r="O93" s="28" t="s">
        <v>8628</v>
      </c>
      <c r="P93" s="28" t="s">
        <v>8510</v>
      </c>
      <c r="Q93" s="221" t="s">
        <v>6380</v>
      </c>
    </row>
    <row r="94" customFormat="false" ht="51.75" hidden="false" customHeight="true" outlineLevel="0" collapsed="false">
      <c r="A94" s="223" t="s">
        <v>8645</v>
      </c>
      <c r="B94" s="223" t="s">
        <v>5889</v>
      </c>
      <c r="C94" s="232" t="s">
        <v>8646</v>
      </c>
      <c r="D94" s="223" t="s">
        <v>8647</v>
      </c>
      <c r="E94" s="233" t="s">
        <v>8648</v>
      </c>
      <c r="F94" s="223" t="s">
        <v>8649</v>
      </c>
      <c r="G94" s="223" t="s">
        <v>8650</v>
      </c>
      <c r="H94" s="223" t="s">
        <v>8651</v>
      </c>
      <c r="I94" s="233" t="s">
        <v>8652</v>
      </c>
      <c r="J94" s="223" t="s">
        <v>8653</v>
      </c>
      <c r="K94" s="234" t="s">
        <v>8654</v>
      </c>
      <c r="L94" s="221" t="s">
        <v>8356</v>
      </c>
      <c r="M94" s="6" t="s">
        <v>4209</v>
      </c>
      <c r="N94" s="28" t="s">
        <v>604</v>
      </c>
      <c r="O94" s="28" t="s">
        <v>8655</v>
      </c>
      <c r="P94" s="28" t="s">
        <v>8535</v>
      </c>
      <c r="Q94" s="221" t="s">
        <v>6273</v>
      </c>
    </row>
    <row r="95" customFormat="false" ht="51.75" hidden="false" customHeight="true" outlineLevel="0" collapsed="false">
      <c r="A95" s="223" t="s">
        <v>8656</v>
      </c>
      <c r="B95" s="223" t="s">
        <v>5889</v>
      </c>
      <c r="C95" s="232" t="s">
        <v>8657</v>
      </c>
      <c r="D95" s="223" t="s">
        <v>8647</v>
      </c>
      <c r="E95" s="233" t="s">
        <v>8648</v>
      </c>
      <c r="F95" s="223" t="s">
        <v>8658</v>
      </c>
      <c r="G95" s="223" t="s">
        <v>8659</v>
      </c>
      <c r="H95" s="223" t="s">
        <v>8660</v>
      </c>
      <c r="I95" s="233" t="s">
        <v>8652</v>
      </c>
      <c r="J95" s="223" t="s">
        <v>8653</v>
      </c>
      <c r="K95" s="234" t="s">
        <v>8654</v>
      </c>
      <c r="L95" s="221" t="s">
        <v>8356</v>
      </c>
      <c r="M95" s="6" t="s">
        <v>4206</v>
      </c>
      <c r="N95" s="28" t="s">
        <v>604</v>
      </c>
      <c r="O95" s="28" t="s">
        <v>8655</v>
      </c>
      <c r="P95" s="28" t="s">
        <v>8535</v>
      </c>
      <c r="Q95" s="221" t="s">
        <v>6273</v>
      </c>
    </row>
    <row r="96" customFormat="false" ht="51.75" hidden="false" customHeight="true" outlineLevel="0" collapsed="false">
      <c r="A96" s="223" t="s">
        <v>8661</v>
      </c>
      <c r="B96" s="223" t="s">
        <v>5889</v>
      </c>
      <c r="C96" s="232" t="s">
        <v>8662</v>
      </c>
      <c r="D96" s="223" t="s">
        <v>8663</v>
      </c>
      <c r="E96" s="233" t="s">
        <v>8648</v>
      </c>
      <c r="F96" s="223" t="s">
        <v>8664</v>
      </c>
      <c r="G96" s="223" t="s">
        <v>8665</v>
      </c>
      <c r="H96" s="223" t="s">
        <v>8666</v>
      </c>
      <c r="I96" s="233" t="s">
        <v>8652</v>
      </c>
      <c r="J96" s="223" t="s">
        <v>8653</v>
      </c>
      <c r="K96" s="234" t="s">
        <v>8667</v>
      </c>
      <c r="L96" s="221" t="s">
        <v>8356</v>
      </c>
      <c r="M96" s="6" t="s">
        <v>4211</v>
      </c>
      <c r="N96" s="28" t="s">
        <v>604</v>
      </c>
      <c r="O96" s="28" t="s">
        <v>8655</v>
      </c>
      <c r="P96" s="28" t="s">
        <v>8535</v>
      </c>
      <c r="Q96" s="221" t="s">
        <v>6273</v>
      </c>
    </row>
    <row r="97" customFormat="false" ht="51.75" hidden="false" customHeight="true" outlineLevel="0" collapsed="false">
      <c r="A97" s="223" t="s">
        <v>8668</v>
      </c>
      <c r="B97" s="223" t="s">
        <v>5889</v>
      </c>
      <c r="C97" s="232" t="s">
        <v>8669</v>
      </c>
      <c r="D97" s="223" t="s">
        <v>8663</v>
      </c>
      <c r="E97" s="233" t="s">
        <v>8648</v>
      </c>
      <c r="F97" s="223" t="s">
        <v>8670</v>
      </c>
      <c r="G97" s="223" t="s">
        <v>8671</v>
      </c>
      <c r="H97" s="223" t="s">
        <v>8672</v>
      </c>
      <c r="I97" s="233" t="s">
        <v>8652</v>
      </c>
      <c r="J97" s="223" t="s">
        <v>8653</v>
      </c>
      <c r="K97" s="234" t="s">
        <v>8673</v>
      </c>
      <c r="L97" s="221" t="s">
        <v>8356</v>
      </c>
      <c r="M97" s="6" t="s">
        <v>4215</v>
      </c>
      <c r="N97" s="28" t="s">
        <v>604</v>
      </c>
      <c r="O97" s="28" t="s">
        <v>8655</v>
      </c>
      <c r="P97" s="28" t="s">
        <v>8535</v>
      </c>
      <c r="Q97" s="221" t="s">
        <v>6273</v>
      </c>
    </row>
    <row r="98" customFormat="false" ht="51.75" hidden="false" customHeight="true" outlineLevel="0" collapsed="false">
      <c r="A98" s="223" t="s">
        <v>8674</v>
      </c>
      <c r="B98" s="223" t="s">
        <v>5889</v>
      </c>
      <c r="C98" s="232" t="s">
        <v>8675</v>
      </c>
      <c r="D98" s="223" t="s">
        <v>8663</v>
      </c>
      <c r="E98" s="233" t="s">
        <v>8648</v>
      </c>
      <c r="F98" s="223" t="s">
        <v>8676</v>
      </c>
      <c r="G98" s="223" t="s">
        <v>8677</v>
      </c>
      <c r="H98" s="223" t="s">
        <v>8678</v>
      </c>
      <c r="I98" s="233" t="s">
        <v>8652</v>
      </c>
      <c r="J98" s="223" t="s">
        <v>8653</v>
      </c>
      <c r="K98" s="234" t="s">
        <v>8679</v>
      </c>
      <c r="L98" s="221" t="s">
        <v>8356</v>
      </c>
      <c r="M98" s="6" t="s">
        <v>4218</v>
      </c>
      <c r="N98" s="28" t="s">
        <v>604</v>
      </c>
      <c r="O98" s="28" t="s">
        <v>8655</v>
      </c>
      <c r="P98" s="28" t="s">
        <v>8535</v>
      </c>
      <c r="Q98" s="221" t="s">
        <v>6273</v>
      </c>
    </row>
    <row r="99" customFormat="false" ht="39" hidden="false" customHeight="true" outlineLevel="0" collapsed="false">
      <c r="A99" s="223" t="s">
        <v>8680</v>
      </c>
      <c r="B99" s="223" t="s">
        <v>5889</v>
      </c>
      <c r="C99" s="232" t="s">
        <v>8681</v>
      </c>
      <c r="D99" s="223" t="s">
        <v>6980</v>
      </c>
      <c r="E99" s="233" t="s">
        <v>8648</v>
      </c>
      <c r="F99" s="223" t="s">
        <v>8682</v>
      </c>
      <c r="G99" s="223" t="s">
        <v>8683</v>
      </c>
      <c r="H99" s="223" t="s">
        <v>8684</v>
      </c>
      <c r="I99" s="233" t="s">
        <v>8652</v>
      </c>
      <c r="J99" s="223" t="s">
        <v>8653</v>
      </c>
      <c r="K99" s="234" t="s">
        <v>8685</v>
      </c>
      <c r="L99" s="221" t="s">
        <v>8356</v>
      </c>
      <c r="M99" s="6" t="s">
        <v>4220</v>
      </c>
      <c r="N99" s="28" t="s">
        <v>604</v>
      </c>
      <c r="O99" s="28" t="s">
        <v>8655</v>
      </c>
      <c r="P99" s="28" t="s">
        <v>8535</v>
      </c>
      <c r="Q99" s="221" t="s">
        <v>6273</v>
      </c>
    </row>
    <row r="100" customFormat="false" ht="51.75" hidden="false" customHeight="true" outlineLevel="0" collapsed="false">
      <c r="A100" s="223" t="s">
        <v>8686</v>
      </c>
      <c r="B100" s="223" t="s">
        <v>5889</v>
      </c>
      <c r="C100" s="232" t="s">
        <v>8687</v>
      </c>
      <c r="D100" s="223" t="s">
        <v>8663</v>
      </c>
      <c r="E100" s="233" t="s">
        <v>8648</v>
      </c>
      <c r="F100" s="223" t="s">
        <v>8688</v>
      </c>
      <c r="G100" s="223" t="s">
        <v>8689</v>
      </c>
      <c r="H100" s="223" t="s">
        <v>8690</v>
      </c>
      <c r="I100" s="233" t="s">
        <v>8652</v>
      </c>
      <c r="J100" s="223" t="s">
        <v>8653</v>
      </c>
      <c r="K100" s="234" t="s">
        <v>8691</v>
      </c>
      <c r="L100" s="221" t="s">
        <v>8356</v>
      </c>
      <c r="M100" s="6" t="s">
        <v>4223</v>
      </c>
      <c r="N100" s="28" t="s">
        <v>604</v>
      </c>
      <c r="O100" s="28" t="s">
        <v>8655</v>
      </c>
      <c r="P100" s="28" t="s">
        <v>8535</v>
      </c>
      <c r="Q100" s="221" t="s">
        <v>6273</v>
      </c>
    </row>
    <row r="101" customFormat="false" ht="51.75" hidden="false" customHeight="true" outlineLevel="0" collapsed="false">
      <c r="A101" s="223" t="s">
        <v>8692</v>
      </c>
      <c r="B101" s="223" t="s">
        <v>5889</v>
      </c>
      <c r="C101" s="232" t="s">
        <v>8693</v>
      </c>
      <c r="D101" s="223" t="s">
        <v>8663</v>
      </c>
      <c r="E101" s="233" t="s">
        <v>8648</v>
      </c>
      <c r="F101" s="223" t="s">
        <v>8694</v>
      </c>
      <c r="G101" s="223" t="s">
        <v>8695</v>
      </c>
      <c r="H101" s="223" t="s">
        <v>8696</v>
      </c>
      <c r="I101" s="233" t="s">
        <v>8652</v>
      </c>
      <c r="J101" s="223" t="s">
        <v>8653</v>
      </c>
      <c r="K101" s="234" t="s">
        <v>8697</v>
      </c>
      <c r="L101" s="221" t="s">
        <v>8356</v>
      </c>
      <c r="M101" s="6" t="s">
        <v>4227</v>
      </c>
      <c r="N101" s="28" t="s">
        <v>604</v>
      </c>
      <c r="O101" s="28" t="s">
        <v>8655</v>
      </c>
      <c r="P101" s="28" t="s">
        <v>8535</v>
      </c>
      <c r="Q101" s="221" t="s">
        <v>6273</v>
      </c>
    </row>
    <row r="102" customFormat="false" ht="51.75" hidden="false" customHeight="true" outlineLevel="0" collapsed="false">
      <c r="A102" s="223" t="s">
        <v>8698</v>
      </c>
      <c r="B102" s="223" t="s">
        <v>5889</v>
      </c>
      <c r="C102" s="232" t="s">
        <v>8699</v>
      </c>
      <c r="D102" s="223" t="s">
        <v>8663</v>
      </c>
      <c r="E102" s="233" t="s">
        <v>8648</v>
      </c>
      <c r="F102" s="223" t="s">
        <v>8700</v>
      </c>
      <c r="G102" s="223" t="s">
        <v>8701</v>
      </c>
      <c r="H102" s="223" t="s">
        <v>8702</v>
      </c>
      <c r="I102" s="233" t="s">
        <v>8652</v>
      </c>
      <c r="J102" s="223" t="s">
        <v>8653</v>
      </c>
      <c r="K102" s="234" t="s">
        <v>8703</v>
      </c>
      <c r="L102" s="221" t="s">
        <v>8356</v>
      </c>
      <c r="M102" s="6" t="s">
        <v>4231</v>
      </c>
      <c r="N102" s="28" t="s">
        <v>604</v>
      </c>
      <c r="O102" s="28" t="s">
        <v>8655</v>
      </c>
      <c r="P102" s="28" t="s">
        <v>8535</v>
      </c>
      <c r="Q102" s="221" t="s">
        <v>6273</v>
      </c>
    </row>
    <row r="103" customFormat="false" ht="39" hidden="false" customHeight="true" outlineLevel="0" collapsed="false">
      <c r="A103" s="223" t="s">
        <v>8704</v>
      </c>
      <c r="B103" s="223" t="s">
        <v>5889</v>
      </c>
      <c r="C103" s="232" t="s">
        <v>8705</v>
      </c>
      <c r="D103" s="223" t="s">
        <v>8663</v>
      </c>
      <c r="E103" s="233" t="s">
        <v>8648</v>
      </c>
      <c r="F103" s="223" t="s">
        <v>8706</v>
      </c>
      <c r="G103" s="223" t="s">
        <v>8707</v>
      </c>
      <c r="H103" s="223" t="s">
        <v>8708</v>
      </c>
      <c r="I103" s="233" t="s">
        <v>8652</v>
      </c>
      <c r="J103" s="223" t="s">
        <v>8653</v>
      </c>
      <c r="K103" s="234" t="s">
        <v>8709</v>
      </c>
      <c r="L103" s="221" t="s">
        <v>8356</v>
      </c>
      <c r="M103" s="6" t="s">
        <v>4240</v>
      </c>
      <c r="N103" s="28" t="s">
        <v>604</v>
      </c>
      <c r="O103" s="28" t="s">
        <v>8655</v>
      </c>
      <c r="P103" s="28" t="s">
        <v>8535</v>
      </c>
      <c r="Q103" s="221" t="s">
        <v>6273</v>
      </c>
    </row>
    <row r="104" customFormat="false" ht="51.75" hidden="false" customHeight="true" outlineLevel="0" collapsed="false">
      <c r="A104" s="223" t="s">
        <v>8710</v>
      </c>
      <c r="B104" s="223" t="s">
        <v>5889</v>
      </c>
      <c r="C104" s="232" t="s">
        <v>8711</v>
      </c>
      <c r="D104" s="223" t="s">
        <v>8663</v>
      </c>
      <c r="E104" s="233" t="s">
        <v>8648</v>
      </c>
      <c r="F104" s="223" t="s">
        <v>8712</v>
      </c>
      <c r="G104" s="223" t="s">
        <v>8713</v>
      </c>
      <c r="H104" s="223" t="s">
        <v>8714</v>
      </c>
      <c r="I104" s="233" t="s">
        <v>8652</v>
      </c>
      <c r="J104" s="223" t="s">
        <v>8653</v>
      </c>
      <c r="K104" s="234" t="s">
        <v>8715</v>
      </c>
      <c r="L104" s="221" t="s">
        <v>8356</v>
      </c>
      <c r="M104" s="6" t="s">
        <v>4244</v>
      </c>
      <c r="N104" s="28" t="s">
        <v>604</v>
      </c>
      <c r="O104" s="28" t="s">
        <v>8655</v>
      </c>
      <c r="P104" s="28" t="s">
        <v>8535</v>
      </c>
      <c r="Q104" s="221" t="s">
        <v>6273</v>
      </c>
    </row>
    <row r="105" customFormat="false" ht="64.5" hidden="false" customHeight="true" outlineLevel="0" collapsed="false">
      <c r="A105" s="223" t="s">
        <v>8716</v>
      </c>
      <c r="B105" s="223" t="s">
        <v>5889</v>
      </c>
      <c r="C105" s="232" t="s">
        <v>8717</v>
      </c>
      <c r="D105" s="223" t="s">
        <v>8718</v>
      </c>
      <c r="E105" s="233" t="s">
        <v>8648</v>
      </c>
      <c r="F105" s="223" t="s">
        <v>8719</v>
      </c>
      <c r="G105" s="223" t="s">
        <v>8720</v>
      </c>
      <c r="H105" s="233" t="s">
        <v>8721</v>
      </c>
      <c r="I105" s="233" t="s">
        <v>8652</v>
      </c>
      <c r="J105" s="223" t="s">
        <v>8653</v>
      </c>
      <c r="K105" s="234" t="s">
        <v>8722</v>
      </c>
      <c r="L105" s="221" t="s">
        <v>8356</v>
      </c>
      <c r="M105" s="6" t="s">
        <v>3907</v>
      </c>
      <c r="N105" s="28" t="s">
        <v>604</v>
      </c>
      <c r="O105" s="28" t="s">
        <v>8655</v>
      </c>
      <c r="P105" s="28" t="s">
        <v>8535</v>
      </c>
      <c r="Q105" s="221" t="s">
        <v>6273</v>
      </c>
    </row>
    <row r="106" customFormat="false" ht="50.25" hidden="false" customHeight="true" outlineLevel="0" collapsed="false">
      <c r="A106" s="223" t="s">
        <v>8723</v>
      </c>
      <c r="B106" s="223" t="s">
        <v>5889</v>
      </c>
      <c r="C106" s="232" t="s">
        <v>8724</v>
      </c>
      <c r="D106" s="223" t="s">
        <v>8725</v>
      </c>
      <c r="E106" s="233" t="s">
        <v>8648</v>
      </c>
      <c r="F106" s="223" t="s">
        <v>8726</v>
      </c>
      <c r="G106" s="223" t="s">
        <v>8727</v>
      </c>
      <c r="H106" s="223" t="s">
        <v>8728</v>
      </c>
      <c r="I106" s="233" t="s">
        <v>8652</v>
      </c>
      <c r="J106" s="223" t="s">
        <v>8653</v>
      </c>
      <c r="K106" s="234" t="s">
        <v>8729</v>
      </c>
      <c r="L106" s="221" t="s">
        <v>8356</v>
      </c>
      <c r="M106" s="6" t="s">
        <v>3998</v>
      </c>
      <c r="N106" s="28" t="s">
        <v>604</v>
      </c>
      <c r="O106" s="28" t="s">
        <v>8655</v>
      </c>
      <c r="P106" s="28" t="s">
        <v>8535</v>
      </c>
      <c r="Q106" s="221" t="s">
        <v>6273</v>
      </c>
    </row>
    <row r="107" customFormat="false" ht="51.75" hidden="false" customHeight="true" outlineLevel="0" collapsed="false">
      <c r="A107" s="223" t="s">
        <v>8730</v>
      </c>
      <c r="B107" s="223" t="s">
        <v>5889</v>
      </c>
      <c r="C107" s="232" t="s">
        <v>8731</v>
      </c>
      <c r="D107" s="223" t="s">
        <v>8732</v>
      </c>
      <c r="E107" s="233" t="s">
        <v>8648</v>
      </c>
      <c r="F107" s="223" t="s">
        <v>8733</v>
      </c>
      <c r="G107" s="223" t="s">
        <v>8734</v>
      </c>
      <c r="H107" s="223" t="s">
        <v>8735</v>
      </c>
      <c r="I107" s="233" t="s">
        <v>8652</v>
      </c>
      <c r="J107" s="223" t="s">
        <v>8653</v>
      </c>
      <c r="K107" s="234" t="s">
        <v>8736</v>
      </c>
      <c r="L107" s="221" t="s">
        <v>8356</v>
      </c>
      <c r="M107" s="6" t="s">
        <v>4000</v>
      </c>
      <c r="N107" s="28" t="s">
        <v>604</v>
      </c>
      <c r="O107" s="28" t="s">
        <v>8655</v>
      </c>
      <c r="P107" s="28" t="s">
        <v>8535</v>
      </c>
      <c r="Q107" s="221" t="s">
        <v>6273</v>
      </c>
    </row>
    <row r="108" customFormat="false" ht="77.25" hidden="false" customHeight="true" outlineLevel="0" collapsed="false">
      <c r="A108" s="223" t="s">
        <v>8737</v>
      </c>
      <c r="B108" s="223" t="s">
        <v>5889</v>
      </c>
      <c r="C108" s="232" t="s">
        <v>8738</v>
      </c>
      <c r="D108" s="223" t="s">
        <v>8739</v>
      </c>
      <c r="E108" s="233" t="s">
        <v>8648</v>
      </c>
      <c r="F108" s="223" t="s">
        <v>8740</v>
      </c>
      <c r="G108" s="223" t="s">
        <v>8741</v>
      </c>
      <c r="H108" s="223" t="s">
        <v>8742</v>
      </c>
      <c r="I108" s="233" t="s">
        <v>8652</v>
      </c>
      <c r="J108" s="223" t="s">
        <v>8653</v>
      </c>
      <c r="K108" s="234" t="s">
        <v>8743</v>
      </c>
      <c r="L108" s="221" t="s">
        <v>8356</v>
      </c>
      <c r="M108" s="6" t="s">
        <v>3994</v>
      </c>
      <c r="N108" s="28" t="s">
        <v>604</v>
      </c>
      <c r="O108" s="28" t="s">
        <v>8655</v>
      </c>
      <c r="P108" s="28" t="s">
        <v>8535</v>
      </c>
      <c r="Q108" s="221" t="s">
        <v>6273</v>
      </c>
    </row>
    <row r="109" customFormat="false" ht="50.25" hidden="false" customHeight="true" outlineLevel="0" collapsed="false">
      <c r="A109" s="223" t="s">
        <v>8744</v>
      </c>
      <c r="B109" s="223" t="s">
        <v>5889</v>
      </c>
      <c r="C109" s="232" t="s">
        <v>8745</v>
      </c>
      <c r="D109" s="223" t="s">
        <v>8725</v>
      </c>
      <c r="E109" s="233" t="s">
        <v>8648</v>
      </c>
      <c r="F109" s="223" t="s">
        <v>8746</v>
      </c>
      <c r="G109" s="223" t="s">
        <v>8747</v>
      </c>
      <c r="H109" s="223" t="s">
        <v>8748</v>
      </c>
      <c r="I109" s="233" t="s">
        <v>8652</v>
      </c>
      <c r="J109" s="223" t="s">
        <v>8653</v>
      </c>
      <c r="K109" s="234" t="s">
        <v>8749</v>
      </c>
      <c r="L109" s="221" t="s">
        <v>8356</v>
      </c>
      <c r="M109" s="6" t="s">
        <v>4174</v>
      </c>
      <c r="N109" s="28" t="s">
        <v>604</v>
      </c>
      <c r="O109" s="28" t="s">
        <v>8655</v>
      </c>
      <c r="P109" s="28" t="s">
        <v>8535</v>
      </c>
      <c r="Q109" s="221" t="s">
        <v>6273</v>
      </c>
    </row>
    <row r="110" customFormat="false" ht="64.5" hidden="false" customHeight="true" outlineLevel="0" collapsed="false">
      <c r="A110" s="223" t="s">
        <v>5576</v>
      </c>
      <c r="B110" s="223" t="s">
        <v>5889</v>
      </c>
      <c r="C110" s="232" t="s">
        <v>8750</v>
      </c>
      <c r="D110" s="223" t="s">
        <v>8751</v>
      </c>
      <c r="E110" s="233" t="s">
        <v>8648</v>
      </c>
      <c r="F110" s="223" t="s">
        <v>8752</v>
      </c>
      <c r="G110" s="223" t="s">
        <v>8753</v>
      </c>
      <c r="H110" s="223" t="s">
        <v>8754</v>
      </c>
      <c r="I110" s="233" t="s">
        <v>8652</v>
      </c>
      <c r="J110" s="223" t="s">
        <v>8653</v>
      </c>
      <c r="K110" s="234" t="s">
        <v>8755</v>
      </c>
      <c r="L110" s="221" t="s">
        <v>8356</v>
      </c>
      <c r="M110" s="6" t="s">
        <v>3883</v>
      </c>
      <c r="N110" s="28" t="s">
        <v>604</v>
      </c>
      <c r="O110" s="28" t="s">
        <v>8655</v>
      </c>
      <c r="P110" s="28" t="s">
        <v>8535</v>
      </c>
      <c r="Q110" s="221" t="s">
        <v>6273</v>
      </c>
    </row>
    <row r="111" customFormat="false" ht="77.25" hidden="false" customHeight="true" outlineLevel="0" collapsed="false">
      <c r="A111" s="223" t="s">
        <v>8756</v>
      </c>
      <c r="B111" s="223" t="s">
        <v>5889</v>
      </c>
      <c r="C111" s="232" t="s">
        <v>8757</v>
      </c>
      <c r="D111" s="223" t="s">
        <v>8758</v>
      </c>
      <c r="E111" s="233" t="s">
        <v>8648</v>
      </c>
      <c r="F111" s="233" t="s">
        <v>8759</v>
      </c>
      <c r="G111" s="233" t="s">
        <v>8760</v>
      </c>
      <c r="H111" s="223" t="s">
        <v>8761</v>
      </c>
      <c r="I111" s="233" t="s">
        <v>8652</v>
      </c>
      <c r="J111" s="223" t="s">
        <v>8653</v>
      </c>
      <c r="K111" s="234" t="s">
        <v>8762</v>
      </c>
      <c r="L111" s="221" t="s">
        <v>8356</v>
      </c>
      <c r="M111" s="6" t="s">
        <v>5093</v>
      </c>
      <c r="N111" s="28" t="s">
        <v>604</v>
      </c>
      <c r="O111" s="28" t="s">
        <v>8655</v>
      </c>
      <c r="P111" s="28" t="s">
        <v>8535</v>
      </c>
      <c r="Q111" s="221" t="s">
        <v>6273</v>
      </c>
    </row>
    <row r="112" customFormat="false" ht="39" hidden="false" customHeight="true" outlineLevel="0" collapsed="false">
      <c r="A112" s="223" t="s">
        <v>8763</v>
      </c>
      <c r="B112" s="223" t="s">
        <v>5889</v>
      </c>
      <c r="C112" s="232" t="s">
        <v>8764</v>
      </c>
      <c r="D112" s="223" t="s">
        <v>8758</v>
      </c>
      <c r="E112" s="233" t="s">
        <v>8648</v>
      </c>
      <c r="F112" s="223" t="s">
        <v>8765</v>
      </c>
      <c r="G112" s="223" t="s">
        <v>8766</v>
      </c>
      <c r="H112" s="233" t="s">
        <v>8767</v>
      </c>
      <c r="I112" s="233" t="s">
        <v>8652</v>
      </c>
      <c r="J112" s="223" t="s">
        <v>8653</v>
      </c>
      <c r="K112" s="234" t="s">
        <v>8768</v>
      </c>
      <c r="L112" s="221" t="s">
        <v>8356</v>
      </c>
      <c r="M112" s="6" t="s">
        <v>5098</v>
      </c>
      <c r="N112" s="28" t="s">
        <v>604</v>
      </c>
      <c r="O112" s="28" t="s">
        <v>8655</v>
      </c>
      <c r="P112" s="28" t="s">
        <v>8535</v>
      </c>
      <c r="Q112" s="221" t="s">
        <v>6273</v>
      </c>
    </row>
    <row r="113" customFormat="false" ht="77.25" hidden="false" customHeight="true" outlineLevel="0" collapsed="false">
      <c r="A113" s="223" t="s">
        <v>8769</v>
      </c>
      <c r="B113" s="223" t="s">
        <v>5889</v>
      </c>
      <c r="C113" s="232" t="s">
        <v>8770</v>
      </c>
      <c r="D113" s="223" t="s">
        <v>8771</v>
      </c>
      <c r="E113" s="233" t="s">
        <v>8648</v>
      </c>
      <c r="F113" s="223" t="s">
        <v>8772</v>
      </c>
      <c r="G113" s="223" t="s">
        <v>8773</v>
      </c>
      <c r="H113" s="223" t="s">
        <v>8773</v>
      </c>
      <c r="I113" s="233" t="s">
        <v>8652</v>
      </c>
      <c r="J113" s="223" t="s">
        <v>8653</v>
      </c>
      <c r="K113" s="234" t="s">
        <v>8774</v>
      </c>
      <c r="L113" s="221" t="s">
        <v>8356</v>
      </c>
      <c r="M113" s="6" t="s">
        <v>7516</v>
      </c>
      <c r="N113" s="28" t="s">
        <v>604</v>
      </c>
      <c r="O113" s="28" t="s">
        <v>8655</v>
      </c>
      <c r="P113" s="28" t="s">
        <v>8535</v>
      </c>
      <c r="Q113" s="221" t="s">
        <v>6380</v>
      </c>
    </row>
    <row r="114" customFormat="false" ht="37.5" hidden="false" customHeight="true" outlineLevel="0" collapsed="false">
      <c r="A114" s="223" t="s">
        <v>8775</v>
      </c>
      <c r="B114" s="223" t="s">
        <v>5889</v>
      </c>
      <c r="C114" s="232" t="s">
        <v>8776</v>
      </c>
      <c r="D114" s="223" t="s">
        <v>8771</v>
      </c>
      <c r="E114" s="233" t="s">
        <v>8648</v>
      </c>
      <c r="F114" s="223" t="s">
        <v>8777</v>
      </c>
      <c r="G114" s="223" t="s">
        <v>8778</v>
      </c>
      <c r="H114" s="223" t="s">
        <v>8778</v>
      </c>
      <c r="I114" s="233" t="s">
        <v>8652</v>
      </c>
      <c r="J114" s="223" t="s">
        <v>8653</v>
      </c>
      <c r="K114" s="234" t="s">
        <v>8779</v>
      </c>
      <c r="L114" s="221" t="s">
        <v>8356</v>
      </c>
      <c r="M114" s="6" t="s">
        <v>7531</v>
      </c>
      <c r="N114" s="28" t="s">
        <v>604</v>
      </c>
      <c r="O114" s="28" t="s">
        <v>8655</v>
      </c>
      <c r="P114" s="28" t="s">
        <v>8535</v>
      </c>
      <c r="Q114" s="221" t="s">
        <v>6380</v>
      </c>
    </row>
    <row r="115" customFormat="false" ht="51.75" hidden="false" customHeight="true" outlineLevel="0" collapsed="false">
      <c r="A115" s="223" t="s">
        <v>8780</v>
      </c>
      <c r="B115" s="223" t="s">
        <v>5889</v>
      </c>
      <c r="C115" s="234" t="s">
        <v>8781</v>
      </c>
      <c r="D115" s="223" t="s">
        <v>8782</v>
      </c>
      <c r="E115" s="233" t="s">
        <v>8648</v>
      </c>
      <c r="F115" s="223" t="s">
        <v>8783</v>
      </c>
      <c r="G115" s="233" t="s">
        <v>8784</v>
      </c>
      <c r="H115" s="223" t="s">
        <v>8785</v>
      </c>
      <c r="I115" s="233" t="s">
        <v>8652</v>
      </c>
      <c r="J115" s="223" t="s">
        <v>8653</v>
      </c>
      <c r="K115" s="234" t="s">
        <v>8786</v>
      </c>
      <c r="L115" s="221" t="s">
        <v>8356</v>
      </c>
      <c r="M115" s="6" t="s">
        <v>2921</v>
      </c>
      <c r="N115" s="28" t="s">
        <v>604</v>
      </c>
      <c r="O115" s="28" t="s">
        <v>8655</v>
      </c>
      <c r="P115" s="28" t="s">
        <v>8535</v>
      </c>
      <c r="Q115" s="221" t="s">
        <v>6380</v>
      </c>
    </row>
    <row r="116" customFormat="false" ht="64.5" hidden="false" customHeight="true" outlineLevel="0" collapsed="false">
      <c r="A116" s="223" t="s">
        <v>8787</v>
      </c>
      <c r="B116" s="223" t="s">
        <v>5889</v>
      </c>
      <c r="C116" s="232" t="s">
        <v>8788</v>
      </c>
      <c r="D116" s="223" t="s">
        <v>8789</v>
      </c>
      <c r="E116" s="233" t="s">
        <v>8648</v>
      </c>
      <c r="F116" s="233" t="s">
        <v>8790</v>
      </c>
      <c r="G116" s="223" t="s">
        <v>8791</v>
      </c>
      <c r="H116" s="223" t="s">
        <v>8792</v>
      </c>
      <c r="I116" s="233" t="s">
        <v>8793</v>
      </c>
      <c r="J116" s="223" t="s">
        <v>8653</v>
      </c>
      <c r="K116" s="234" t="s">
        <v>8794</v>
      </c>
      <c r="L116" s="221" t="s">
        <v>8356</v>
      </c>
      <c r="M116" s="6" t="s">
        <v>5517</v>
      </c>
      <c r="N116" s="28" t="s">
        <v>604</v>
      </c>
      <c r="O116" s="28" t="s">
        <v>8655</v>
      </c>
      <c r="P116" s="28" t="s">
        <v>8535</v>
      </c>
      <c r="Q116" s="28" t="s">
        <v>202</v>
      </c>
    </row>
    <row r="117" customFormat="false" ht="77.25" hidden="false" customHeight="true" outlineLevel="0" collapsed="false">
      <c r="A117" s="223" t="s">
        <v>8795</v>
      </c>
      <c r="B117" s="223" t="s">
        <v>5889</v>
      </c>
      <c r="C117" s="232" t="s">
        <v>8796</v>
      </c>
      <c r="D117" s="223" t="s">
        <v>8797</v>
      </c>
      <c r="E117" s="233" t="s">
        <v>8648</v>
      </c>
      <c r="F117" s="223" t="s">
        <v>8798</v>
      </c>
      <c r="G117" s="223" t="s">
        <v>8799</v>
      </c>
      <c r="H117" s="223" t="s">
        <v>8800</v>
      </c>
      <c r="I117" s="233" t="s">
        <v>8801</v>
      </c>
      <c r="J117" s="223" t="s">
        <v>8653</v>
      </c>
      <c r="K117" s="234" t="s">
        <v>8802</v>
      </c>
      <c r="L117" s="221" t="s">
        <v>8356</v>
      </c>
      <c r="M117" s="6" t="s">
        <v>3918</v>
      </c>
      <c r="N117" s="28" t="s">
        <v>604</v>
      </c>
      <c r="O117" s="28" t="s">
        <v>8803</v>
      </c>
      <c r="P117" s="28" t="s">
        <v>8535</v>
      </c>
      <c r="Q117" s="221" t="s">
        <v>6273</v>
      </c>
    </row>
    <row r="118" customFormat="false" ht="64.5" hidden="false" customHeight="true" outlineLevel="0" collapsed="false">
      <c r="A118" s="223" t="s">
        <v>6613</v>
      </c>
      <c r="B118" s="223" t="s">
        <v>5889</v>
      </c>
      <c r="C118" s="232" t="s">
        <v>8804</v>
      </c>
      <c r="D118" s="223" t="s">
        <v>8805</v>
      </c>
      <c r="E118" s="233" t="s">
        <v>8648</v>
      </c>
      <c r="F118" s="233" t="s">
        <v>6614</v>
      </c>
      <c r="G118" s="223" t="s">
        <v>604</v>
      </c>
      <c r="H118" s="223" t="s">
        <v>8806</v>
      </c>
      <c r="I118" s="233" t="s">
        <v>8807</v>
      </c>
      <c r="J118" s="223" t="s">
        <v>8653</v>
      </c>
      <c r="K118" s="234" t="s">
        <v>8808</v>
      </c>
      <c r="L118" s="221" t="s">
        <v>8356</v>
      </c>
      <c r="M118" s="6" t="s">
        <v>6608</v>
      </c>
      <c r="N118" s="28" t="s">
        <v>604</v>
      </c>
      <c r="O118" s="28" t="s">
        <v>604</v>
      </c>
      <c r="P118" s="28" t="s">
        <v>8535</v>
      </c>
      <c r="Q118" s="221" t="s">
        <v>6273</v>
      </c>
    </row>
    <row r="119" customFormat="false" ht="64.5" hidden="false" customHeight="true" outlineLevel="0" collapsed="false">
      <c r="A119" s="223" t="s">
        <v>8809</v>
      </c>
      <c r="B119" s="223" t="s">
        <v>5889</v>
      </c>
      <c r="C119" s="232" t="s">
        <v>8810</v>
      </c>
      <c r="D119" s="223" t="s">
        <v>8811</v>
      </c>
      <c r="E119" s="233" t="s">
        <v>8648</v>
      </c>
      <c r="F119" s="223" t="s">
        <v>8812</v>
      </c>
      <c r="G119" s="223" t="s">
        <v>8813</v>
      </c>
      <c r="H119" s="223" t="s">
        <v>8814</v>
      </c>
      <c r="I119" s="233" t="s">
        <v>8815</v>
      </c>
      <c r="J119" s="223" t="s">
        <v>8653</v>
      </c>
      <c r="K119" s="234" t="s">
        <v>8816</v>
      </c>
      <c r="L119" s="221" t="s">
        <v>8356</v>
      </c>
      <c r="M119" s="6" t="s">
        <v>3895</v>
      </c>
      <c r="N119" s="28" t="s">
        <v>604</v>
      </c>
      <c r="O119" s="28" t="s">
        <v>8817</v>
      </c>
      <c r="P119" s="28" t="s">
        <v>8535</v>
      </c>
      <c r="Q119" s="221" t="s">
        <v>6273</v>
      </c>
    </row>
    <row r="120" customFormat="false" ht="64.5" hidden="false" customHeight="true" outlineLevel="0" collapsed="false">
      <c r="A120" s="223" t="s">
        <v>8818</v>
      </c>
      <c r="B120" s="223" t="s">
        <v>5910</v>
      </c>
      <c r="C120" s="232" t="s">
        <v>8819</v>
      </c>
      <c r="D120" s="223" t="s">
        <v>8820</v>
      </c>
      <c r="E120" s="233" t="s">
        <v>8821</v>
      </c>
      <c r="F120" s="223" t="s">
        <v>8822</v>
      </c>
      <c r="G120" s="223" t="s">
        <v>8823</v>
      </c>
      <c r="H120" s="233" t="s">
        <v>8824</v>
      </c>
      <c r="I120" s="233" t="s">
        <v>8825</v>
      </c>
      <c r="J120" s="223" t="s">
        <v>8653</v>
      </c>
      <c r="K120" s="234" t="s">
        <v>8826</v>
      </c>
      <c r="L120" s="221" t="s">
        <v>8356</v>
      </c>
      <c r="M120" s="6" t="s">
        <v>3937</v>
      </c>
      <c r="N120" s="28" t="s">
        <v>604</v>
      </c>
      <c r="O120" s="28" t="s">
        <v>604</v>
      </c>
      <c r="P120" s="28" t="s">
        <v>8510</v>
      </c>
      <c r="Q120" s="221" t="s">
        <v>6273</v>
      </c>
    </row>
    <row r="121" customFormat="false" ht="64.5" hidden="false" customHeight="true" outlineLevel="0" collapsed="false">
      <c r="A121" s="223" t="s">
        <v>8827</v>
      </c>
      <c r="B121" s="223" t="s">
        <v>5889</v>
      </c>
      <c r="C121" s="232" t="s">
        <v>8828</v>
      </c>
      <c r="D121" s="233" t="s">
        <v>8829</v>
      </c>
      <c r="E121" s="233" t="s">
        <v>8821</v>
      </c>
      <c r="F121" s="223" t="s">
        <v>8830</v>
      </c>
      <c r="G121" s="223" t="s">
        <v>8823</v>
      </c>
      <c r="H121" s="233" t="s">
        <v>8831</v>
      </c>
      <c r="I121" s="233" t="s">
        <v>8832</v>
      </c>
      <c r="J121" s="223" t="s">
        <v>8653</v>
      </c>
      <c r="K121" s="234" t="s">
        <v>8833</v>
      </c>
      <c r="L121" s="221" t="s">
        <v>8356</v>
      </c>
      <c r="M121" s="6" t="s">
        <v>3937</v>
      </c>
      <c r="N121" s="28" t="s">
        <v>604</v>
      </c>
      <c r="O121" s="28" t="s">
        <v>8655</v>
      </c>
      <c r="P121" s="28" t="s">
        <v>8510</v>
      </c>
      <c r="Q121" s="221" t="s">
        <v>8834</v>
      </c>
    </row>
    <row r="122" customFormat="false" ht="90" hidden="false" customHeight="true" outlineLevel="0" collapsed="false">
      <c r="A122" s="223" t="s">
        <v>8835</v>
      </c>
      <c r="B122" s="223" t="s">
        <v>5889</v>
      </c>
      <c r="C122" s="232" t="s">
        <v>8836</v>
      </c>
      <c r="D122" s="223" t="s">
        <v>8837</v>
      </c>
      <c r="E122" s="233" t="s">
        <v>8821</v>
      </c>
      <c r="F122" s="223" t="s">
        <v>8838</v>
      </c>
      <c r="G122" s="223" t="s">
        <v>8839</v>
      </c>
      <c r="H122" s="233" t="s">
        <v>8840</v>
      </c>
      <c r="I122" s="233" t="s">
        <v>8832</v>
      </c>
      <c r="J122" s="223" t="s">
        <v>8653</v>
      </c>
      <c r="K122" s="234" t="s">
        <v>8841</v>
      </c>
      <c r="L122" s="221" t="s">
        <v>8356</v>
      </c>
      <c r="M122" s="6" t="s">
        <v>3897</v>
      </c>
      <c r="N122" s="28" t="s">
        <v>604</v>
      </c>
      <c r="O122" s="28" t="s">
        <v>8655</v>
      </c>
      <c r="P122" s="28" t="s">
        <v>8510</v>
      </c>
      <c r="Q122" s="28" t="s">
        <v>8842</v>
      </c>
    </row>
    <row r="123" customFormat="false" ht="90" hidden="false" customHeight="true" outlineLevel="0" collapsed="false">
      <c r="A123" s="223" t="s">
        <v>8843</v>
      </c>
      <c r="B123" s="223" t="s">
        <v>5889</v>
      </c>
      <c r="C123" s="232" t="s">
        <v>8844</v>
      </c>
      <c r="D123" s="223" t="s">
        <v>8845</v>
      </c>
      <c r="E123" s="233" t="s">
        <v>8821</v>
      </c>
      <c r="F123" s="223" t="s">
        <v>8846</v>
      </c>
      <c r="G123" s="223" t="s">
        <v>8847</v>
      </c>
      <c r="H123" s="233" t="s">
        <v>8848</v>
      </c>
      <c r="I123" s="233" t="s">
        <v>8832</v>
      </c>
      <c r="J123" s="223" t="s">
        <v>8653</v>
      </c>
      <c r="K123" s="234" t="s">
        <v>8849</v>
      </c>
      <c r="L123" s="221" t="s">
        <v>8356</v>
      </c>
      <c r="M123" s="6" t="s">
        <v>3941</v>
      </c>
      <c r="N123" s="28" t="s">
        <v>604</v>
      </c>
      <c r="O123" s="28" t="s">
        <v>8655</v>
      </c>
      <c r="P123" s="28" t="s">
        <v>8510</v>
      </c>
      <c r="Q123" s="28" t="s">
        <v>8850</v>
      </c>
    </row>
    <row r="124" customFormat="false" ht="101.25" hidden="false" customHeight="true" outlineLevel="0" collapsed="false">
      <c r="A124" s="223" t="s">
        <v>8851</v>
      </c>
      <c r="B124" s="223" t="s">
        <v>5889</v>
      </c>
      <c r="C124" s="232" t="s">
        <v>8852</v>
      </c>
      <c r="D124" s="223" t="s">
        <v>8837</v>
      </c>
      <c r="E124" s="233" t="s">
        <v>8821</v>
      </c>
      <c r="F124" s="223" t="s">
        <v>8853</v>
      </c>
      <c r="G124" s="223" t="s">
        <v>8854</v>
      </c>
      <c r="H124" s="233" t="s">
        <v>8855</v>
      </c>
      <c r="I124" s="233" t="s">
        <v>8832</v>
      </c>
      <c r="J124" s="223" t="s">
        <v>8653</v>
      </c>
      <c r="K124" s="234" t="s">
        <v>8856</v>
      </c>
      <c r="L124" s="221" t="s">
        <v>8356</v>
      </c>
      <c r="M124" s="6" t="s">
        <v>3982</v>
      </c>
      <c r="N124" s="28" t="s">
        <v>604</v>
      </c>
      <c r="O124" s="28" t="s">
        <v>8655</v>
      </c>
      <c r="P124" s="28" t="s">
        <v>8510</v>
      </c>
      <c r="Q124" s="28" t="s">
        <v>8857</v>
      </c>
    </row>
    <row r="125" customFormat="false" ht="115.5" hidden="false" customHeight="true" outlineLevel="0" collapsed="false">
      <c r="A125" s="223" t="s">
        <v>8858</v>
      </c>
      <c r="B125" s="223" t="s">
        <v>5889</v>
      </c>
      <c r="C125" s="232" t="s">
        <v>8859</v>
      </c>
      <c r="D125" s="223" t="s">
        <v>8860</v>
      </c>
      <c r="E125" s="233" t="s">
        <v>8821</v>
      </c>
      <c r="F125" s="223" t="s">
        <v>8861</v>
      </c>
      <c r="G125" s="223" t="s">
        <v>8862</v>
      </c>
      <c r="H125" s="233" t="s">
        <v>8863</v>
      </c>
      <c r="I125" s="233" t="s">
        <v>8832</v>
      </c>
      <c r="J125" s="223" t="s">
        <v>8653</v>
      </c>
      <c r="K125" s="234" t="s">
        <v>8864</v>
      </c>
      <c r="L125" s="221" t="s">
        <v>8356</v>
      </c>
      <c r="M125" s="6" t="s">
        <v>3948</v>
      </c>
      <c r="N125" s="28" t="s">
        <v>604</v>
      </c>
      <c r="O125" s="28" t="s">
        <v>8655</v>
      </c>
      <c r="P125" s="28" t="s">
        <v>8510</v>
      </c>
      <c r="Q125" s="28" t="s">
        <v>8865</v>
      </c>
    </row>
    <row r="126" customFormat="false" ht="115.5" hidden="false" customHeight="true" outlineLevel="0" collapsed="false">
      <c r="A126" s="223" t="s">
        <v>8866</v>
      </c>
      <c r="B126" s="223" t="s">
        <v>5889</v>
      </c>
      <c r="C126" s="232" t="s">
        <v>8867</v>
      </c>
      <c r="D126" s="223" t="s">
        <v>8868</v>
      </c>
      <c r="E126" s="233" t="s">
        <v>8821</v>
      </c>
      <c r="F126" s="223" t="s">
        <v>8869</v>
      </c>
      <c r="G126" s="223" t="s">
        <v>8870</v>
      </c>
      <c r="H126" s="233" t="s">
        <v>8871</v>
      </c>
      <c r="I126" s="233" t="s">
        <v>8872</v>
      </c>
      <c r="J126" s="223" t="s">
        <v>8653</v>
      </c>
      <c r="K126" s="234" t="s">
        <v>8873</v>
      </c>
      <c r="L126" s="221" t="s">
        <v>8356</v>
      </c>
      <c r="M126" s="6" t="s">
        <v>4472</v>
      </c>
      <c r="N126" s="28" t="s">
        <v>604</v>
      </c>
      <c r="O126" s="28" t="s">
        <v>8655</v>
      </c>
      <c r="P126" s="28" t="s">
        <v>8510</v>
      </c>
      <c r="Q126" s="221" t="s">
        <v>6273</v>
      </c>
    </row>
    <row r="127" customFormat="false" ht="115.5" hidden="false" customHeight="true" outlineLevel="0" collapsed="false">
      <c r="A127" s="223" t="s">
        <v>8874</v>
      </c>
      <c r="B127" s="223" t="s">
        <v>5889</v>
      </c>
      <c r="C127" s="232" t="s">
        <v>8875</v>
      </c>
      <c r="D127" s="223" t="s">
        <v>8868</v>
      </c>
      <c r="E127" s="233" t="s">
        <v>8821</v>
      </c>
      <c r="F127" s="223" t="s">
        <v>8876</v>
      </c>
      <c r="G127" s="223" t="s">
        <v>8877</v>
      </c>
      <c r="H127" s="233" t="s">
        <v>8878</v>
      </c>
      <c r="I127" s="233" t="s">
        <v>8872</v>
      </c>
      <c r="J127" s="223" t="s">
        <v>8653</v>
      </c>
      <c r="K127" s="234" t="s">
        <v>8879</v>
      </c>
      <c r="L127" s="221" t="s">
        <v>8356</v>
      </c>
      <c r="M127" s="6" t="s">
        <v>4481</v>
      </c>
      <c r="N127" s="28" t="s">
        <v>604</v>
      </c>
      <c r="O127" s="28" t="s">
        <v>8655</v>
      </c>
      <c r="P127" s="28" t="s">
        <v>8510</v>
      </c>
      <c r="Q127" s="221" t="s">
        <v>8880</v>
      </c>
    </row>
    <row r="128" customFormat="false" ht="77.25" hidden="false" customHeight="true" outlineLevel="0" collapsed="false">
      <c r="A128" s="223" t="s">
        <v>8881</v>
      </c>
      <c r="B128" s="223" t="s">
        <v>5889</v>
      </c>
      <c r="C128" s="232" t="s">
        <v>8882</v>
      </c>
      <c r="D128" s="223" t="s">
        <v>8883</v>
      </c>
      <c r="E128" s="233" t="s">
        <v>8821</v>
      </c>
      <c r="F128" s="223" t="s">
        <v>8884</v>
      </c>
      <c r="G128" s="223" t="s">
        <v>604</v>
      </c>
      <c r="H128" s="223" t="s">
        <v>8885</v>
      </c>
      <c r="I128" s="233" t="s">
        <v>8886</v>
      </c>
      <c r="J128" s="223" t="s">
        <v>8653</v>
      </c>
      <c r="K128" s="234" t="s">
        <v>8887</v>
      </c>
      <c r="L128" s="221" t="s">
        <v>8356</v>
      </c>
      <c r="M128" s="6" t="s">
        <v>8888</v>
      </c>
      <c r="N128" s="28" t="s">
        <v>604</v>
      </c>
      <c r="O128" s="28" t="s">
        <v>604</v>
      </c>
      <c r="P128" s="28" t="s">
        <v>8510</v>
      </c>
      <c r="Q128" s="221" t="s">
        <v>6273</v>
      </c>
    </row>
    <row r="129" customFormat="false" ht="64.5" hidden="false" customHeight="true" outlineLevel="0" collapsed="false">
      <c r="A129" s="223" t="s">
        <v>6982</v>
      </c>
      <c r="B129" s="223" t="s">
        <v>5889</v>
      </c>
      <c r="C129" s="232" t="s">
        <v>8889</v>
      </c>
      <c r="D129" s="223" t="s">
        <v>8890</v>
      </c>
      <c r="E129" s="233" t="s">
        <v>8648</v>
      </c>
      <c r="F129" s="223" t="s">
        <v>8891</v>
      </c>
      <c r="G129" s="223" t="s">
        <v>8892</v>
      </c>
      <c r="H129" s="223" t="s">
        <v>8893</v>
      </c>
      <c r="I129" s="233" t="s">
        <v>8894</v>
      </c>
      <c r="J129" s="223" t="s">
        <v>8653</v>
      </c>
      <c r="K129" s="234" t="s">
        <v>8895</v>
      </c>
      <c r="L129" s="221" t="s">
        <v>8356</v>
      </c>
      <c r="M129" s="6" t="s">
        <v>8896</v>
      </c>
      <c r="N129" s="28" t="s">
        <v>604</v>
      </c>
      <c r="O129" s="28" t="s">
        <v>8897</v>
      </c>
      <c r="P129" s="28" t="s">
        <v>8535</v>
      </c>
      <c r="Q129" s="221" t="s">
        <v>6273</v>
      </c>
    </row>
    <row r="130" customFormat="false" ht="112.5" hidden="false" customHeight="true" outlineLevel="0" collapsed="false">
      <c r="A130" s="223" t="s">
        <v>6591</v>
      </c>
      <c r="B130" s="223" t="s">
        <v>5889</v>
      </c>
      <c r="C130" s="232" t="s">
        <v>8898</v>
      </c>
      <c r="D130" s="223" t="s">
        <v>8899</v>
      </c>
      <c r="E130" s="233" t="s">
        <v>8648</v>
      </c>
      <c r="F130" s="223" t="s">
        <v>8900</v>
      </c>
      <c r="G130" s="223" t="s">
        <v>8901</v>
      </c>
      <c r="H130" s="223" t="s">
        <v>8902</v>
      </c>
      <c r="I130" s="233" t="s">
        <v>8903</v>
      </c>
      <c r="J130" s="223" t="s">
        <v>8653</v>
      </c>
      <c r="K130" s="234" t="s">
        <v>8904</v>
      </c>
      <c r="L130" s="221" t="s">
        <v>8356</v>
      </c>
      <c r="M130" s="6" t="s">
        <v>8905</v>
      </c>
      <c r="N130" s="28" t="s">
        <v>8906</v>
      </c>
      <c r="O130" s="28" t="s">
        <v>8907</v>
      </c>
      <c r="P130" s="28" t="s">
        <v>8535</v>
      </c>
      <c r="Q130" s="221" t="s">
        <v>6273</v>
      </c>
    </row>
    <row r="131" customFormat="false" ht="51.75" hidden="false" customHeight="true" outlineLevel="0" collapsed="false">
      <c r="A131" s="223" t="s">
        <v>6605</v>
      </c>
      <c r="B131" s="223" t="s">
        <v>5889</v>
      </c>
      <c r="C131" s="232" t="s">
        <v>8908</v>
      </c>
      <c r="D131" s="223" t="s">
        <v>8909</v>
      </c>
      <c r="E131" s="233" t="s">
        <v>8648</v>
      </c>
      <c r="F131" s="223" t="s">
        <v>8910</v>
      </c>
      <c r="G131" s="223" t="s">
        <v>604</v>
      </c>
      <c r="H131" s="223" t="s">
        <v>8911</v>
      </c>
      <c r="I131" s="233" t="s">
        <v>8912</v>
      </c>
      <c r="J131" s="223" t="s">
        <v>8653</v>
      </c>
      <c r="K131" s="234" t="s">
        <v>8913</v>
      </c>
      <c r="L131" s="221" t="s">
        <v>8356</v>
      </c>
      <c r="M131" s="6" t="s">
        <v>4003</v>
      </c>
      <c r="N131" s="28" t="s">
        <v>604</v>
      </c>
      <c r="O131" s="28" t="s">
        <v>8914</v>
      </c>
      <c r="P131" s="28" t="s">
        <v>8535</v>
      </c>
      <c r="Q131" s="221" t="s">
        <v>6273</v>
      </c>
    </row>
    <row r="132" customFormat="false" ht="64.5" hidden="false" customHeight="true" outlineLevel="0" collapsed="false">
      <c r="A132" s="223" t="s">
        <v>8915</v>
      </c>
      <c r="B132" s="223" t="s">
        <v>5889</v>
      </c>
      <c r="C132" s="232" t="s">
        <v>8916</v>
      </c>
      <c r="D132" s="223" t="s">
        <v>8917</v>
      </c>
      <c r="E132" s="233" t="s">
        <v>8648</v>
      </c>
      <c r="F132" s="223" t="s">
        <v>8918</v>
      </c>
      <c r="G132" s="223" t="s">
        <v>8919</v>
      </c>
      <c r="H132" s="233" t="s">
        <v>8920</v>
      </c>
      <c r="I132" s="233" t="s">
        <v>8921</v>
      </c>
      <c r="J132" s="223" t="s">
        <v>8653</v>
      </c>
      <c r="K132" s="234" t="s">
        <v>8922</v>
      </c>
      <c r="L132" s="221" t="s">
        <v>8356</v>
      </c>
      <c r="M132" s="6" t="s">
        <v>604</v>
      </c>
      <c r="N132" s="28" t="s">
        <v>604</v>
      </c>
      <c r="O132" s="221" t="s">
        <v>8923</v>
      </c>
      <c r="P132" s="28" t="s">
        <v>94</v>
      </c>
      <c r="Q132" s="221" t="s">
        <v>8924</v>
      </c>
    </row>
    <row r="133" customFormat="false" ht="39" hidden="false" customHeight="true" outlineLevel="0" collapsed="false">
      <c r="A133" s="223" t="s">
        <v>8925</v>
      </c>
      <c r="B133" s="223" t="s">
        <v>5889</v>
      </c>
      <c r="C133" s="232" t="s">
        <v>8926</v>
      </c>
      <c r="D133" s="223" t="s">
        <v>8917</v>
      </c>
      <c r="E133" s="233" t="s">
        <v>8648</v>
      </c>
      <c r="F133" s="223" t="s">
        <v>8927</v>
      </c>
      <c r="G133" s="223" t="s">
        <v>8928</v>
      </c>
      <c r="H133" s="233" t="s">
        <v>8920</v>
      </c>
      <c r="I133" s="233" t="s">
        <v>8921</v>
      </c>
      <c r="J133" s="223" t="s">
        <v>8653</v>
      </c>
      <c r="K133" s="234" t="s">
        <v>8929</v>
      </c>
      <c r="L133" s="221" t="s">
        <v>8356</v>
      </c>
      <c r="M133" s="6" t="s">
        <v>604</v>
      </c>
      <c r="N133" s="28" t="s">
        <v>604</v>
      </c>
      <c r="O133" s="221" t="s">
        <v>8923</v>
      </c>
      <c r="P133" s="28" t="s">
        <v>94</v>
      </c>
      <c r="Q133" s="221" t="s">
        <v>8924</v>
      </c>
    </row>
    <row r="134" customFormat="false" ht="51.75" hidden="false" customHeight="true" outlineLevel="0" collapsed="false">
      <c r="A134" s="223" t="s">
        <v>8930</v>
      </c>
      <c r="B134" s="223" t="s">
        <v>5889</v>
      </c>
      <c r="C134" s="232" t="s">
        <v>8931</v>
      </c>
      <c r="D134" s="223" t="s">
        <v>8932</v>
      </c>
      <c r="E134" s="233" t="s">
        <v>8648</v>
      </c>
      <c r="F134" s="223" t="s">
        <v>8933</v>
      </c>
      <c r="G134" s="223" t="s">
        <v>8934</v>
      </c>
      <c r="H134" s="223" t="s">
        <v>8935</v>
      </c>
      <c r="I134" s="233" t="s">
        <v>8936</v>
      </c>
      <c r="J134" s="223" t="s">
        <v>8653</v>
      </c>
      <c r="K134" s="234" t="s">
        <v>8937</v>
      </c>
      <c r="L134" s="221" t="s">
        <v>8356</v>
      </c>
      <c r="M134" s="6" t="s">
        <v>604</v>
      </c>
      <c r="N134" s="28" t="s">
        <v>604</v>
      </c>
      <c r="O134" s="28" t="s">
        <v>604</v>
      </c>
      <c r="P134" s="28" t="s">
        <v>94</v>
      </c>
      <c r="Q134" s="221" t="s">
        <v>6273</v>
      </c>
    </row>
    <row r="135" customFormat="false" ht="39" hidden="false" customHeight="true" outlineLevel="0" collapsed="false">
      <c r="A135" s="223" t="s">
        <v>8938</v>
      </c>
      <c r="B135" s="223" t="s">
        <v>5889</v>
      </c>
      <c r="C135" s="232" t="s">
        <v>8939</v>
      </c>
      <c r="D135" s="223" t="s">
        <v>8917</v>
      </c>
      <c r="E135" s="233" t="s">
        <v>8648</v>
      </c>
      <c r="F135" s="223" t="s">
        <v>8940</v>
      </c>
      <c r="G135" s="223" t="s">
        <v>8941</v>
      </c>
      <c r="H135" s="223" t="s">
        <v>8942</v>
      </c>
      <c r="I135" s="233" t="s">
        <v>8943</v>
      </c>
      <c r="J135" s="223" t="s">
        <v>8653</v>
      </c>
      <c r="K135" s="234" t="s">
        <v>8944</v>
      </c>
      <c r="L135" s="221" t="s">
        <v>8356</v>
      </c>
      <c r="M135" s="6" t="s">
        <v>604</v>
      </c>
      <c r="N135" s="28" t="s">
        <v>604</v>
      </c>
      <c r="O135" s="221" t="s">
        <v>8945</v>
      </c>
      <c r="P135" s="28" t="s">
        <v>94</v>
      </c>
      <c r="Q135" s="221" t="s">
        <v>8924</v>
      </c>
    </row>
    <row r="136" customFormat="false" ht="51.75" hidden="false" customHeight="true" outlineLevel="0" collapsed="false">
      <c r="A136" s="223" t="s">
        <v>8946</v>
      </c>
      <c r="B136" s="223" t="s">
        <v>5889</v>
      </c>
      <c r="C136" s="232" t="s">
        <v>8947</v>
      </c>
      <c r="D136" s="223" t="s">
        <v>8917</v>
      </c>
      <c r="E136" s="233" t="s">
        <v>8648</v>
      </c>
      <c r="F136" s="223" t="s">
        <v>8948</v>
      </c>
      <c r="G136" s="223" t="s">
        <v>8949</v>
      </c>
      <c r="H136" s="233" t="s">
        <v>8950</v>
      </c>
      <c r="I136" s="233" t="s">
        <v>8951</v>
      </c>
      <c r="J136" s="223" t="s">
        <v>8653</v>
      </c>
      <c r="K136" s="234" t="s">
        <v>8952</v>
      </c>
      <c r="L136" s="221" t="s">
        <v>8356</v>
      </c>
      <c r="M136" s="6" t="s">
        <v>604</v>
      </c>
      <c r="N136" s="28" t="s">
        <v>604</v>
      </c>
      <c r="O136" s="28" t="s">
        <v>604</v>
      </c>
      <c r="P136" s="28" t="s">
        <v>604</v>
      </c>
      <c r="Q136" s="221" t="s">
        <v>8924</v>
      </c>
    </row>
    <row r="137" customFormat="false" ht="51.75" hidden="false" customHeight="true" outlineLevel="0" collapsed="false">
      <c r="A137" s="223" t="s">
        <v>8953</v>
      </c>
      <c r="B137" s="223" t="s">
        <v>5889</v>
      </c>
      <c r="C137" s="232" t="s">
        <v>8954</v>
      </c>
      <c r="D137" s="223" t="s">
        <v>8955</v>
      </c>
      <c r="E137" s="233" t="s">
        <v>8648</v>
      </c>
      <c r="F137" s="223" t="s">
        <v>8956</v>
      </c>
      <c r="G137" s="223" t="s">
        <v>8957</v>
      </c>
      <c r="H137" s="223" t="s">
        <v>604</v>
      </c>
      <c r="I137" s="233" t="s">
        <v>8951</v>
      </c>
      <c r="J137" s="223" t="s">
        <v>8653</v>
      </c>
      <c r="K137" s="234" t="s">
        <v>8958</v>
      </c>
      <c r="L137" s="221" t="s">
        <v>8356</v>
      </c>
      <c r="M137" s="6" t="s">
        <v>604</v>
      </c>
      <c r="N137" s="28" t="s">
        <v>604</v>
      </c>
      <c r="O137" s="28" t="s">
        <v>604</v>
      </c>
      <c r="P137" s="28" t="s">
        <v>94</v>
      </c>
      <c r="Q137" s="221" t="s">
        <v>6273</v>
      </c>
    </row>
    <row r="138" customFormat="false" ht="26.25" hidden="false" customHeight="true" outlineLevel="0" collapsed="false">
      <c r="A138" s="223" t="s">
        <v>8959</v>
      </c>
      <c r="B138" s="223" t="s">
        <v>5889</v>
      </c>
      <c r="C138" s="232" t="s">
        <v>8960</v>
      </c>
      <c r="D138" s="223" t="s">
        <v>8961</v>
      </c>
      <c r="E138" s="233" t="s">
        <v>8962</v>
      </c>
      <c r="F138" s="223" t="s">
        <v>8963</v>
      </c>
      <c r="G138" s="223" t="s">
        <v>604</v>
      </c>
      <c r="H138" s="223" t="s">
        <v>604</v>
      </c>
      <c r="I138" s="233" t="s">
        <v>8964</v>
      </c>
      <c r="J138" s="223" t="s">
        <v>8653</v>
      </c>
      <c r="K138" s="234" t="s">
        <v>8965</v>
      </c>
      <c r="L138" s="221" t="s">
        <v>8356</v>
      </c>
      <c r="M138" s="6" t="s">
        <v>604</v>
      </c>
      <c r="N138" s="28" t="s">
        <v>604</v>
      </c>
      <c r="O138" s="28" t="s">
        <v>604</v>
      </c>
      <c r="P138" s="28" t="s">
        <v>8486</v>
      </c>
      <c r="Q138" s="221" t="s">
        <v>6273</v>
      </c>
    </row>
    <row r="139" customFormat="false" ht="51.75" hidden="false" customHeight="true" outlineLevel="0" collapsed="false">
      <c r="A139" s="223" t="s">
        <v>8966</v>
      </c>
      <c r="B139" s="223" t="s">
        <v>5889</v>
      </c>
      <c r="C139" s="232" t="s">
        <v>8967</v>
      </c>
      <c r="D139" s="223" t="s">
        <v>8968</v>
      </c>
      <c r="E139" s="233" t="s">
        <v>8969</v>
      </c>
      <c r="F139" s="223" t="s">
        <v>8970</v>
      </c>
      <c r="G139" s="223" t="s">
        <v>604</v>
      </c>
      <c r="H139" s="223" t="s">
        <v>604</v>
      </c>
      <c r="I139" s="233" t="s">
        <v>8971</v>
      </c>
      <c r="J139" s="223" t="s">
        <v>8653</v>
      </c>
      <c r="K139" s="234" t="s">
        <v>8972</v>
      </c>
      <c r="L139" s="221" t="s">
        <v>8356</v>
      </c>
      <c r="M139" s="6" t="s">
        <v>604</v>
      </c>
      <c r="N139" s="28" t="s">
        <v>604</v>
      </c>
      <c r="O139" s="28" t="s">
        <v>604</v>
      </c>
      <c r="P139" s="28" t="s">
        <v>8486</v>
      </c>
      <c r="Q139" s="221" t="s">
        <v>6273</v>
      </c>
    </row>
    <row r="140" customFormat="false" ht="26.25" hidden="false" customHeight="true" outlineLevel="0" collapsed="false">
      <c r="A140" s="223" t="s">
        <v>8973</v>
      </c>
      <c r="B140" s="223" t="s">
        <v>5889</v>
      </c>
      <c r="C140" s="232" t="s">
        <v>8974</v>
      </c>
      <c r="D140" s="223" t="s">
        <v>8975</v>
      </c>
      <c r="E140" s="233" t="s">
        <v>8821</v>
      </c>
      <c r="F140" s="223" t="s">
        <v>8976</v>
      </c>
      <c r="G140" s="223" t="s">
        <v>8977</v>
      </c>
      <c r="H140" s="223" t="s">
        <v>8978</v>
      </c>
      <c r="I140" s="233" t="s">
        <v>8979</v>
      </c>
      <c r="J140" s="223" t="s">
        <v>8653</v>
      </c>
      <c r="K140" s="234" t="s">
        <v>8980</v>
      </c>
      <c r="L140" s="221" t="s">
        <v>8356</v>
      </c>
      <c r="M140" s="6" t="s">
        <v>604</v>
      </c>
      <c r="N140" s="28" t="s">
        <v>604</v>
      </c>
      <c r="O140" s="28" t="s">
        <v>8981</v>
      </c>
      <c r="P140" s="28" t="s">
        <v>94</v>
      </c>
      <c r="Q140" s="221" t="s">
        <v>6380</v>
      </c>
    </row>
    <row r="141" customFormat="false" ht="51.75" hidden="false" customHeight="true" outlineLevel="0" collapsed="false">
      <c r="A141" s="223" t="s">
        <v>8982</v>
      </c>
      <c r="B141" s="223" t="s">
        <v>5889</v>
      </c>
      <c r="C141" s="232" t="s">
        <v>8983</v>
      </c>
      <c r="D141" s="223" t="s">
        <v>8984</v>
      </c>
      <c r="E141" s="233" t="s">
        <v>8648</v>
      </c>
      <c r="F141" s="223" t="s">
        <v>8985</v>
      </c>
      <c r="G141" s="233" t="s">
        <v>8986</v>
      </c>
      <c r="H141" s="233" t="s">
        <v>8987</v>
      </c>
      <c r="I141" s="233" t="s">
        <v>8988</v>
      </c>
      <c r="J141" s="223" t="s">
        <v>8653</v>
      </c>
      <c r="K141" s="234" t="s">
        <v>8989</v>
      </c>
      <c r="L141" s="221" t="s">
        <v>8356</v>
      </c>
      <c r="M141" s="6" t="s">
        <v>604</v>
      </c>
      <c r="N141" s="28" t="s">
        <v>604</v>
      </c>
      <c r="O141" s="28" t="s">
        <v>8990</v>
      </c>
      <c r="P141" s="28" t="s">
        <v>604</v>
      </c>
      <c r="Q141" s="221" t="s">
        <v>6273</v>
      </c>
    </row>
    <row r="142" customFormat="false" ht="51.75" hidden="false" customHeight="true" outlineLevel="0" collapsed="false">
      <c r="A142" s="223" t="s">
        <v>8991</v>
      </c>
      <c r="B142" s="223" t="s">
        <v>5889</v>
      </c>
      <c r="C142" s="232" t="s">
        <v>8992</v>
      </c>
      <c r="D142" s="223" t="s">
        <v>8993</v>
      </c>
      <c r="E142" s="233" t="s">
        <v>8648</v>
      </c>
      <c r="F142" s="223" t="s">
        <v>8994</v>
      </c>
      <c r="G142" s="223" t="s">
        <v>8995</v>
      </c>
      <c r="H142" s="233" t="s">
        <v>8996</v>
      </c>
      <c r="I142" s="233" t="s">
        <v>8997</v>
      </c>
      <c r="J142" s="223" t="s">
        <v>8653</v>
      </c>
      <c r="K142" s="234" t="s">
        <v>8998</v>
      </c>
      <c r="L142" s="221" t="s">
        <v>8356</v>
      </c>
      <c r="M142" s="6" t="s">
        <v>604</v>
      </c>
      <c r="N142" s="28" t="s">
        <v>604</v>
      </c>
      <c r="O142" s="221" t="s">
        <v>8999</v>
      </c>
      <c r="P142" s="28" t="s">
        <v>137</v>
      </c>
      <c r="Q142" s="221" t="s">
        <v>6273</v>
      </c>
    </row>
    <row r="143" customFormat="false" ht="64.5" hidden="false" customHeight="true" outlineLevel="0" collapsed="false">
      <c r="A143" s="223" t="s">
        <v>9000</v>
      </c>
      <c r="B143" s="223" t="s">
        <v>5889</v>
      </c>
      <c r="C143" s="232" t="s">
        <v>9001</v>
      </c>
      <c r="D143" s="223" t="s">
        <v>9002</v>
      </c>
      <c r="E143" s="233" t="s">
        <v>8821</v>
      </c>
      <c r="F143" s="223" t="s">
        <v>9003</v>
      </c>
      <c r="G143" s="223" t="s">
        <v>9004</v>
      </c>
      <c r="H143" s="223" t="s">
        <v>9005</v>
      </c>
      <c r="I143" s="233" t="s">
        <v>9006</v>
      </c>
      <c r="J143" s="223" t="s">
        <v>8653</v>
      </c>
      <c r="K143" s="234" t="s">
        <v>9007</v>
      </c>
      <c r="L143" s="221" t="s">
        <v>8356</v>
      </c>
      <c r="M143" s="6" t="s">
        <v>3948</v>
      </c>
      <c r="N143" s="28" t="s">
        <v>604</v>
      </c>
      <c r="O143" s="28" t="s">
        <v>9008</v>
      </c>
      <c r="P143" s="28" t="s">
        <v>137</v>
      </c>
      <c r="Q143" s="221" t="s">
        <v>6380</v>
      </c>
    </row>
    <row r="144" customFormat="false" ht="26.25" hidden="false" customHeight="true" outlineLevel="0" collapsed="false">
      <c r="A144" s="223" t="s">
        <v>9009</v>
      </c>
      <c r="B144" s="223" t="s">
        <v>5889</v>
      </c>
      <c r="C144" s="232" t="s">
        <v>9010</v>
      </c>
      <c r="D144" s="223" t="s">
        <v>9011</v>
      </c>
      <c r="E144" s="233" t="s">
        <v>8648</v>
      </c>
      <c r="F144" s="223" t="s">
        <v>9012</v>
      </c>
      <c r="G144" s="223" t="s">
        <v>9013</v>
      </c>
      <c r="H144" s="233" t="s">
        <v>9014</v>
      </c>
      <c r="I144" s="233" t="s">
        <v>9015</v>
      </c>
      <c r="J144" s="223" t="s">
        <v>8653</v>
      </c>
      <c r="K144" s="234" t="s">
        <v>9016</v>
      </c>
      <c r="L144" s="221" t="s">
        <v>8356</v>
      </c>
      <c r="M144" s="6" t="s">
        <v>604</v>
      </c>
      <c r="N144" s="28" t="s">
        <v>604</v>
      </c>
      <c r="O144" s="28" t="s">
        <v>604</v>
      </c>
      <c r="P144" s="28" t="s">
        <v>604</v>
      </c>
      <c r="Q144" s="221" t="s">
        <v>6380</v>
      </c>
    </row>
    <row r="145" customFormat="false" ht="77.25" hidden="false" customHeight="true" outlineLevel="0" collapsed="false">
      <c r="A145" s="223" t="s">
        <v>9017</v>
      </c>
      <c r="B145" s="223" t="s">
        <v>5889</v>
      </c>
      <c r="C145" s="234" t="s">
        <v>9018</v>
      </c>
      <c r="D145" s="233" t="s">
        <v>9019</v>
      </c>
      <c r="E145" s="233" t="s">
        <v>9020</v>
      </c>
      <c r="F145" s="223" t="s">
        <v>9021</v>
      </c>
      <c r="G145" s="223" t="s">
        <v>9022</v>
      </c>
      <c r="H145" s="233" t="s">
        <v>9023</v>
      </c>
      <c r="I145" s="233" t="s">
        <v>9024</v>
      </c>
      <c r="J145" s="223" t="s">
        <v>8653</v>
      </c>
      <c r="K145" s="234" t="s">
        <v>9025</v>
      </c>
      <c r="L145" s="221" t="s">
        <v>8356</v>
      </c>
      <c r="M145" s="6" t="s">
        <v>604</v>
      </c>
      <c r="N145" s="28" t="s">
        <v>604</v>
      </c>
      <c r="O145" s="28" t="s">
        <v>604</v>
      </c>
      <c r="P145" s="28" t="s">
        <v>604</v>
      </c>
      <c r="Q145" s="28" t="s">
        <v>604</v>
      </c>
    </row>
    <row r="146" customFormat="false" ht="26.25" hidden="false" customHeight="true" outlineLevel="0" collapsed="false">
      <c r="A146" s="223" t="s">
        <v>9026</v>
      </c>
      <c r="B146" s="223" t="s">
        <v>5889</v>
      </c>
      <c r="C146" s="232" t="s">
        <v>9027</v>
      </c>
      <c r="D146" s="223" t="s">
        <v>8932</v>
      </c>
      <c r="E146" s="233" t="s">
        <v>8648</v>
      </c>
      <c r="F146" s="223" t="s">
        <v>9028</v>
      </c>
      <c r="G146" s="223" t="s">
        <v>9029</v>
      </c>
      <c r="H146" s="233" t="s">
        <v>9030</v>
      </c>
      <c r="I146" s="233" t="s">
        <v>9031</v>
      </c>
      <c r="J146" s="223" t="s">
        <v>8653</v>
      </c>
      <c r="K146" s="234" t="s">
        <v>9032</v>
      </c>
      <c r="L146" s="221" t="s">
        <v>8356</v>
      </c>
      <c r="M146" s="6" t="s">
        <v>604</v>
      </c>
      <c r="N146" s="28" t="s">
        <v>604</v>
      </c>
      <c r="O146" s="28" t="s">
        <v>604</v>
      </c>
      <c r="P146" s="28" t="s">
        <v>604</v>
      </c>
      <c r="Q146" s="28" t="s">
        <v>604</v>
      </c>
    </row>
    <row r="147" customFormat="false" ht="39" hidden="false" customHeight="true" outlineLevel="0" collapsed="false">
      <c r="A147" s="223" t="s">
        <v>9033</v>
      </c>
      <c r="B147" s="223" t="s">
        <v>5889</v>
      </c>
      <c r="C147" s="232" t="s">
        <v>9034</v>
      </c>
      <c r="D147" s="233" t="s">
        <v>9035</v>
      </c>
      <c r="E147" s="223" t="s">
        <v>604</v>
      </c>
      <c r="F147" s="223" t="s">
        <v>9036</v>
      </c>
      <c r="G147" s="223" t="s">
        <v>604</v>
      </c>
      <c r="H147" s="223" t="s">
        <v>604</v>
      </c>
      <c r="I147" s="233" t="s">
        <v>9037</v>
      </c>
      <c r="J147" s="223" t="s">
        <v>8653</v>
      </c>
      <c r="K147" s="234" t="s">
        <v>9038</v>
      </c>
      <c r="L147" s="221" t="s">
        <v>8356</v>
      </c>
      <c r="M147" s="6" t="s">
        <v>604</v>
      </c>
      <c r="N147" s="28" t="s">
        <v>604</v>
      </c>
      <c r="O147" s="28" t="s">
        <v>604</v>
      </c>
      <c r="P147" s="28" t="s">
        <v>604</v>
      </c>
      <c r="Q147" s="28" t="s">
        <v>604</v>
      </c>
    </row>
    <row r="148" customFormat="false" ht="64.5" hidden="false" customHeight="true" outlineLevel="0" collapsed="false">
      <c r="A148" s="223" t="s">
        <v>9039</v>
      </c>
      <c r="B148" s="223" t="s">
        <v>5889</v>
      </c>
      <c r="C148" s="232" t="s">
        <v>9040</v>
      </c>
      <c r="D148" s="223" t="s">
        <v>8725</v>
      </c>
      <c r="E148" s="233" t="s">
        <v>8648</v>
      </c>
      <c r="F148" s="223" t="s">
        <v>9041</v>
      </c>
      <c r="G148" s="223" t="s">
        <v>9042</v>
      </c>
      <c r="H148" s="223" t="s">
        <v>9043</v>
      </c>
      <c r="I148" s="233" t="s">
        <v>9044</v>
      </c>
      <c r="J148" s="223" t="s">
        <v>8653</v>
      </c>
      <c r="K148" s="234" t="s">
        <v>9045</v>
      </c>
      <c r="L148" s="221" t="s">
        <v>8356</v>
      </c>
      <c r="M148" s="6" t="s">
        <v>3996</v>
      </c>
      <c r="N148" s="28" t="s">
        <v>604</v>
      </c>
      <c r="O148" s="28" t="s">
        <v>604</v>
      </c>
      <c r="P148" s="28" t="s">
        <v>8535</v>
      </c>
      <c r="Q148" s="221" t="s">
        <v>6273</v>
      </c>
    </row>
    <row r="149" customFormat="false" ht="39" hidden="false" customHeight="true" outlineLevel="0" collapsed="false">
      <c r="A149" s="223" t="s">
        <v>9046</v>
      </c>
      <c r="B149" s="223" t="s">
        <v>5889</v>
      </c>
      <c r="C149" s="232" t="s">
        <v>9047</v>
      </c>
      <c r="D149" s="223" t="s">
        <v>9048</v>
      </c>
      <c r="E149" s="233" t="s">
        <v>8648</v>
      </c>
      <c r="F149" s="223" t="s">
        <v>9049</v>
      </c>
      <c r="G149" s="223" t="s">
        <v>9050</v>
      </c>
      <c r="H149" s="223" t="s">
        <v>9051</v>
      </c>
      <c r="I149" s="233" t="s">
        <v>9044</v>
      </c>
      <c r="J149" s="223" t="s">
        <v>8653</v>
      </c>
      <c r="K149" s="234" t="s">
        <v>9052</v>
      </c>
      <c r="L149" s="221" t="s">
        <v>8356</v>
      </c>
      <c r="M149" s="6" t="s">
        <v>4017</v>
      </c>
      <c r="N149" s="28" t="s">
        <v>604</v>
      </c>
      <c r="O149" s="28" t="s">
        <v>604</v>
      </c>
      <c r="P149" s="28" t="s">
        <v>8535</v>
      </c>
      <c r="Q149" s="221" t="s">
        <v>6273</v>
      </c>
    </row>
    <row r="150" customFormat="false" ht="77.25" hidden="false" customHeight="true" outlineLevel="0" collapsed="false">
      <c r="A150" s="223" t="s">
        <v>9053</v>
      </c>
      <c r="B150" s="223" t="s">
        <v>5889</v>
      </c>
      <c r="C150" s="232" t="s">
        <v>9054</v>
      </c>
      <c r="D150" s="223" t="s">
        <v>8718</v>
      </c>
      <c r="E150" s="233" t="s">
        <v>8648</v>
      </c>
      <c r="F150" s="223" t="s">
        <v>9055</v>
      </c>
      <c r="G150" s="223" t="s">
        <v>9056</v>
      </c>
      <c r="H150" s="223" t="s">
        <v>9057</v>
      </c>
      <c r="I150" s="233" t="s">
        <v>9044</v>
      </c>
      <c r="J150" s="223" t="s">
        <v>8653</v>
      </c>
      <c r="K150" s="234" t="s">
        <v>9058</v>
      </c>
      <c r="L150" s="221" t="s">
        <v>8356</v>
      </c>
      <c r="M150" s="6" t="s">
        <v>4072</v>
      </c>
      <c r="N150" s="28" t="s">
        <v>604</v>
      </c>
      <c r="O150" s="28" t="s">
        <v>604</v>
      </c>
      <c r="P150" s="28" t="s">
        <v>8535</v>
      </c>
      <c r="Q150" s="221" t="s">
        <v>6273</v>
      </c>
    </row>
    <row r="151" customFormat="false" ht="64.5" hidden="false" customHeight="true" outlineLevel="0" collapsed="false">
      <c r="A151" s="223" t="s">
        <v>9059</v>
      </c>
      <c r="B151" s="223" t="s">
        <v>5889</v>
      </c>
      <c r="C151" s="232" t="s">
        <v>9060</v>
      </c>
      <c r="D151" s="223" t="s">
        <v>8797</v>
      </c>
      <c r="E151" s="233" t="s">
        <v>8648</v>
      </c>
      <c r="F151" s="223" t="s">
        <v>9061</v>
      </c>
      <c r="G151" s="223" t="s">
        <v>9062</v>
      </c>
      <c r="H151" s="223" t="s">
        <v>9063</v>
      </c>
      <c r="I151" s="233" t="s">
        <v>9064</v>
      </c>
      <c r="J151" s="223" t="s">
        <v>8653</v>
      </c>
      <c r="K151" s="234" t="s">
        <v>9065</v>
      </c>
      <c r="L151" s="221" t="s">
        <v>8356</v>
      </c>
      <c r="M151" s="6" t="s">
        <v>3900</v>
      </c>
      <c r="N151" s="28" t="s">
        <v>604</v>
      </c>
      <c r="O151" s="221" t="s">
        <v>9066</v>
      </c>
      <c r="P151" s="28" t="s">
        <v>8535</v>
      </c>
      <c r="Q151" s="221" t="s">
        <v>6273</v>
      </c>
    </row>
    <row r="152" customFormat="false" ht="64.5" hidden="false" customHeight="true" outlineLevel="0" collapsed="false">
      <c r="A152" s="223" t="s">
        <v>5565</v>
      </c>
      <c r="B152" s="223" t="s">
        <v>5889</v>
      </c>
      <c r="C152" s="232" t="s">
        <v>9067</v>
      </c>
      <c r="D152" s="233" t="s">
        <v>9068</v>
      </c>
      <c r="E152" s="233" t="s">
        <v>9020</v>
      </c>
      <c r="F152" s="223" t="s">
        <v>9069</v>
      </c>
      <c r="G152" s="223" t="s">
        <v>9070</v>
      </c>
      <c r="H152" s="223" t="s">
        <v>9071</v>
      </c>
      <c r="I152" s="233" t="s">
        <v>9072</v>
      </c>
      <c r="J152" s="223" t="s">
        <v>8653</v>
      </c>
      <c r="K152" s="234" t="s">
        <v>9073</v>
      </c>
      <c r="L152" s="221" t="s">
        <v>8356</v>
      </c>
      <c r="M152" s="6" t="s">
        <v>604</v>
      </c>
      <c r="N152" s="28" t="s">
        <v>604</v>
      </c>
      <c r="O152" s="28" t="s">
        <v>8914</v>
      </c>
      <c r="P152" s="28" t="s">
        <v>90</v>
      </c>
      <c r="Q152" s="28" t="s">
        <v>604</v>
      </c>
    </row>
    <row r="153" customFormat="false" ht="126.75" hidden="false" customHeight="true" outlineLevel="0" collapsed="false">
      <c r="A153" s="223" t="s">
        <v>9074</v>
      </c>
      <c r="B153" s="223" t="s">
        <v>5910</v>
      </c>
      <c r="C153" s="232" t="s">
        <v>9075</v>
      </c>
      <c r="D153" s="233" t="s">
        <v>9076</v>
      </c>
      <c r="E153" s="233" t="s">
        <v>9020</v>
      </c>
      <c r="F153" s="223" t="s">
        <v>9077</v>
      </c>
      <c r="G153" s="223" t="s">
        <v>9078</v>
      </c>
      <c r="H153" s="233" t="s">
        <v>9079</v>
      </c>
      <c r="I153" s="233" t="s">
        <v>9080</v>
      </c>
      <c r="J153" s="223" t="s">
        <v>8653</v>
      </c>
      <c r="K153" s="234" t="s">
        <v>9081</v>
      </c>
      <c r="L153" s="221" t="s">
        <v>8356</v>
      </c>
      <c r="M153" s="6" t="s">
        <v>604</v>
      </c>
      <c r="N153" s="28" t="s">
        <v>604</v>
      </c>
      <c r="O153" s="28" t="s">
        <v>604</v>
      </c>
      <c r="P153" s="28" t="s">
        <v>90</v>
      </c>
      <c r="Q153" s="28" t="s">
        <v>604</v>
      </c>
    </row>
    <row r="154" customFormat="false" ht="101.25" hidden="false" customHeight="true" outlineLevel="0" collapsed="false">
      <c r="A154" s="223" t="s">
        <v>9082</v>
      </c>
      <c r="B154" s="223" t="s">
        <v>5910</v>
      </c>
      <c r="C154" s="232" t="s">
        <v>9083</v>
      </c>
      <c r="D154" s="223" t="s">
        <v>9084</v>
      </c>
      <c r="E154" s="233" t="s">
        <v>8648</v>
      </c>
      <c r="F154" s="223" t="s">
        <v>9085</v>
      </c>
      <c r="G154" s="223" t="s">
        <v>9086</v>
      </c>
      <c r="H154" s="223" t="s">
        <v>9087</v>
      </c>
      <c r="I154" s="233" t="s">
        <v>9088</v>
      </c>
      <c r="J154" s="223" t="s">
        <v>8653</v>
      </c>
      <c r="K154" s="234" t="s">
        <v>9089</v>
      </c>
      <c r="L154" s="221" t="s">
        <v>8356</v>
      </c>
      <c r="M154" s="6" t="s">
        <v>604</v>
      </c>
      <c r="N154" s="28" t="s">
        <v>604</v>
      </c>
      <c r="O154" s="28" t="s">
        <v>604</v>
      </c>
      <c r="P154" s="28" t="s">
        <v>94</v>
      </c>
      <c r="Q154" s="221" t="s">
        <v>6380</v>
      </c>
    </row>
    <row r="155" customFormat="false" ht="102.75" hidden="false" customHeight="true" outlineLevel="0" collapsed="false">
      <c r="A155" s="223" t="s">
        <v>9090</v>
      </c>
      <c r="B155" s="223" t="s">
        <v>5910</v>
      </c>
      <c r="C155" s="232" t="s">
        <v>9091</v>
      </c>
      <c r="D155" s="233" t="s">
        <v>9092</v>
      </c>
      <c r="E155" s="233" t="s">
        <v>9020</v>
      </c>
      <c r="F155" s="223" t="s">
        <v>9093</v>
      </c>
      <c r="G155" s="223" t="s">
        <v>9094</v>
      </c>
      <c r="H155" s="233" t="s">
        <v>9095</v>
      </c>
      <c r="I155" s="233" t="s">
        <v>9096</v>
      </c>
      <c r="J155" s="223" t="s">
        <v>8653</v>
      </c>
      <c r="K155" s="234" t="s">
        <v>9097</v>
      </c>
      <c r="L155" s="221" t="s">
        <v>8356</v>
      </c>
      <c r="M155" s="6" t="s">
        <v>604</v>
      </c>
      <c r="N155" s="28" t="s">
        <v>604</v>
      </c>
      <c r="O155" s="28" t="s">
        <v>604</v>
      </c>
      <c r="P155" s="28" t="s">
        <v>90</v>
      </c>
      <c r="Q155" s="221" t="s">
        <v>9098</v>
      </c>
    </row>
    <row r="156" customFormat="false" ht="90" hidden="false" customHeight="true" outlineLevel="0" collapsed="false">
      <c r="A156" s="223" t="s">
        <v>9099</v>
      </c>
      <c r="B156" s="223" t="s">
        <v>5910</v>
      </c>
      <c r="C156" s="232" t="s">
        <v>9100</v>
      </c>
      <c r="D156" s="223" t="s">
        <v>9101</v>
      </c>
      <c r="E156" s="233" t="s">
        <v>8648</v>
      </c>
      <c r="F156" s="223" t="s">
        <v>9102</v>
      </c>
      <c r="G156" s="223" t="s">
        <v>9103</v>
      </c>
      <c r="H156" s="233" t="s">
        <v>9104</v>
      </c>
      <c r="I156" s="233" t="s">
        <v>9105</v>
      </c>
      <c r="J156" s="223" t="s">
        <v>8653</v>
      </c>
      <c r="K156" s="234" t="s">
        <v>9106</v>
      </c>
      <c r="L156" s="221" t="s">
        <v>8356</v>
      </c>
      <c r="M156" s="6" t="s">
        <v>604</v>
      </c>
      <c r="N156" s="28" t="s">
        <v>604</v>
      </c>
      <c r="O156" s="28" t="s">
        <v>604</v>
      </c>
      <c r="P156" s="28" t="s">
        <v>94</v>
      </c>
      <c r="Q156" s="221" t="s">
        <v>6380</v>
      </c>
    </row>
    <row r="157" customFormat="false" ht="64.5" hidden="false" customHeight="true" outlineLevel="0" collapsed="false">
      <c r="A157" s="223" t="s">
        <v>9107</v>
      </c>
      <c r="B157" s="223" t="s">
        <v>5910</v>
      </c>
      <c r="C157" s="232" t="s">
        <v>9108</v>
      </c>
      <c r="D157" s="233" t="s">
        <v>9109</v>
      </c>
      <c r="E157" s="233" t="s">
        <v>8962</v>
      </c>
      <c r="F157" s="223" t="s">
        <v>9110</v>
      </c>
      <c r="G157" s="223" t="s">
        <v>9111</v>
      </c>
      <c r="H157" s="223" t="s">
        <v>9112</v>
      </c>
      <c r="I157" s="233" t="s">
        <v>9105</v>
      </c>
      <c r="J157" s="223" t="s">
        <v>8653</v>
      </c>
      <c r="K157" s="234" t="s">
        <v>9113</v>
      </c>
      <c r="L157" s="221" t="s">
        <v>8356</v>
      </c>
      <c r="M157" s="6" t="s">
        <v>604</v>
      </c>
      <c r="N157" s="28" t="s">
        <v>604</v>
      </c>
      <c r="O157" s="28" t="s">
        <v>604</v>
      </c>
      <c r="P157" s="28" t="s">
        <v>94</v>
      </c>
      <c r="Q157" s="221" t="s">
        <v>9114</v>
      </c>
    </row>
    <row r="158" customFormat="false" ht="125.25" hidden="false" customHeight="true" outlineLevel="0" collapsed="false">
      <c r="A158" s="223" t="s">
        <v>9115</v>
      </c>
      <c r="B158" s="223" t="s">
        <v>5910</v>
      </c>
      <c r="C158" s="232" t="s">
        <v>9116</v>
      </c>
      <c r="D158" s="223" t="s">
        <v>9117</v>
      </c>
      <c r="E158" s="233" t="s">
        <v>9020</v>
      </c>
      <c r="F158" s="223" t="s">
        <v>9118</v>
      </c>
      <c r="G158" s="223" t="s">
        <v>9119</v>
      </c>
      <c r="H158" s="233" t="s">
        <v>9120</v>
      </c>
      <c r="I158" s="233" t="s">
        <v>9121</v>
      </c>
      <c r="J158" s="223" t="s">
        <v>8653</v>
      </c>
      <c r="K158" s="234" t="s">
        <v>9122</v>
      </c>
      <c r="L158" s="221" t="s">
        <v>8356</v>
      </c>
      <c r="M158" s="6" t="s">
        <v>604</v>
      </c>
      <c r="N158" s="28" t="s">
        <v>604</v>
      </c>
      <c r="O158" s="28" t="s">
        <v>604</v>
      </c>
      <c r="P158" s="28" t="s">
        <v>90</v>
      </c>
      <c r="Q158" s="28" t="s">
        <v>604</v>
      </c>
    </row>
    <row r="159" customFormat="false" ht="141" hidden="false" customHeight="true" outlineLevel="0" collapsed="false">
      <c r="A159" s="223" t="s">
        <v>9123</v>
      </c>
      <c r="B159" s="223" t="s">
        <v>5910</v>
      </c>
      <c r="C159" s="232" t="s">
        <v>9124</v>
      </c>
      <c r="D159" s="223" t="s">
        <v>9125</v>
      </c>
      <c r="E159" s="233" t="s">
        <v>9126</v>
      </c>
      <c r="F159" s="223" t="s">
        <v>9127</v>
      </c>
      <c r="G159" s="223" t="s">
        <v>9128</v>
      </c>
      <c r="H159" s="223" t="s">
        <v>9129</v>
      </c>
      <c r="I159" s="233" t="s">
        <v>9130</v>
      </c>
      <c r="J159" s="223" t="s">
        <v>8653</v>
      </c>
      <c r="K159" s="234" t="s">
        <v>9131</v>
      </c>
      <c r="L159" s="221" t="s">
        <v>8356</v>
      </c>
      <c r="M159" s="6" t="s">
        <v>604</v>
      </c>
      <c r="N159" s="28" t="s">
        <v>604</v>
      </c>
      <c r="O159" s="221" t="s">
        <v>9132</v>
      </c>
      <c r="P159" s="28" t="s">
        <v>94</v>
      </c>
      <c r="Q159" s="221" t="s">
        <v>9133</v>
      </c>
    </row>
    <row r="160" customFormat="false" ht="51.75" hidden="false" customHeight="true" outlineLevel="0" collapsed="false">
      <c r="A160" s="223" t="s">
        <v>9134</v>
      </c>
      <c r="B160" s="223" t="s">
        <v>5910</v>
      </c>
      <c r="C160" s="232" t="s">
        <v>9135</v>
      </c>
      <c r="D160" s="223" t="s">
        <v>9136</v>
      </c>
      <c r="E160" s="233" t="s">
        <v>9137</v>
      </c>
      <c r="F160" s="223" t="s">
        <v>9138</v>
      </c>
      <c r="G160" s="223" t="s">
        <v>9139</v>
      </c>
      <c r="H160" s="223" t="s">
        <v>9140</v>
      </c>
      <c r="I160" s="233" t="s">
        <v>9141</v>
      </c>
      <c r="J160" s="223" t="s">
        <v>5946</v>
      </c>
      <c r="K160" s="234" t="s">
        <v>9142</v>
      </c>
      <c r="L160" s="221" t="s">
        <v>8356</v>
      </c>
      <c r="M160" s="6" t="s">
        <v>604</v>
      </c>
      <c r="N160" s="28" t="s">
        <v>604</v>
      </c>
      <c r="O160" s="28" t="s">
        <v>604</v>
      </c>
      <c r="P160" s="28" t="s">
        <v>94</v>
      </c>
      <c r="Q160" s="221" t="s">
        <v>6380</v>
      </c>
    </row>
    <row r="161" customFormat="false" ht="51.75" hidden="false" customHeight="true" outlineLevel="0" collapsed="false">
      <c r="A161" s="223" t="s">
        <v>9143</v>
      </c>
      <c r="B161" s="223" t="s">
        <v>5910</v>
      </c>
      <c r="C161" s="232" t="s">
        <v>9144</v>
      </c>
      <c r="D161" s="223" t="s">
        <v>9136</v>
      </c>
      <c r="E161" s="233" t="s">
        <v>9137</v>
      </c>
      <c r="F161" s="223" t="s">
        <v>9145</v>
      </c>
      <c r="G161" s="233" t="s">
        <v>9146</v>
      </c>
      <c r="H161" s="233" t="s">
        <v>9147</v>
      </c>
      <c r="I161" s="233" t="s">
        <v>9148</v>
      </c>
      <c r="J161" s="223" t="s">
        <v>5946</v>
      </c>
      <c r="K161" s="234" t="s">
        <v>9149</v>
      </c>
      <c r="L161" s="221" t="s">
        <v>8356</v>
      </c>
      <c r="M161" s="6" t="s">
        <v>604</v>
      </c>
      <c r="N161" s="28" t="s">
        <v>604</v>
      </c>
      <c r="O161" s="28" t="s">
        <v>604</v>
      </c>
      <c r="P161" s="28" t="s">
        <v>94</v>
      </c>
      <c r="Q161" s="221" t="s">
        <v>9150</v>
      </c>
    </row>
    <row r="162" customFormat="false" ht="39" hidden="false" customHeight="true" outlineLevel="0" collapsed="false">
      <c r="A162" s="223" t="s">
        <v>9151</v>
      </c>
      <c r="B162" s="223" t="s">
        <v>5910</v>
      </c>
      <c r="C162" s="234" t="s">
        <v>9152</v>
      </c>
      <c r="D162" s="223" t="s">
        <v>9136</v>
      </c>
      <c r="E162" s="233" t="s">
        <v>9137</v>
      </c>
      <c r="F162" s="223" t="s">
        <v>9153</v>
      </c>
      <c r="G162" s="233" t="s">
        <v>9154</v>
      </c>
      <c r="H162" s="233" t="s">
        <v>9155</v>
      </c>
      <c r="I162" s="233" t="s">
        <v>9156</v>
      </c>
      <c r="J162" s="223" t="s">
        <v>5946</v>
      </c>
      <c r="K162" s="234" t="s">
        <v>9157</v>
      </c>
      <c r="L162" s="221" t="s">
        <v>8356</v>
      </c>
      <c r="M162" s="6" t="s">
        <v>604</v>
      </c>
      <c r="N162" s="28" t="s">
        <v>604</v>
      </c>
      <c r="O162" s="28" t="s">
        <v>604</v>
      </c>
      <c r="P162" s="28" t="s">
        <v>94</v>
      </c>
      <c r="Q162" s="221" t="s">
        <v>6380</v>
      </c>
    </row>
    <row r="163" customFormat="false" ht="51.75" hidden="false" customHeight="true" outlineLevel="0" collapsed="false">
      <c r="A163" s="223" t="s">
        <v>9158</v>
      </c>
      <c r="B163" s="223" t="s">
        <v>5910</v>
      </c>
      <c r="C163" s="232" t="s">
        <v>9159</v>
      </c>
      <c r="D163" s="223" t="s">
        <v>9136</v>
      </c>
      <c r="E163" s="233" t="s">
        <v>9137</v>
      </c>
      <c r="F163" s="223" t="s">
        <v>9160</v>
      </c>
      <c r="G163" s="233" t="s">
        <v>9161</v>
      </c>
      <c r="H163" s="233" t="s">
        <v>9162</v>
      </c>
      <c r="I163" s="233" t="s">
        <v>9163</v>
      </c>
      <c r="J163" s="223" t="s">
        <v>5946</v>
      </c>
      <c r="K163" s="234" t="s">
        <v>9164</v>
      </c>
      <c r="L163" s="221" t="s">
        <v>8356</v>
      </c>
      <c r="M163" s="6" t="s">
        <v>604</v>
      </c>
      <c r="N163" s="28" t="s">
        <v>604</v>
      </c>
      <c r="O163" s="28" t="s">
        <v>604</v>
      </c>
      <c r="P163" s="28" t="s">
        <v>94</v>
      </c>
      <c r="Q163" s="221" t="s">
        <v>6380</v>
      </c>
    </row>
    <row r="164" customFormat="false" ht="51.75" hidden="false" customHeight="true" outlineLevel="0" collapsed="false">
      <c r="A164" s="223" t="s">
        <v>9165</v>
      </c>
      <c r="B164" s="223" t="s">
        <v>5910</v>
      </c>
      <c r="C164" s="232" t="s">
        <v>9166</v>
      </c>
      <c r="D164" s="223" t="s">
        <v>9136</v>
      </c>
      <c r="E164" s="233" t="s">
        <v>9137</v>
      </c>
      <c r="F164" s="223" t="s">
        <v>9167</v>
      </c>
      <c r="G164" s="233" t="s">
        <v>9168</v>
      </c>
      <c r="H164" s="233" t="s">
        <v>9169</v>
      </c>
      <c r="I164" s="233" t="s">
        <v>9170</v>
      </c>
      <c r="J164" s="223" t="s">
        <v>5946</v>
      </c>
      <c r="K164" s="234" t="s">
        <v>9171</v>
      </c>
      <c r="L164" s="221" t="s">
        <v>8356</v>
      </c>
      <c r="M164" s="6" t="s">
        <v>604</v>
      </c>
      <c r="N164" s="28" t="s">
        <v>604</v>
      </c>
      <c r="O164" s="28" t="s">
        <v>604</v>
      </c>
      <c r="P164" s="28" t="s">
        <v>94</v>
      </c>
      <c r="Q164" s="221" t="s">
        <v>6380</v>
      </c>
    </row>
    <row r="165" customFormat="false" ht="51.75" hidden="false" customHeight="true" outlineLevel="0" collapsed="false">
      <c r="A165" s="223" t="s">
        <v>9172</v>
      </c>
      <c r="B165" s="223" t="s">
        <v>5910</v>
      </c>
      <c r="C165" s="232" t="s">
        <v>9173</v>
      </c>
      <c r="D165" s="223" t="s">
        <v>9136</v>
      </c>
      <c r="E165" s="233" t="s">
        <v>9137</v>
      </c>
      <c r="F165" s="223" t="s">
        <v>9174</v>
      </c>
      <c r="G165" s="233" t="s">
        <v>9175</v>
      </c>
      <c r="H165" s="233" t="s">
        <v>9176</v>
      </c>
      <c r="I165" s="233" t="s">
        <v>9177</v>
      </c>
      <c r="J165" s="223" t="s">
        <v>5946</v>
      </c>
      <c r="K165" s="234" t="s">
        <v>9178</v>
      </c>
      <c r="L165" s="221" t="s">
        <v>8356</v>
      </c>
      <c r="M165" s="6" t="s">
        <v>604</v>
      </c>
      <c r="N165" s="28" t="s">
        <v>604</v>
      </c>
      <c r="O165" s="28" t="s">
        <v>9179</v>
      </c>
      <c r="P165" s="28" t="s">
        <v>94</v>
      </c>
      <c r="Q165" s="221" t="s">
        <v>6380</v>
      </c>
    </row>
    <row r="166" customFormat="false" ht="51.75" hidden="false" customHeight="true" outlineLevel="0" collapsed="false">
      <c r="A166" s="223" t="s">
        <v>9180</v>
      </c>
      <c r="B166" s="223" t="s">
        <v>5910</v>
      </c>
      <c r="C166" s="234" t="s">
        <v>9181</v>
      </c>
      <c r="D166" s="223" t="s">
        <v>9136</v>
      </c>
      <c r="E166" s="233" t="s">
        <v>9137</v>
      </c>
      <c r="F166" s="223" t="s">
        <v>9182</v>
      </c>
      <c r="G166" s="233" t="s">
        <v>9183</v>
      </c>
      <c r="H166" s="233" t="s">
        <v>9184</v>
      </c>
      <c r="I166" s="233" t="s">
        <v>9185</v>
      </c>
      <c r="J166" s="223" t="s">
        <v>5946</v>
      </c>
      <c r="K166" s="234" t="s">
        <v>9186</v>
      </c>
      <c r="L166" s="221" t="s">
        <v>8356</v>
      </c>
      <c r="M166" s="6" t="s">
        <v>604</v>
      </c>
      <c r="N166" s="28" t="s">
        <v>604</v>
      </c>
      <c r="O166" s="28" t="s">
        <v>604</v>
      </c>
      <c r="P166" s="28" t="s">
        <v>94</v>
      </c>
      <c r="Q166" s="221" t="s">
        <v>6380</v>
      </c>
    </row>
    <row r="167" customFormat="false" ht="51.75" hidden="false" customHeight="true" outlineLevel="0" collapsed="false">
      <c r="A167" s="223" t="s">
        <v>9187</v>
      </c>
      <c r="B167" s="223" t="s">
        <v>5910</v>
      </c>
      <c r="C167" s="234" t="s">
        <v>9188</v>
      </c>
      <c r="D167" s="223" t="s">
        <v>9136</v>
      </c>
      <c r="E167" s="233" t="s">
        <v>9137</v>
      </c>
      <c r="F167" s="223" t="s">
        <v>9189</v>
      </c>
      <c r="G167" s="223" t="s">
        <v>9190</v>
      </c>
      <c r="H167" s="233" t="s">
        <v>9191</v>
      </c>
      <c r="I167" s="233" t="s">
        <v>9192</v>
      </c>
      <c r="J167" s="223" t="s">
        <v>5946</v>
      </c>
      <c r="K167" s="234" t="s">
        <v>9193</v>
      </c>
      <c r="L167" s="221" t="s">
        <v>8356</v>
      </c>
      <c r="M167" s="6" t="s">
        <v>604</v>
      </c>
      <c r="N167" s="28" t="s">
        <v>604</v>
      </c>
      <c r="O167" s="28" t="s">
        <v>604</v>
      </c>
      <c r="P167" s="28" t="s">
        <v>94</v>
      </c>
      <c r="Q167" s="221" t="s">
        <v>6380</v>
      </c>
    </row>
    <row r="168" customFormat="false" ht="77.25" hidden="false" customHeight="true" outlineLevel="0" collapsed="false">
      <c r="A168" s="223" t="s">
        <v>9194</v>
      </c>
      <c r="B168" s="223" t="s">
        <v>5910</v>
      </c>
      <c r="C168" s="232" t="s">
        <v>9195</v>
      </c>
      <c r="D168" s="223" t="s">
        <v>9136</v>
      </c>
      <c r="E168" s="233" t="s">
        <v>9137</v>
      </c>
      <c r="F168" s="223" t="s">
        <v>9196</v>
      </c>
      <c r="G168" s="223" t="s">
        <v>9197</v>
      </c>
      <c r="H168" s="223" t="s">
        <v>9198</v>
      </c>
      <c r="I168" s="233" t="s">
        <v>9199</v>
      </c>
      <c r="J168" s="223" t="s">
        <v>5946</v>
      </c>
      <c r="K168" s="234" t="s">
        <v>9200</v>
      </c>
      <c r="L168" s="221" t="s">
        <v>8356</v>
      </c>
      <c r="M168" s="6" t="s">
        <v>604</v>
      </c>
      <c r="N168" s="28" t="s">
        <v>7281</v>
      </c>
      <c r="O168" s="28" t="s">
        <v>9201</v>
      </c>
      <c r="P168" s="28" t="s">
        <v>94</v>
      </c>
      <c r="Q168" s="221" t="s">
        <v>9202</v>
      </c>
    </row>
    <row r="169" customFormat="false" ht="115.5" hidden="false" customHeight="true" outlineLevel="0" collapsed="false">
      <c r="A169" s="223" t="s">
        <v>7281</v>
      </c>
      <c r="B169" s="223" t="s">
        <v>5910</v>
      </c>
      <c r="C169" s="232" t="s">
        <v>9203</v>
      </c>
      <c r="D169" s="223" t="s">
        <v>9204</v>
      </c>
      <c r="E169" s="233" t="s">
        <v>8648</v>
      </c>
      <c r="F169" s="223" t="s">
        <v>9196</v>
      </c>
      <c r="G169" s="223" t="s">
        <v>9205</v>
      </c>
      <c r="H169" s="223" t="s">
        <v>9206</v>
      </c>
      <c r="I169" s="223" t="s">
        <v>9207</v>
      </c>
      <c r="J169" s="223" t="s">
        <v>5967</v>
      </c>
      <c r="K169" s="234" t="s">
        <v>9208</v>
      </c>
      <c r="L169" s="221" t="s">
        <v>8356</v>
      </c>
      <c r="M169" s="6" t="s">
        <v>9209</v>
      </c>
      <c r="N169" s="28" t="s">
        <v>604</v>
      </c>
      <c r="O169" s="28" t="s">
        <v>9210</v>
      </c>
      <c r="P169" s="28" t="s">
        <v>8535</v>
      </c>
      <c r="Q169" s="221" t="s">
        <v>6273</v>
      </c>
    </row>
    <row r="170" customFormat="false" ht="115.5" hidden="false" customHeight="true" outlineLevel="0" collapsed="false">
      <c r="A170" s="223" t="s">
        <v>9211</v>
      </c>
      <c r="B170" s="223" t="s">
        <v>5910</v>
      </c>
      <c r="C170" s="234" t="s">
        <v>9212</v>
      </c>
      <c r="D170" s="233" t="s">
        <v>9213</v>
      </c>
      <c r="E170" s="233" t="s">
        <v>9137</v>
      </c>
      <c r="F170" s="223" t="s">
        <v>9214</v>
      </c>
      <c r="G170" s="223" t="s">
        <v>9215</v>
      </c>
      <c r="H170" s="233" t="s">
        <v>9216</v>
      </c>
      <c r="I170" s="223" t="s">
        <v>9217</v>
      </c>
      <c r="J170" s="223" t="s">
        <v>5974</v>
      </c>
      <c r="K170" s="234" t="s">
        <v>9218</v>
      </c>
      <c r="L170" s="221" t="s">
        <v>8356</v>
      </c>
      <c r="M170" s="6" t="s">
        <v>604</v>
      </c>
      <c r="N170" s="28" t="s">
        <v>604</v>
      </c>
      <c r="O170" s="28" t="s">
        <v>9219</v>
      </c>
      <c r="P170" s="28" t="s">
        <v>94</v>
      </c>
      <c r="Q170" s="221" t="s">
        <v>9220</v>
      </c>
    </row>
    <row r="171" customFormat="false" ht="153.75" hidden="false" customHeight="true" outlineLevel="0" collapsed="false">
      <c r="A171" s="223" t="s">
        <v>7721</v>
      </c>
      <c r="B171" s="223" t="s">
        <v>5996</v>
      </c>
      <c r="C171" s="232" t="s">
        <v>9221</v>
      </c>
      <c r="D171" s="223" t="s">
        <v>9222</v>
      </c>
      <c r="E171" s="235" t="s">
        <v>8648</v>
      </c>
      <c r="F171" s="223" t="s">
        <v>9223</v>
      </c>
      <c r="G171" s="223" t="s">
        <v>9224</v>
      </c>
      <c r="H171" s="235" t="s">
        <v>9225</v>
      </c>
      <c r="I171" s="235" t="s">
        <v>9226</v>
      </c>
      <c r="J171" s="223" t="s">
        <v>6002</v>
      </c>
      <c r="K171" s="236" t="s">
        <v>9227</v>
      </c>
      <c r="L171" s="195" t="s">
        <v>8356</v>
      </c>
      <c r="M171" s="6" t="s">
        <v>9228</v>
      </c>
      <c r="N171" s="28" t="s">
        <v>604</v>
      </c>
      <c r="O171" s="28" t="s">
        <v>9229</v>
      </c>
      <c r="P171" s="28" t="s">
        <v>8535</v>
      </c>
      <c r="Q171" s="195" t="s">
        <v>6273</v>
      </c>
    </row>
    <row r="172" customFormat="false" ht="264" hidden="false" customHeight="true" outlineLevel="0" collapsed="false">
      <c r="A172" s="223" t="s">
        <v>6990</v>
      </c>
      <c r="B172" s="223" t="s">
        <v>5996</v>
      </c>
      <c r="C172" s="232" t="s">
        <v>9230</v>
      </c>
      <c r="D172" s="223" t="s">
        <v>9231</v>
      </c>
      <c r="E172" s="235" t="s">
        <v>8648</v>
      </c>
      <c r="F172" s="223" t="s">
        <v>9232</v>
      </c>
      <c r="G172" s="223" t="s">
        <v>9233</v>
      </c>
      <c r="H172" s="223" t="s">
        <v>9234</v>
      </c>
      <c r="I172" s="235" t="s">
        <v>9235</v>
      </c>
      <c r="J172" s="223" t="s">
        <v>6002</v>
      </c>
      <c r="K172" s="236" t="s">
        <v>9236</v>
      </c>
      <c r="L172" s="195" t="s">
        <v>8356</v>
      </c>
      <c r="M172" s="6" t="s">
        <v>2828</v>
      </c>
      <c r="N172" s="28" t="s">
        <v>604</v>
      </c>
      <c r="O172" s="28" t="s">
        <v>9237</v>
      </c>
      <c r="P172" s="28" t="s">
        <v>8535</v>
      </c>
      <c r="Q172" s="195" t="s">
        <v>6380</v>
      </c>
    </row>
    <row r="173" customFormat="false" ht="80.25" hidden="false" customHeight="true" outlineLevel="0" collapsed="false">
      <c r="A173" s="223" t="s">
        <v>9238</v>
      </c>
      <c r="B173" s="223" t="s">
        <v>5996</v>
      </c>
      <c r="C173" s="232" t="s">
        <v>9239</v>
      </c>
      <c r="D173" s="223" t="s">
        <v>9240</v>
      </c>
      <c r="E173" s="235" t="s">
        <v>8648</v>
      </c>
      <c r="F173" s="223" t="s">
        <v>9241</v>
      </c>
      <c r="G173" s="223" t="s">
        <v>9242</v>
      </c>
      <c r="H173" s="223" t="s">
        <v>9243</v>
      </c>
      <c r="I173" s="235" t="s">
        <v>9244</v>
      </c>
      <c r="J173" s="223" t="s">
        <v>6002</v>
      </c>
      <c r="K173" s="236" t="s">
        <v>9245</v>
      </c>
      <c r="L173" s="195" t="s">
        <v>8356</v>
      </c>
      <c r="M173" s="6" t="s">
        <v>5193</v>
      </c>
      <c r="N173" s="28" t="s">
        <v>604</v>
      </c>
      <c r="O173" s="195" t="s">
        <v>9246</v>
      </c>
      <c r="P173" s="28" t="s">
        <v>8535</v>
      </c>
      <c r="Q173" s="195" t="s">
        <v>6380</v>
      </c>
    </row>
    <row r="174" customFormat="false" ht="29.25" hidden="false" customHeight="true" outlineLevel="0" collapsed="false">
      <c r="A174" s="223" t="s">
        <v>9247</v>
      </c>
      <c r="B174" s="223" t="s">
        <v>5996</v>
      </c>
      <c r="C174" s="236" t="s">
        <v>9248</v>
      </c>
      <c r="D174" s="223" t="s">
        <v>9249</v>
      </c>
      <c r="E174" s="235" t="s">
        <v>9137</v>
      </c>
      <c r="F174" s="223" t="s">
        <v>9250</v>
      </c>
      <c r="G174" s="223" t="s">
        <v>9251</v>
      </c>
      <c r="H174" s="235" t="s">
        <v>9252</v>
      </c>
      <c r="I174" s="235" t="s">
        <v>9253</v>
      </c>
      <c r="J174" s="223" t="s">
        <v>6002</v>
      </c>
      <c r="K174" s="236" t="s">
        <v>9254</v>
      </c>
      <c r="L174" s="195" t="s">
        <v>8356</v>
      </c>
      <c r="M174" s="6" t="s">
        <v>604</v>
      </c>
      <c r="N174" s="28" t="s">
        <v>604</v>
      </c>
      <c r="O174" s="195" t="s">
        <v>3718</v>
      </c>
      <c r="P174" s="28" t="s">
        <v>8486</v>
      </c>
      <c r="Q174" s="195" t="s">
        <v>9255</v>
      </c>
    </row>
    <row r="175" customFormat="false" ht="100.5" hidden="false" customHeight="true" outlineLevel="0" collapsed="false">
      <c r="A175" s="223" t="s">
        <v>9256</v>
      </c>
      <c r="B175" s="223" t="s">
        <v>3225</v>
      </c>
      <c r="C175" s="232" t="s">
        <v>9257</v>
      </c>
      <c r="D175" s="223" t="s">
        <v>9231</v>
      </c>
      <c r="E175" s="235" t="s">
        <v>8648</v>
      </c>
      <c r="F175" s="223" t="s">
        <v>9258</v>
      </c>
      <c r="G175" s="223" t="s">
        <v>9259</v>
      </c>
      <c r="H175" s="235" t="s">
        <v>9260</v>
      </c>
      <c r="I175" s="235" t="s">
        <v>9261</v>
      </c>
      <c r="J175" s="223" t="s">
        <v>6015</v>
      </c>
      <c r="K175" s="236" t="s">
        <v>9262</v>
      </c>
      <c r="L175" s="195" t="s">
        <v>8356</v>
      </c>
      <c r="M175" s="6" t="s">
        <v>2828</v>
      </c>
      <c r="N175" s="28" t="s">
        <v>604</v>
      </c>
      <c r="O175" s="28" t="s">
        <v>9237</v>
      </c>
      <c r="P175" s="28" t="s">
        <v>8535</v>
      </c>
      <c r="Q175" s="195" t="s">
        <v>6380</v>
      </c>
    </row>
    <row r="176" customFormat="false" ht="137.25" hidden="false" customHeight="true" outlineLevel="0" collapsed="false">
      <c r="A176" s="223" t="s">
        <v>9263</v>
      </c>
      <c r="B176" s="223" t="s">
        <v>3225</v>
      </c>
      <c r="C176" s="232" t="s">
        <v>9264</v>
      </c>
      <c r="D176" s="223" t="s">
        <v>9265</v>
      </c>
      <c r="E176" s="235" t="s">
        <v>8648</v>
      </c>
      <c r="F176" s="223" t="s">
        <v>9266</v>
      </c>
      <c r="G176" s="223" t="s">
        <v>9267</v>
      </c>
      <c r="H176" s="235" t="s">
        <v>9268</v>
      </c>
      <c r="I176" s="235" t="s">
        <v>9269</v>
      </c>
      <c r="J176" s="223" t="s">
        <v>6015</v>
      </c>
      <c r="K176" s="236" t="s">
        <v>9270</v>
      </c>
      <c r="L176" s="195" t="s">
        <v>8356</v>
      </c>
      <c r="M176" s="6" t="s">
        <v>5193</v>
      </c>
      <c r="N176" s="28" t="s">
        <v>604</v>
      </c>
      <c r="O176" s="195" t="s">
        <v>9246</v>
      </c>
      <c r="P176" s="28" t="s">
        <v>8535</v>
      </c>
      <c r="Q176" s="195" t="s">
        <v>6380</v>
      </c>
    </row>
    <row r="177" customFormat="false" ht="242.25" hidden="false" customHeight="true" outlineLevel="0" collapsed="false">
      <c r="A177" s="223" t="s">
        <v>7000</v>
      </c>
      <c r="B177" s="223" t="s">
        <v>3225</v>
      </c>
      <c r="C177" s="232" t="s">
        <v>9271</v>
      </c>
      <c r="D177" s="223" t="s">
        <v>9272</v>
      </c>
      <c r="E177" s="235" t="s">
        <v>8648</v>
      </c>
      <c r="F177" s="223" t="s">
        <v>9273</v>
      </c>
      <c r="G177" s="223" t="s">
        <v>9274</v>
      </c>
      <c r="H177" s="223" t="s">
        <v>9275</v>
      </c>
      <c r="I177" s="235" t="s">
        <v>9276</v>
      </c>
      <c r="J177" s="223" t="s">
        <v>6015</v>
      </c>
      <c r="K177" s="236" t="s">
        <v>9277</v>
      </c>
      <c r="L177" s="195" t="s">
        <v>8356</v>
      </c>
      <c r="M177" s="6" t="s">
        <v>9278</v>
      </c>
      <c r="N177" s="28" t="s">
        <v>604</v>
      </c>
      <c r="O177" s="195" t="s">
        <v>9279</v>
      </c>
      <c r="P177" s="28" t="s">
        <v>8535</v>
      </c>
      <c r="Q177" s="195" t="s">
        <v>6273</v>
      </c>
    </row>
    <row r="178" customFormat="false" ht="156.75" hidden="false" customHeight="true" outlineLevel="0" collapsed="false">
      <c r="A178" s="223" t="s">
        <v>9280</v>
      </c>
      <c r="B178" s="223" t="s">
        <v>3225</v>
      </c>
      <c r="C178" s="236" t="s">
        <v>9281</v>
      </c>
      <c r="D178" s="223" t="s">
        <v>9282</v>
      </c>
      <c r="E178" s="223" t="s">
        <v>9283</v>
      </c>
      <c r="F178" s="223" t="s">
        <v>9284</v>
      </c>
      <c r="G178" s="223" t="s">
        <v>9285</v>
      </c>
      <c r="H178" s="235" t="s">
        <v>9286</v>
      </c>
      <c r="I178" s="235" t="s">
        <v>9287</v>
      </c>
      <c r="J178" s="223" t="s">
        <v>6015</v>
      </c>
      <c r="K178" s="236" t="s">
        <v>9288</v>
      </c>
      <c r="L178" s="195" t="s">
        <v>8356</v>
      </c>
      <c r="M178" s="6" t="s">
        <v>9289</v>
      </c>
      <c r="N178" s="28" t="s">
        <v>604</v>
      </c>
      <c r="O178" s="28" t="s">
        <v>9290</v>
      </c>
      <c r="P178" s="28" t="s">
        <v>604</v>
      </c>
      <c r="Q178" s="28" t="s">
        <v>604</v>
      </c>
    </row>
    <row r="179" customFormat="false" ht="57.75" hidden="false" customHeight="true" outlineLevel="0" collapsed="false">
      <c r="A179" s="223" t="s">
        <v>9291</v>
      </c>
      <c r="B179" s="223" t="s">
        <v>3225</v>
      </c>
      <c r="C179" s="232" t="s">
        <v>9292</v>
      </c>
      <c r="D179" s="223" t="s">
        <v>9293</v>
      </c>
      <c r="E179" s="235" t="s">
        <v>9137</v>
      </c>
      <c r="F179" s="223" t="s">
        <v>9294</v>
      </c>
      <c r="G179" s="223" t="s">
        <v>9295</v>
      </c>
      <c r="H179" s="235" t="s">
        <v>9296</v>
      </c>
      <c r="I179" s="235" t="s">
        <v>9297</v>
      </c>
      <c r="J179" s="223" t="s">
        <v>6015</v>
      </c>
      <c r="K179" s="236" t="s">
        <v>9298</v>
      </c>
      <c r="L179" s="195" t="s">
        <v>8356</v>
      </c>
      <c r="M179" s="6" t="s">
        <v>604</v>
      </c>
      <c r="N179" s="28" t="s">
        <v>604</v>
      </c>
      <c r="O179" s="195" t="s">
        <v>3718</v>
      </c>
      <c r="P179" s="28" t="s">
        <v>8486</v>
      </c>
      <c r="Q179" s="195" t="s">
        <v>9299</v>
      </c>
    </row>
    <row r="180" customFormat="false" ht="86.25" hidden="false" customHeight="true" outlineLevel="0" collapsed="false">
      <c r="A180" s="223" t="s">
        <v>9300</v>
      </c>
      <c r="B180" s="223" t="s">
        <v>3225</v>
      </c>
      <c r="C180" s="232" t="s">
        <v>9301</v>
      </c>
      <c r="D180" s="223" t="s">
        <v>9302</v>
      </c>
      <c r="E180" s="223" t="s">
        <v>9303</v>
      </c>
      <c r="F180" s="223" t="s">
        <v>9304</v>
      </c>
      <c r="G180" s="223" t="s">
        <v>9305</v>
      </c>
      <c r="H180" s="223" t="s">
        <v>9306</v>
      </c>
      <c r="I180" s="235" t="s">
        <v>9307</v>
      </c>
      <c r="J180" s="223" t="s">
        <v>6022</v>
      </c>
      <c r="K180" s="236" t="s">
        <v>9308</v>
      </c>
      <c r="L180" s="195" t="s">
        <v>8356</v>
      </c>
      <c r="M180" s="6" t="s">
        <v>2921</v>
      </c>
      <c r="N180" s="28" t="s">
        <v>604</v>
      </c>
      <c r="O180" s="195" t="s">
        <v>9309</v>
      </c>
      <c r="P180" s="28" t="s">
        <v>8510</v>
      </c>
      <c r="Q180" s="195" t="s">
        <v>6273</v>
      </c>
    </row>
    <row r="181" customFormat="false" ht="57.75" hidden="false" customHeight="true" outlineLevel="0" collapsed="false">
      <c r="A181" s="223" t="s">
        <v>9310</v>
      </c>
      <c r="B181" s="223" t="s">
        <v>3225</v>
      </c>
      <c r="C181" s="232" t="s">
        <v>9311</v>
      </c>
      <c r="D181" s="223" t="s">
        <v>9312</v>
      </c>
      <c r="E181" s="223" t="s">
        <v>9313</v>
      </c>
      <c r="F181" s="223" t="s">
        <v>9314</v>
      </c>
      <c r="G181" s="223" t="s">
        <v>9315</v>
      </c>
      <c r="H181" s="223" t="s">
        <v>9316</v>
      </c>
      <c r="I181" s="235" t="s">
        <v>9307</v>
      </c>
      <c r="J181" s="223" t="s">
        <v>6022</v>
      </c>
      <c r="K181" s="232" t="s">
        <v>9317</v>
      </c>
      <c r="L181" s="195" t="s">
        <v>8356</v>
      </c>
      <c r="M181" s="6" t="s">
        <v>5317</v>
      </c>
      <c r="N181" s="28" t="s">
        <v>604</v>
      </c>
      <c r="O181" s="195" t="s">
        <v>9309</v>
      </c>
      <c r="P181" s="28" t="s">
        <v>8535</v>
      </c>
      <c r="Q181" s="195" t="s">
        <v>6273</v>
      </c>
    </row>
    <row r="182" customFormat="false" ht="72" hidden="false" customHeight="true" outlineLevel="0" collapsed="false">
      <c r="A182" s="223" t="s">
        <v>9318</v>
      </c>
      <c r="B182" s="223" t="s">
        <v>3225</v>
      </c>
      <c r="C182" s="236" t="s">
        <v>9319</v>
      </c>
      <c r="D182" s="223" t="s">
        <v>9320</v>
      </c>
      <c r="E182" s="223" t="s">
        <v>9321</v>
      </c>
      <c r="F182" s="223" t="s">
        <v>9322</v>
      </c>
      <c r="G182" s="223" t="s">
        <v>604</v>
      </c>
      <c r="H182" s="223" t="s">
        <v>604</v>
      </c>
      <c r="I182" s="235" t="s">
        <v>9307</v>
      </c>
      <c r="J182" s="223" t="s">
        <v>6022</v>
      </c>
      <c r="K182" s="236" t="s">
        <v>9323</v>
      </c>
      <c r="L182" s="195" t="s">
        <v>8356</v>
      </c>
      <c r="M182" s="6" t="s">
        <v>2921</v>
      </c>
      <c r="N182" s="28" t="s">
        <v>604</v>
      </c>
      <c r="O182" s="195" t="s">
        <v>9309</v>
      </c>
      <c r="P182" s="28" t="s">
        <v>8510</v>
      </c>
      <c r="Q182" s="195" t="s">
        <v>9324</v>
      </c>
    </row>
    <row r="183" customFormat="false" ht="171" hidden="false" customHeight="true" outlineLevel="0" collapsed="false">
      <c r="A183" s="223" t="s">
        <v>7741</v>
      </c>
      <c r="B183" s="223" t="s">
        <v>3225</v>
      </c>
      <c r="C183" s="232" t="s">
        <v>9325</v>
      </c>
      <c r="D183" s="223" t="s">
        <v>9326</v>
      </c>
      <c r="E183" s="223" t="s">
        <v>9327</v>
      </c>
      <c r="F183" s="223" t="s">
        <v>9328</v>
      </c>
      <c r="G183" s="223" t="s">
        <v>9329</v>
      </c>
      <c r="H183" s="223" t="s">
        <v>9330</v>
      </c>
      <c r="I183" s="235" t="s">
        <v>9331</v>
      </c>
      <c r="J183" s="223" t="s">
        <v>6022</v>
      </c>
      <c r="K183" s="236" t="s">
        <v>9332</v>
      </c>
      <c r="L183" s="195" t="s">
        <v>8356</v>
      </c>
      <c r="M183" s="6" t="s">
        <v>9333</v>
      </c>
      <c r="N183" s="28" t="s">
        <v>2905</v>
      </c>
      <c r="O183" s="28" t="s">
        <v>9334</v>
      </c>
      <c r="P183" s="28" t="s">
        <v>8510</v>
      </c>
      <c r="Q183" s="195" t="s">
        <v>6273</v>
      </c>
    </row>
    <row r="184" customFormat="false" ht="57.75" hidden="false" customHeight="true" outlineLevel="0" collapsed="false">
      <c r="A184" s="223" t="s">
        <v>9335</v>
      </c>
      <c r="B184" s="223" t="s">
        <v>3225</v>
      </c>
      <c r="C184" s="232" t="s">
        <v>9336</v>
      </c>
      <c r="D184" s="223" t="s">
        <v>9337</v>
      </c>
      <c r="E184" s="223" t="s">
        <v>604</v>
      </c>
      <c r="F184" s="223" t="s">
        <v>9338</v>
      </c>
      <c r="G184" s="223" t="s">
        <v>9339</v>
      </c>
      <c r="H184" s="235" t="s">
        <v>9014</v>
      </c>
      <c r="I184" s="235" t="s">
        <v>9340</v>
      </c>
      <c r="J184" s="223" t="s">
        <v>6022</v>
      </c>
      <c r="K184" s="236" t="s">
        <v>9341</v>
      </c>
      <c r="L184" s="195" t="s">
        <v>8356</v>
      </c>
      <c r="M184" s="6" t="s">
        <v>9342</v>
      </c>
      <c r="N184" s="28" t="s">
        <v>604</v>
      </c>
      <c r="O184" s="195" t="s">
        <v>3718</v>
      </c>
      <c r="P184" s="28" t="s">
        <v>604</v>
      </c>
      <c r="Q184" s="28" t="s">
        <v>604</v>
      </c>
    </row>
    <row r="185" customFormat="false" ht="129" hidden="false" customHeight="true" outlineLevel="0" collapsed="false">
      <c r="A185" s="223" t="s">
        <v>9343</v>
      </c>
      <c r="B185" s="223" t="s">
        <v>3225</v>
      </c>
      <c r="C185" s="236" t="s">
        <v>9344</v>
      </c>
      <c r="D185" s="223" t="s">
        <v>9345</v>
      </c>
      <c r="E185" s="223" t="s">
        <v>9346</v>
      </c>
      <c r="F185" s="223" t="s">
        <v>9347</v>
      </c>
      <c r="G185" s="223" t="s">
        <v>9348</v>
      </c>
      <c r="H185" s="235" t="s">
        <v>9349</v>
      </c>
      <c r="I185" s="235" t="s">
        <v>9350</v>
      </c>
      <c r="J185" s="223" t="s">
        <v>6022</v>
      </c>
      <c r="K185" s="232" t="s">
        <v>9351</v>
      </c>
      <c r="L185" s="195" t="s">
        <v>8356</v>
      </c>
      <c r="M185" s="6" t="s">
        <v>9352</v>
      </c>
      <c r="N185" s="28" t="s">
        <v>604</v>
      </c>
      <c r="O185" s="28" t="s">
        <v>9353</v>
      </c>
      <c r="P185" s="28" t="s">
        <v>8535</v>
      </c>
      <c r="Q185" s="195" t="s">
        <v>6273</v>
      </c>
    </row>
    <row r="186" customFormat="false" ht="100.5" hidden="false" customHeight="true" outlineLevel="0" collapsed="false">
      <c r="A186" s="223" t="s">
        <v>9354</v>
      </c>
      <c r="B186" s="223" t="s">
        <v>3225</v>
      </c>
      <c r="C186" s="232" t="s">
        <v>9355</v>
      </c>
      <c r="D186" s="223" t="s">
        <v>9356</v>
      </c>
      <c r="E186" s="223" t="s">
        <v>9357</v>
      </c>
      <c r="F186" s="223" t="s">
        <v>9358</v>
      </c>
      <c r="G186" s="235" t="s">
        <v>9359</v>
      </c>
      <c r="H186" s="223" t="s">
        <v>604</v>
      </c>
      <c r="I186" s="235" t="s">
        <v>9360</v>
      </c>
      <c r="J186" s="223" t="s">
        <v>6022</v>
      </c>
      <c r="K186" s="236" t="s">
        <v>9361</v>
      </c>
      <c r="L186" s="195" t="s">
        <v>8356</v>
      </c>
      <c r="M186" s="6" t="s">
        <v>604</v>
      </c>
      <c r="N186" s="28" t="s">
        <v>604</v>
      </c>
      <c r="O186" s="28" t="s">
        <v>9362</v>
      </c>
      <c r="P186" s="28" t="s">
        <v>604</v>
      </c>
      <c r="Q186" s="28" t="s">
        <v>604</v>
      </c>
    </row>
    <row r="187" customFormat="false" ht="57.75" hidden="false" customHeight="true" outlineLevel="0" collapsed="false">
      <c r="A187" s="223" t="s">
        <v>9363</v>
      </c>
      <c r="B187" s="223" t="s">
        <v>3225</v>
      </c>
      <c r="C187" s="232" t="s">
        <v>9364</v>
      </c>
      <c r="D187" s="223" t="s">
        <v>9365</v>
      </c>
      <c r="E187" s="223" t="s">
        <v>9366</v>
      </c>
      <c r="F187" s="223" t="s">
        <v>9367</v>
      </c>
      <c r="G187" s="223" t="s">
        <v>9368</v>
      </c>
      <c r="H187" s="235" t="s">
        <v>9369</v>
      </c>
      <c r="I187" s="235" t="s">
        <v>9370</v>
      </c>
      <c r="J187" s="223" t="s">
        <v>6099</v>
      </c>
      <c r="K187" s="236" t="s">
        <v>9371</v>
      </c>
      <c r="L187" s="195" t="s">
        <v>8356</v>
      </c>
      <c r="M187" s="6" t="s">
        <v>3982</v>
      </c>
      <c r="N187" s="28" t="s">
        <v>604</v>
      </c>
      <c r="O187" s="28" t="s">
        <v>9372</v>
      </c>
      <c r="P187" s="28" t="s">
        <v>8510</v>
      </c>
      <c r="Q187" s="195" t="s">
        <v>6273</v>
      </c>
    </row>
    <row r="188" customFormat="false" ht="72" hidden="false" customHeight="true" outlineLevel="0" collapsed="false">
      <c r="A188" s="223" t="s">
        <v>6622</v>
      </c>
      <c r="B188" s="223" t="s">
        <v>3225</v>
      </c>
      <c r="C188" s="232" t="s">
        <v>9373</v>
      </c>
      <c r="D188" s="223" t="s">
        <v>9374</v>
      </c>
      <c r="E188" s="223" t="s">
        <v>9366</v>
      </c>
      <c r="F188" s="223" t="s">
        <v>9375</v>
      </c>
      <c r="G188" s="223" t="s">
        <v>9376</v>
      </c>
      <c r="H188" s="223" t="s">
        <v>9377</v>
      </c>
      <c r="I188" s="235" t="s">
        <v>9378</v>
      </c>
      <c r="J188" s="223" t="s">
        <v>6099</v>
      </c>
      <c r="K188" s="236" t="s">
        <v>9379</v>
      </c>
      <c r="L188" s="195" t="s">
        <v>8356</v>
      </c>
      <c r="M188" s="6" t="s">
        <v>6616</v>
      </c>
      <c r="N188" s="28" t="s">
        <v>604</v>
      </c>
      <c r="O188" s="28" t="s">
        <v>9372</v>
      </c>
      <c r="P188" s="28" t="s">
        <v>8510</v>
      </c>
      <c r="Q188" s="195" t="s">
        <v>6273</v>
      </c>
    </row>
    <row r="189" customFormat="false" ht="72" hidden="false" customHeight="true" outlineLevel="0" collapsed="false">
      <c r="A189" s="223" t="s">
        <v>9380</v>
      </c>
      <c r="B189" s="223" t="s">
        <v>3225</v>
      </c>
      <c r="C189" s="232" t="s">
        <v>9381</v>
      </c>
      <c r="D189" s="223" t="s">
        <v>9382</v>
      </c>
      <c r="E189" s="223" t="s">
        <v>9383</v>
      </c>
      <c r="F189" s="223" t="s">
        <v>9384</v>
      </c>
      <c r="G189" s="223" t="s">
        <v>9385</v>
      </c>
      <c r="H189" s="223" t="s">
        <v>9386</v>
      </c>
      <c r="I189" s="235" t="s">
        <v>9387</v>
      </c>
      <c r="J189" s="223" t="s">
        <v>6099</v>
      </c>
      <c r="K189" s="236" t="s">
        <v>9388</v>
      </c>
      <c r="L189" s="195" t="s">
        <v>8356</v>
      </c>
      <c r="M189" s="6" t="s">
        <v>9389</v>
      </c>
      <c r="N189" s="28" t="s">
        <v>604</v>
      </c>
      <c r="O189" s="28" t="s">
        <v>9372</v>
      </c>
      <c r="P189" s="28" t="s">
        <v>8510</v>
      </c>
      <c r="Q189" s="195" t="s">
        <v>6380</v>
      </c>
    </row>
    <row r="190" customFormat="false" ht="72" hidden="false" customHeight="true" outlineLevel="0" collapsed="false">
      <c r="A190" s="223" t="s">
        <v>6712</v>
      </c>
      <c r="B190" s="223" t="s">
        <v>3225</v>
      </c>
      <c r="C190" s="232" t="s">
        <v>9390</v>
      </c>
      <c r="D190" s="223" t="s">
        <v>9391</v>
      </c>
      <c r="E190" s="223" t="s">
        <v>9392</v>
      </c>
      <c r="F190" s="223" t="s">
        <v>9393</v>
      </c>
      <c r="G190" s="223" t="s">
        <v>604</v>
      </c>
      <c r="H190" s="223" t="s">
        <v>9394</v>
      </c>
      <c r="I190" s="235" t="s">
        <v>9395</v>
      </c>
      <c r="J190" s="223" t="s">
        <v>6099</v>
      </c>
      <c r="K190" s="232" t="s">
        <v>9396</v>
      </c>
      <c r="L190" s="195" t="s">
        <v>8356</v>
      </c>
      <c r="M190" s="6" t="s">
        <v>3089</v>
      </c>
      <c r="N190" s="28" t="s">
        <v>604</v>
      </c>
      <c r="O190" s="28" t="s">
        <v>9397</v>
      </c>
      <c r="P190" s="28" t="s">
        <v>8535</v>
      </c>
      <c r="Q190" s="195" t="s">
        <v>6273</v>
      </c>
    </row>
    <row r="191" customFormat="false" ht="72" hidden="false" customHeight="true" outlineLevel="0" collapsed="false">
      <c r="A191" s="223" t="s">
        <v>9398</v>
      </c>
      <c r="B191" s="223" t="s">
        <v>3225</v>
      </c>
      <c r="C191" s="232" t="s">
        <v>9399</v>
      </c>
      <c r="D191" s="223" t="s">
        <v>9400</v>
      </c>
      <c r="E191" s="223" t="s">
        <v>9401</v>
      </c>
      <c r="F191" s="223" t="s">
        <v>9402</v>
      </c>
      <c r="G191" s="223" t="s">
        <v>9403</v>
      </c>
      <c r="H191" s="223" t="s">
        <v>9404</v>
      </c>
      <c r="I191" s="235" t="s">
        <v>9405</v>
      </c>
      <c r="J191" s="223" t="s">
        <v>6099</v>
      </c>
      <c r="K191" s="236" t="s">
        <v>9406</v>
      </c>
      <c r="L191" s="195" t="s">
        <v>8356</v>
      </c>
      <c r="M191" s="6" t="s">
        <v>3985</v>
      </c>
      <c r="N191" s="28" t="s">
        <v>604</v>
      </c>
      <c r="O191" s="28" t="s">
        <v>9407</v>
      </c>
      <c r="P191" s="28" t="s">
        <v>8510</v>
      </c>
      <c r="Q191" s="195" t="s">
        <v>6380</v>
      </c>
    </row>
    <row r="192" customFormat="false" ht="57.75" hidden="false" customHeight="true" outlineLevel="0" collapsed="false">
      <c r="A192" s="223" t="s">
        <v>6633</v>
      </c>
      <c r="B192" s="223" t="s">
        <v>3225</v>
      </c>
      <c r="C192" s="232" t="s">
        <v>9408</v>
      </c>
      <c r="D192" s="223" t="s">
        <v>9409</v>
      </c>
      <c r="E192" s="223" t="s">
        <v>9410</v>
      </c>
      <c r="F192" s="223" t="s">
        <v>9411</v>
      </c>
      <c r="G192" s="223" t="s">
        <v>9412</v>
      </c>
      <c r="H192" s="235" t="s">
        <v>9413</v>
      </c>
      <c r="I192" s="235" t="s">
        <v>9414</v>
      </c>
      <c r="J192" s="223" t="s">
        <v>6099</v>
      </c>
      <c r="K192" s="236" t="s">
        <v>9415</v>
      </c>
      <c r="L192" s="195" t="s">
        <v>8356</v>
      </c>
      <c r="M192" s="6" t="s">
        <v>6626</v>
      </c>
      <c r="N192" s="28" t="s">
        <v>604</v>
      </c>
      <c r="O192" s="28" t="s">
        <v>604</v>
      </c>
      <c r="P192" s="28" t="s">
        <v>8535</v>
      </c>
      <c r="Q192" s="195" t="s">
        <v>6380</v>
      </c>
    </row>
    <row r="193" customFormat="false" ht="57.75" hidden="false" customHeight="true" outlineLevel="0" collapsed="false">
      <c r="A193" s="223" t="s">
        <v>9416</v>
      </c>
      <c r="B193" s="223" t="s">
        <v>3225</v>
      </c>
      <c r="C193" s="232" t="s">
        <v>9417</v>
      </c>
      <c r="D193" s="223" t="s">
        <v>9418</v>
      </c>
      <c r="E193" s="223" t="s">
        <v>9419</v>
      </c>
      <c r="F193" s="223" t="s">
        <v>9420</v>
      </c>
      <c r="G193" s="223" t="s">
        <v>9421</v>
      </c>
      <c r="H193" s="223" t="s">
        <v>9422</v>
      </c>
      <c r="I193" s="235" t="s">
        <v>9423</v>
      </c>
      <c r="J193" s="223" t="s">
        <v>6099</v>
      </c>
      <c r="K193" s="236" t="s">
        <v>9424</v>
      </c>
      <c r="L193" s="195" t="s">
        <v>8356</v>
      </c>
      <c r="M193" s="6" t="s">
        <v>6320</v>
      </c>
      <c r="N193" s="28" t="s">
        <v>604</v>
      </c>
      <c r="O193" s="28" t="s">
        <v>9372</v>
      </c>
      <c r="P193" s="28" t="s">
        <v>8486</v>
      </c>
      <c r="Q193" s="195" t="s">
        <v>6273</v>
      </c>
    </row>
    <row r="194" customFormat="false" ht="57.75" hidden="false" customHeight="true" outlineLevel="0" collapsed="false">
      <c r="A194" s="223" t="s">
        <v>9425</v>
      </c>
      <c r="B194" s="223" t="s">
        <v>3225</v>
      </c>
      <c r="C194" s="232" t="s">
        <v>9426</v>
      </c>
      <c r="D194" s="223" t="s">
        <v>9427</v>
      </c>
      <c r="E194" s="223" t="s">
        <v>9366</v>
      </c>
      <c r="F194" s="223" t="s">
        <v>604</v>
      </c>
      <c r="G194" s="223" t="s">
        <v>604</v>
      </c>
      <c r="H194" s="223" t="s">
        <v>9428</v>
      </c>
      <c r="I194" s="235" t="s">
        <v>9429</v>
      </c>
      <c r="J194" s="223" t="s">
        <v>6099</v>
      </c>
      <c r="K194" s="236" t="s">
        <v>9430</v>
      </c>
      <c r="L194" s="195" t="s">
        <v>8356</v>
      </c>
      <c r="M194" s="6" t="s">
        <v>604</v>
      </c>
      <c r="N194" s="28" t="s">
        <v>604</v>
      </c>
      <c r="O194" s="28" t="s">
        <v>604</v>
      </c>
      <c r="P194" s="28" t="s">
        <v>8510</v>
      </c>
      <c r="Q194" s="195" t="s">
        <v>6273</v>
      </c>
    </row>
    <row r="195" customFormat="false" ht="86.25" hidden="false" customHeight="true" outlineLevel="0" collapsed="false">
      <c r="A195" s="223" t="s">
        <v>9431</v>
      </c>
      <c r="B195" s="223" t="s">
        <v>3225</v>
      </c>
      <c r="C195" s="232" t="s">
        <v>9432</v>
      </c>
      <c r="D195" s="223" t="s">
        <v>9433</v>
      </c>
      <c r="E195" s="223" t="s">
        <v>9434</v>
      </c>
      <c r="F195" s="223" t="s">
        <v>9435</v>
      </c>
      <c r="G195" s="223" t="s">
        <v>9436</v>
      </c>
      <c r="H195" s="223" t="s">
        <v>9437</v>
      </c>
      <c r="I195" s="235" t="s">
        <v>9438</v>
      </c>
      <c r="J195" s="223" t="s">
        <v>6099</v>
      </c>
      <c r="K195" s="232" t="s">
        <v>9439</v>
      </c>
      <c r="L195" s="195" t="s">
        <v>8356</v>
      </c>
      <c r="M195" s="6" t="s">
        <v>604</v>
      </c>
      <c r="N195" s="28" t="s">
        <v>604</v>
      </c>
      <c r="O195" s="28" t="s">
        <v>9440</v>
      </c>
      <c r="P195" s="28" t="s">
        <v>8510</v>
      </c>
      <c r="Q195" s="195" t="s">
        <v>6273</v>
      </c>
    </row>
    <row r="196" customFormat="false" ht="100.5" hidden="false" customHeight="true" outlineLevel="0" collapsed="false">
      <c r="A196" s="223" t="s">
        <v>6721</v>
      </c>
      <c r="B196" s="223" t="s">
        <v>3225</v>
      </c>
      <c r="C196" s="232" t="s">
        <v>9441</v>
      </c>
      <c r="D196" s="223" t="s">
        <v>9442</v>
      </c>
      <c r="E196" s="223" t="s">
        <v>9443</v>
      </c>
      <c r="F196" s="223" t="s">
        <v>9444</v>
      </c>
      <c r="G196" s="223" t="s">
        <v>9445</v>
      </c>
      <c r="H196" s="235" t="s">
        <v>9446</v>
      </c>
      <c r="I196" s="235" t="s">
        <v>9447</v>
      </c>
      <c r="J196" s="223" t="s">
        <v>6099</v>
      </c>
      <c r="K196" s="232" t="s">
        <v>9448</v>
      </c>
      <c r="L196" s="195" t="s">
        <v>8356</v>
      </c>
      <c r="M196" s="6" t="s">
        <v>5394</v>
      </c>
      <c r="N196" s="28" t="s">
        <v>604</v>
      </c>
      <c r="O196" s="28" t="s">
        <v>9449</v>
      </c>
      <c r="P196" s="28" t="s">
        <v>8535</v>
      </c>
      <c r="Q196" s="195" t="s">
        <v>6273</v>
      </c>
    </row>
    <row r="197" customFormat="false" ht="72" hidden="false" customHeight="true" outlineLevel="0" collapsed="false">
      <c r="A197" s="223" t="s">
        <v>6729</v>
      </c>
      <c r="B197" s="223" t="s">
        <v>3225</v>
      </c>
      <c r="C197" s="232" t="s">
        <v>9450</v>
      </c>
      <c r="D197" s="223" t="s">
        <v>9451</v>
      </c>
      <c r="E197" s="223" t="s">
        <v>9443</v>
      </c>
      <c r="F197" s="223" t="s">
        <v>9452</v>
      </c>
      <c r="G197" s="223" t="s">
        <v>9453</v>
      </c>
      <c r="H197" s="235" t="s">
        <v>9454</v>
      </c>
      <c r="I197" s="235" t="s">
        <v>9455</v>
      </c>
      <c r="J197" s="223" t="s">
        <v>6099</v>
      </c>
      <c r="K197" s="236" t="s">
        <v>9456</v>
      </c>
      <c r="L197" s="195" t="s">
        <v>8356</v>
      </c>
      <c r="M197" s="6" t="s">
        <v>6722</v>
      </c>
      <c r="N197" s="28" t="s">
        <v>604</v>
      </c>
      <c r="O197" s="28" t="s">
        <v>9449</v>
      </c>
      <c r="P197" s="28" t="s">
        <v>8535</v>
      </c>
      <c r="Q197" s="195" t="s">
        <v>6273</v>
      </c>
    </row>
    <row r="198" customFormat="false" ht="72" hidden="false" customHeight="true" outlineLevel="0" collapsed="false">
      <c r="A198" s="223" t="s">
        <v>6739</v>
      </c>
      <c r="B198" s="223" t="s">
        <v>3225</v>
      </c>
      <c r="C198" s="232" t="s">
        <v>9457</v>
      </c>
      <c r="D198" s="223" t="s">
        <v>9458</v>
      </c>
      <c r="E198" s="223" t="s">
        <v>9459</v>
      </c>
      <c r="F198" s="223" t="s">
        <v>9460</v>
      </c>
      <c r="G198" s="223" t="s">
        <v>9453</v>
      </c>
      <c r="H198" s="223" t="s">
        <v>9461</v>
      </c>
      <c r="I198" s="235" t="s">
        <v>9462</v>
      </c>
      <c r="J198" s="223" t="s">
        <v>6099</v>
      </c>
      <c r="K198" s="236" t="s">
        <v>9463</v>
      </c>
      <c r="L198" s="195" t="s">
        <v>8356</v>
      </c>
      <c r="M198" s="6" t="s">
        <v>5409</v>
      </c>
      <c r="N198" s="28" t="s">
        <v>604</v>
      </c>
      <c r="O198" s="28" t="s">
        <v>9449</v>
      </c>
      <c r="P198" s="28" t="s">
        <v>8510</v>
      </c>
      <c r="Q198" s="195" t="s">
        <v>6273</v>
      </c>
    </row>
    <row r="199" customFormat="false" ht="57.75" hidden="false" customHeight="true" outlineLevel="0" collapsed="false">
      <c r="A199" s="223" t="s">
        <v>9464</v>
      </c>
      <c r="B199" s="223" t="s">
        <v>3225</v>
      </c>
      <c r="C199" s="232" t="s">
        <v>9465</v>
      </c>
      <c r="D199" s="223" t="s">
        <v>9466</v>
      </c>
      <c r="E199" s="223" t="s">
        <v>9467</v>
      </c>
      <c r="F199" s="223" t="s">
        <v>9468</v>
      </c>
      <c r="G199" s="223" t="s">
        <v>9469</v>
      </c>
      <c r="H199" s="223" t="s">
        <v>9470</v>
      </c>
      <c r="I199" s="235" t="s">
        <v>9471</v>
      </c>
      <c r="J199" s="223" t="s">
        <v>6099</v>
      </c>
      <c r="K199" s="236" t="s">
        <v>9472</v>
      </c>
      <c r="L199" s="195" t="s">
        <v>8356</v>
      </c>
      <c r="M199" s="6" t="s">
        <v>604</v>
      </c>
      <c r="N199" s="28" t="s">
        <v>604</v>
      </c>
      <c r="O199" s="28" t="s">
        <v>9449</v>
      </c>
      <c r="P199" s="28" t="s">
        <v>8510</v>
      </c>
      <c r="Q199" s="195" t="s">
        <v>6273</v>
      </c>
    </row>
    <row r="200" customFormat="false" ht="72" hidden="false" customHeight="true" outlineLevel="0" collapsed="false">
      <c r="A200" s="223" t="s">
        <v>9473</v>
      </c>
      <c r="B200" s="223" t="s">
        <v>3225</v>
      </c>
      <c r="C200" s="232" t="s">
        <v>9474</v>
      </c>
      <c r="D200" s="223" t="s">
        <v>9475</v>
      </c>
      <c r="E200" s="223" t="s">
        <v>9434</v>
      </c>
      <c r="F200" s="223" t="s">
        <v>9476</v>
      </c>
      <c r="G200" s="223" t="s">
        <v>9453</v>
      </c>
      <c r="H200" s="223" t="s">
        <v>9477</v>
      </c>
      <c r="I200" s="235" t="s">
        <v>9478</v>
      </c>
      <c r="J200" s="223" t="s">
        <v>6099</v>
      </c>
      <c r="K200" s="236" t="s">
        <v>9479</v>
      </c>
      <c r="L200" s="195" t="s">
        <v>8356</v>
      </c>
      <c r="M200" s="6" t="s">
        <v>604</v>
      </c>
      <c r="N200" s="28" t="s">
        <v>604</v>
      </c>
      <c r="O200" s="28" t="s">
        <v>9449</v>
      </c>
      <c r="P200" s="28" t="s">
        <v>8510</v>
      </c>
      <c r="Q200" s="195" t="s">
        <v>6273</v>
      </c>
    </row>
    <row r="201" customFormat="false" ht="57.75" hidden="false" customHeight="true" outlineLevel="0" collapsed="false">
      <c r="A201" s="223" t="s">
        <v>9480</v>
      </c>
      <c r="B201" s="223" t="s">
        <v>3225</v>
      </c>
      <c r="C201" s="236" t="s">
        <v>9481</v>
      </c>
      <c r="D201" s="223" t="s">
        <v>9482</v>
      </c>
      <c r="E201" s="223" t="s">
        <v>9483</v>
      </c>
      <c r="F201" s="223" t="s">
        <v>9484</v>
      </c>
      <c r="G201" s="223" t="s">
        <v>9485</v>
      </c>
      <c r="H201" s="223" t="s">
        <v>9486</v>
      </c>
      <c r="I201" s="235" t="s">
        <v>9487</v>
      </c>
      <c r="J201" s="223" t="s">
        <v>6099</v>
      </c>
      <c r="K201" s="236" t="s">
        <v>9488</v>
      </c>
      <c r="L201" s="195" t="s">
        <v>8356</v>
      </c>
      <c r="M201" s="6" t="s">
        <v>604</v>
      </c>
      <c r="N201" s="28" t="s">
        <v>604</v>
      </c>
      <c r="O201" s="28" t="s">
        <v>9489</v>
      </c>
      <c r="P201" s="28" t="s">
        <v>8486</v>
      </c>
      <c r="Q201" s="195" t="s">
        <v>6273</v>
      </c>
    </row>
    <row r="202" customFormat="false" ht="72" hidden="false" customHeight="true" outlineLevel="0" collapsed="false">
      <c r="A202" s="223" t="s">
        <v>9490</v>
      </c>
      <c r="B202" s="223" t="s">
        <v>3225</v>
      </c>
      <c r="C202" s="232" t="s">
        <v>9491</v>
      </c>
      <c r="D202" s="223" t="s">
        <v>9492</v>
      </c>
      <c r="E202" s="223" t="s">
        <v>9493</v>
      </c>
      <c r="F202" s="223" t="s">
        <v>9494</v>
      </c>
      <c r="G202" s="223" t="s">
        <v>9495</v>
      </c>
      <c r="H202" s="223" t="s">
        <v>9496</v>
      </c>
      <c r="I202" s="235" t="s">
        <v>9497</v>
      </c>
      <c r="J202" s="223" t="s">
        <v>6099</v>
      </c>
      <c r="K202" s="232" t="s">
        <v>9498</v>
      </c>
      <c r="L202" s="195" t="s">
        <v>8356</v>
      </c>
      <c r="M202" s="6" t="s">
        <v>604</v>
      </c>
      <c r="N202" s="28" t="s">
        <v>604</v>
      </c>
      <c r="O202" s="28" t="s">
        <v>9489</v>
      </c>
      <c r="P202" s="28" t="s">
        <v>8535</v>
      </c>
      <c r="Q202" s="195" t="s">
        <v>6273</v>
      </c>
    </row>
    <row r="203" customFormat="false" ht="72" hidden="false" customHeight="true" outlineLevel="0" collapsed="false">
      <c r="A203" s="223" t="s">
        <v>7751</v>
      </c>
      <c r="B203" s="223" t="s">
        <v>6126</v>
      </c>
      <c r="C203" s="232" t="s">
        <v>9499</v>
      </c>
      <c r="D203" s="223" t="s">
        <v>9500</v>
      </c>
      <c r="E203" s="223" t="s">
        <v>9501</v>
      </c>
      <c r="F203" s="223" t="s">
        <v>9502</v>
      </c>
      <c r="G203" s="223" t="s">
        <v>604</v>
      </c>
      <c r="H203" s="223" t="s">
        <v>9503</v>
      </c>
      <c r="I203" s="235" t="s">
        <v>9504</v>
      </c>
      <c r="J203" s="223" t="s">
        <v>6123</v>
      </c>
      <c r="K203" s="236" t="s">
        <v>9505</v>
      </c>
      <c r="L203" s="195" t="s">
        <v>8356</v>
      </c>
      <c r="M203" s="6" t="s">
        <v>9506</v>
      </c>
      <c r="N203" s="28" t="s">
        <v>604</v>
      </c>
      <c r="O203" s="28" t="s">
        <v>9507</v>
      </c>
      <c r="P203" s="28" t="s">
        <v>8535</v>
      </c>
      <c r="Q203" s="195" t="s">
        <v>6273</v>
      </c>
    </row>
    <row r="204" customFormat="false" ht="72" hidden="false" customHeight="true" outlineLevel="0" collapsed="false">
      <c r="A204" s="223" t="s">
        <v>7770</v>
      </c>
      <c r="B204" s="223" t="s">
        <v>6126</v>
      </c>
      <c r="C204" s="232" t="s">
        <v>9508</v>
      </c>
      <c r="D204" s="223" t="s">
        <v>9509</v>
      </c>
      <c r="E204" s="223" t="s">
        <v>9501</v>
      </c>
      <c r="F204" s="223" t="s">
        <v>9510</v>
      </c>
      <c r="G204" s="223" t="s">
        <v>604</v>
      </c>
      <c r="H204" s="223" t="s">
        <v>9511</v>
      </c>
      <c r="I204" s="235" t="s">
        <v>9512</v>
      </c>
      <c r="J204" s="223" t="s">
        <v>6123</v>
      </c>
      <c r="K204" s="232" t="s">
        <v>9513</v>
      </c>
      <c r="L204" s="195" t="s">
        <v>8356</v>
      </c>
      <c r="M204" s="6" t="s">
        <v>9514</v>
      </c>
      <c r="N204" s="28" t="s">
        <v>604</v>
      </c>
      <c r="O204" s="28" t="s">
        <v>9507</v>
      </c>
      <c r="P204" s="28" t="s">
        <v>8535</v>
      </c>
      <c r="Q204" s="195" t="s">
        <v>6273</v>
      </c>
    </row>
    <row r="205" customFormat="false" ht="72" hidden="false" customHeight="true" outlineLevel="0" collapsed="false">
      <c r="A205" s="223" t="s">
        <v>7779</v>
      </c>
      <c r="B205" s="223" t="s">
        <v>6126</v>
      </c>
      <c r="C205" s="232" t="s">
        <v>9515</v>
      </c>
      <c r="D205" s="223" t="s">
        <v>9516</v>
      </c>
      <c r="E205" s="223" t="s">
        <v>9366</v>
      </c>
      <c r="F205" s="223" t="s">
        <v>9517</v>
      </c>
      <c r="G205" s="223" t="s">
        <v>604</v>
      </c>
      <c r="H205" s="223" t="s">
        <v>9518</v>
      </c>
      <c r="I205" s="235" t="s">
        <v>9519</v>
      </c>
      <c r="J205" s="223" t="s">
        <v>6123</v>
      </c>
      <c r="K205" s="236" t="s">
        <v>9520</v>
      </c>
      <c r="L205" s="195" t="s">
        <v>8356</v>
      </c>
      <c r="M205" s="6" t="s">
        <v>9521</v>
      </c>
      <c r="N205" s="28" t="s">
        <v>604</v>
      </c>
      <c r="O205" s="28" t="s">
        <v>9507</v>
      </c>
      <c r="P205" s="28" t="s">
        <v>8510</v>
      </c>
      <c r="Q205" s="195" t="s">
        <v>6273</v>
      </c>
    </row>
    <row r="206" customFormat="false" ht="72" hidden="false" customHeight="true" outlineLevel="0" collapsed="false">
      <c r="A206" s="223" t="s">
        <v>7790</v>
      </c>
      <c r="B206" s="223" t="s">
        <v>6126</v>
      </c>
      <c r="C206" s="232" t="s">
        <v>9522</v>
      </c>
      <c r="D206" s="223" t="s">
        <v>9523</v>
      </c>
      <c r="E206" s="223" t="s">
        <v>9366</v>
      </c>
      <c r="F206" s="223" t="s">
        <v>9524</v>
      </c>
      <c r="G206" s="223" t="s">
        <v>604</v>
      </c>
      <c r="H206" s="223" t="s">
        <v>9525</v>
      </c>
      <c r="I206" s="235" t="s">
        <v>9526</v>
      </c>
      <c r="J206" s="223" t="s">
        <v>6123</v>
      </c>
      <c r="K206" s="236" t="s">
        <v>9527</v>
      </c>
      <c r="L206" s="195" t="s">
        <v>8356</v>
      </c>
      <c r="M206" s="6" t="s">
        <v>1271</v>
      </c>
      <c r="N206" s="28" t="s">
        <v>604</v>
      </c>
      <c r="O206" s="28" t="s">
        <v>9507</v>
      </c>
      <c r="P206" s="28" t="s">
        <v>8510</v>
      </c>
      <c r="Q206" s="195" t="s">
        <v>6273</v>
      </c>
    </row>
    <row r="207" customFormat="false" ht="72" hidden="false" customHeight="true" outlineLevel="0" collapsed="false">
      <c r="A207" s="223" t="s">
        <v>9528</v>
      </c>
      <c r="B207" s="223" t="s">
        <v>6126</v>
      </c>
      <c r="C207" s="232" t="s">
        <v>9529</v>
      </c>
      <c r="D207" s="223" t="s">
        <v>9530</v>
      </c>
      <c r="E207" s="223" t="s">
        <v>9366</v>
      </c>
      <c r="F207" s="223" t="s">
        <v>604</v>
      </c>
      <c r="G207" s="223" t="s">
        <v>604</v>
      </c>
      <c r="H207" s="223" t="s">
        <v>9531</v>
      </c>
      <c r="I207" s="235" t="s">
        <v>9532</v>
      </c>
      <c r="J207" s="223" t="s">
        <v>6123</v>
      </c>
      <c r="K207" s="236" t="s">
        <v>9533</v>
      </c>
      <c r="L207" s="195" t="s">
        <v>8356</v>
      </c>
      <c r="M207" s="6" t="s">
        <v>604</v>
      </c>
      <c r="N207" s="28" t="s">
        <v>604</v>
      </c>
      <c r="O207" s="28" t="s">
        <v>604</v>
      </c>
      <c r="P207" s="28" t="s">
        <v>8510</v>
      </c>
      <c r="Q207" s="195" t="s">
        <v>6273</v>
      </c>
    </row>
    <row r="208" customFormat="false" ht="72" hidden="false" customHeight="true" outlineLevel="0" collapsed="false">
      <c r="A208" s="223" t="s">
        <v>7797</v>
      </c>
      <c r="B208" s="223" t="s">
        <v>6126</v>
      </c>
      <c r="C208" s="232" t="s">
        <v>9534</v>
      </c>
      <c r="D208" s="223" t="s">
        <v>9535</v>
      </c>
      <c r="E208" s="223" t="s">
        <v>9536</v>
      </c>
      <c r="F208" s="223" t="s">
        <v>9517</v>
      </c>
      <c r="G208" s="223" t="s">
        <v>604</v>
      </c>
      <c r="H208" s="223" t="s">
        <v>9537</v>
      </c>
      <c r="I208" s="235" t="s">
        <v>9538</v>
      </c>
      <c r="J208" s="223" t="s">
        <v>6123</v>
      </c>
      <c r="K208" s="232" t="s">
        <v>9539</v>
      </c>
      <c r="L208" s="195" t="s">
        <v>8356</v>
      </c>
      <c r="M208" s="6" t="s">
        <v>9540</v>
      </c>
      <c r="N208" s="28" t="s">
        <v>604</v>
      </c>
      <c r="O208" s="28" t="s">
        <v>9507</v>
      </c>
      <c r="P208" s="28" t="s">
        <v>9541</v>
      </c>
      <c r="Q208" s="195" t="s">
        <v>6273</v>
      </c>
    </row>
    <row r="209" customFormat="false" ht="72" hidden="false" customHeight="true" outlineLevel="0" collapsed="false">
      <c r="A209" s="223" t="s">
        <v>7822</v>
      </c>
      <c r="B209" s="223" t="s">
        <v>6126</v>
      </c>
      <c r="C209" s="232" t="s">
        <v>9542</v>
      </c>
      <c r="D209" s="223" t="s">
        <v>9543</v>
      </c>
      <c r="E209" s="223" t="s">
        <v>9366</v>
      </c>
      <c r="F209" s="223" t="s">
        <v>9544</v>
      </c>
      <c r="G209" s="223" t="s">
        <v>604</v>
      </c>
      <c r="H209" s="223" t="s">
        <v>9545</v>
      </c>
      <c r="I209" s="235" t="s">
        <v>9546</v>
      </c>
      <c r="J209" s="223" t="s">
        <v>6123</v>
      </c>
      <c r="K209" s="236" t="s">
        <v>9547</v>
      </c>
      <c r="L209" s="195" t="s">
        <v>8356</v>
      </c>
      <c r="M209" s="6" t="s">
        <v>9548</v>
      </c>
      <c r="N209" s="28" t="s">
        <v>604</v>
      </c>
      <c r="O209" s="28" t="s">
        <v>604</v>
      </c>
      <c r="P209" s="28" t="s">
        <v>8510</v>
      </c>
      <c r="Q209" s="195" t="s">
        <v>6273</v>
      </c>
    </row>
    <row r="210" customFormat="false" ht="72" hidden="false" customHeight="true" outlineLevel="0" collapsed="false">
      <c r="A210" s="223" t="s">
        <v>7832</v>
      </c>
      <c r="B210" s="223" t="s">
        <v>6126</v>
      </c>
      <c r="C210" s="232" t="s">
        <v>9549</v>
      </c>
      <c r="D210" s="223" t="s">
        <v>9550</v>
      </c>
      <c r="E210" s="223" t="s">
        <v>9501</v>
      </c>
      <c r="F210" s="223" t="s">
        <v>9551</v>
      </c>
      <c r="G210" s="223" t="s">
        <v>604</v>
      </c>
      <c r="H210" s="223" t="s">
        <v>9552</v>
      </c>
      <c r="I210" s="235" t="s">
        <v>9553</v>
      </c>
      <c r="J210" s="223" t="s">
        <v>6123</v>
      </c>
      <c r="K210" s="232" t="s">
        <v>9554</v>
      </c>
      <c r="L210" s="195" t="s">
        <v>8356</v>
      </c>
      <c r="M210" s="6" t="s">
        <v>9555</v>
      </c>
      <c r="N210" s="28" t="s">
        <v>604</v>
      </c>
      <c r="O210" s="28" t="s">
        <v>604</v>
      </c>
      <c r="P210" s="28" t="s">
        <v>8535</v>
      </c>
      <c r="Q210" s="195" t="s">
        <v>6273</v>
      </c>
    </row>
    <row r="211" customFormat="false" ht="72" hidden="false" customHeight="true" outlineLevel="0" collapsed="false">
      <c r="A211" s="223" t="s">
        <v>7847</v>
      </c>
      <c r="B211" s="223" t="s">
        <v>6126</v>
      </c>
      <c r="C211" s="232" t="s">
        <v>9556</v>
      </c>
      <c r="D211" s="223" t="s">
        <v>9557</v>
      </c>
      <c r="E211" s="223" t="s">
        <v>9366</v>
      </c>
      <c r="F211" s="223" t="s">
        <v>9558</v>
      </c>
      <c r="G211" s="223" t="s">
        <v>604</v>
      </c>
      <c r="H211" s="235" t="s">
        <v>9559</v>
      </c>
      <c r="I211" s="235" t="s">
        <v>9560</v>
      </c>
      <c r="J211" s="223" t="s">
        <v>6123</v>
      </c>
      <c r="K211" s="236" t="s">
        <v>9561</v>
      </c>
      <c r="L211" s="195" t="s">
        <v>8356</v>
      </c>
      <c r="M211" s="6" t="s">
        <v>9562</v>
      </c>
      <c r="N211" s="28" t="s">
        <v>604</v>
      </c>
      <c r="O211" s="28" t="s">
        <v>604</v>
      </c>
      <c r="P211" s="28" t="s">
        <v>8510</v>
      </c>
      <c r="Q211" s="195" t="s">
        <v>6273</v>
      </c>
    </row>
    <row r="212" customFormat="false" ht="72" hidden="false" customHeight="true" outlineLevel="0" collapsed="false">
      <c r="A212" s="223" t="s">
        <v>7868</v>
      </c>
      <c r="B212" s="223" t="s">
        <v>6126</v>
      </c>
      <c r="C212" s="232" t="s">
        <v>9563</v>
      </c>
      <c r="D212" s="223" t="s">
        <v>9564</v>
      </c>
      <c r="E212" s="223" t="s">
        <v>9366</v>
      </c>
      <c r="F212" s="235" t="s">
        <v>9565</v>
      </c>
      <c r="G212" s="223" t="s">
        <v>9566</v>
      </c>
      <c r="H212" s="235" t="s">
        <v>9567</v>
      </c>
      <c r="I212" s="235" t="s">
        <v>9568</v>
      </c>
      <c r="J212" s="223" t="s">
        <v>6123</v>
      </c>
      <c r="K212" s="232" t="s">
        <v>9569</v>
      </c>
      <c r="L212" s="195" t="s">
        <v>8356</v>
      </c>
      <c r="M212" s="6" t="s">
        <v>9570</v>
      </c>
      <c r="N212" s="28" t="s">
        <v>604</v>
      </c>
      <c r="O212" s="28" t="s">
        <v>9507</v>
      </c>
      <c r="P212" s="28" t="s">
        <v>8510</v>
      </c>
      <c r="Q212" s="195" t="s">
        <v>6273</v>
      </c>
    </row>
    <row r="213" customFormat="false" ht="72" hidden="false" customHeight="true" outlineLevel="0" collapsed="false">
      <c r="A213" s="223" t="s">
        <v>7894</v>
      </c>
      <c r="B213" s="223" t="s">
        <v>6126</v>
      </c>
      <c r="C213" s="232" t="s">
        <v>9571</v>
      </c>
      <c r="D213" s="223" t="s">
        <v>9572</v>
      </c>
      <c r="E213" s="223" t="s">
        <v>9366</v>
      </c>
      <c r="F213" s="235" t="s">
        <v>9573</v>
      </c>
      <c r="G213" s="223" t="s">
        <v>604</v>
      </c>
      <c r="H213" s="223" t="s">
        <v>9574</v>
      </c>
      <c r="I213" s="235" t="s">
        <v>9575</v>
      </c>
      <c r="J213" s="223" t="s">
        <v>6123</v>
      </c>
      <c r="K213" s="236" t="s">
        <v>9576</v>
      </c>
      <c r="L213" s="195" t="s">
        <v>8356</v>
      </c>
      <c r="M213" s="6" t="s">
        <v>5498</v>
      </c>
      <c r="N213" s="28" t="s">
        <v>604</v>
      </c>
      <c r="O213" s="28" t="s">
        <v>604</v>
      </c>
      <c r="P213" s="28" t="s">
        <v>8510</v>
      </c>
      <c r="Q213" s="195" t="s">
        <v>6273</v>
      </c>
    </row>
    <row r="214" customFormat="false" ht="72" hidden="false" customHeight="true" outlineLevel="0" collapsed="false">
      <c r="A214" s="223" t="s">
        <v>7903</v>
      </c>
      <c r="B214" s="223" t="s">
        <v>6126</v>
      </c>
      <c r="C214" s="232" t="s">
        <v>9577</v>
      </c>
      <c r="D214" s="223" t="s">
        <v>9578</v>
      </c>
      <c r="E214" s="223" t="s">
        <v>9366</v>
      </c>
      <c r="F214" s="223" t="s">
        <v>9579</v>
      </c>
      <c r="G214" s="223" t="s">
        <v>604</v>
      </c>
      <c r="H214" s="223" t="s">
        <v>9580</v>
      </c>
      <c r="I214" s="235" t="s">
        <v>9581</v>
      </c>
      <c r="J214" s="223" t="s">
        <v>6123</v>
      </c>
      <c r="K214" s="232" t="s">
        <v>9582</v>
      </c>
      <c r="L214" s="195" t="s">
        <v>8356</v>
      </c>
      <c r="M214" s="6" t="s">
        <v>9583</v>
      </c>
      <c r="N214" s="28" t="s">
        <v>604</v>
      </c>
      <c r="O214" s="28" t="s">
        <v>604</v>
      </c>
      <c r="P214" s="28" t="s">
        <v>8510</v>
      </c>
      <c r="Q214" s="195" t="s">
        <v>6273</v>
      </c>
    </row>
    <row r="215" customFormat="false" ht="72" hidden="false" customHeight="true" outlineLevel="0" collapsed="false">
      <c r="A215" s="223" t="s">
        <v>7912</v>
      </c>
      <c r="B215" s="223" t="s">
        <v>6126</v>
      </c>
      <c r="C215" s="232" t="s">
        <v>9584</v>
      </c>
      <c r="D215" s="223" t="s">
        <v>9585</v>
      </c>
      <c r="E215" s="223" t="s">
        <v>9501</v>
      </c>
      <c r="F215" s="235" t="s">
        <v>9586</v>
      </c>
      <c r="G215" s="223" t="s">
        <v>604</v>
      </c>
      <c r="H215" s="223" t="s">
        <v>9587</v>
      </c>
      <c r="I215" s="235" t="s">
        <v>9588</v>
      </c>
      <c r="J215" s="223" t="s">
        <v>6123</v>
      </c>
      <c r="K215" s="236" t="s">
        <v>9589</v>
      </c>
      <c r="L215" s="195" t="s">
        <v>8356</v>
      </c>
      <c r="M215" s="6" t="s">
        <v>7906</v>
      </c>
      <c r="N215" s="28" t="s">
        <v>604</v>
      </c>
      <c r="O215" s="28" t="s">
        <v>9590</v>
      </c>
      <c r="P215" s="28" t="s">
        <v>8535</v>
      </c>
      <c r="Q215" s="195" t="s">
        <v>6273</v>
      </c>
    </row>
    <row r="216" customFormat="false" ht="72" hidden="false" customHeight="true" outlineLevel="0" collapsed="false">
      <c r="A216" s="223" t="s">
        <v>7921</v>
      </c>
      <c r="B216" s="223" t="s">
        <v>6126</v>
      </c>
      <c r="C216" s="232" t="s">
        <v>9591</v>
      </c>
      <c r="D216" s="223" t="s">
        <v>9592</v>
      </c>
      <c r="E216" s="223" t="s">
        <v>9501</v>
      </c>
      <c r="F216" s="235" t="s">
        <v>9593</v>
      </c>
      <c r="G216" s="223" t="s">
        <v>604</v>
      </c>
      <c r="H216" s="223" t="s">
        <v>9594</v>
      </c>
      <c r="I216" s="235" t="s">
        <v>9595</v>
      </c>
      <c r="J216" s="223" t="s">
        <v>6123</v>
      </c>
      <c r="K216" s="236" t="s">
        <v>9596</v>
      </c>
      <c r="L216" s="195" t="s">
        <v>8356</v>
      </c>
      <c r="M216" s="6" t="s">
        <v>7915</v>
      </c>
      <c r="N216" s="28" t="s">
        <v>604</v>
      </c>
      <c r="O216" s="28" t="s">
        <v>604</v>
      </c>
      <c r="P216" s="28" t="s">
        <v>8535</v>
      </c>
      <c r="Q216" s="195" t="s">
        <v>6273</v>
      </c>
    </row>
    <row r="217" customFormat="false" ht="72" hidden="false" customHeight="true" outlineLevel="0" collapsed="false">
      <c r="A217" s="223" t="s">
        <v>7931</v>
      </c>
      <c r="B217" s="223" t="s">
        <v>6126</v>
      </c>
      <c r="C217" s="232" t="s">
        <v>9597</v>
      </c>
      <c r="D217" s="223" t="s">
        <v>9598</v>
      </c>
      <c r="E217" s="223" t="s">
        <v>9599</v>
      </c>
      <c r="F217" s="223" t="s">
        <v>9600</v>
      </c>
      <c r="G217" s="223" t="s">
        <v>9601</v>
      </c>
      <c r="H217" s="223" t="s">
        <v>9602</v>
      </c>
      <c r="I217" s="235" t="s">
        <v>9603</v>
      </c>
      <c r="J217" s="223" t="s">
        <v>6123</v>
      </c>
      <c r="K217" s="232" t="s">
        <v>9604</v>
      </c>
      <c r="L217" s="195" t="s">
        <v>8356</v>
      </c>
      <c r="M217" s="6" t="s">
        <v>9605</v>
      </c>
      <c r="N217" s="28" t="s">
        <v>604</v>
      </c>
      <c r="O217" s="28" t="s">
        <v>9606</v>
      </c>
      <c r="P217" s="28" t="s">
        <v>8535</v>
      </c>
      <c r="Q217" s="195" t="s">
        <v>6380</v>
      </c>
    </row>
    <row r="218" customFormat="false" ht="72" hidden="false" customHeight="true" outlineLevel="0" collapsed="false">
      <c r="A218" s="223" t="s">
        <v>7946</v>
      </c>
      <c r="B218" s="223" t="s">
        <v>6126</v>
      </c>
      <c r="C218" s="232" t="s">
        <v>9607</v>
      </c>
      <c r="D218" s="223" t="s">
        <v>9608</v>
      </c>
      <c r="E218" s="223" t="s">
        <v>9366</v>
      </c>
      <c r="F218" s="223" t="s">
        <v>9609</v>
      </c>
      <c r="G218" s="223" t="s">
        <v>9601</v>
      </c>
      <c r="H218" s="223" t="s">
        <v>9610</v>
      </c>
      <c r="I218" s="235" t="s">
        <v>9611</v>
      </c>
      <c r="J218" s="223" t="s">
        <v>6123</v>
      </c>
      <c r="K218" s="236" t="s">
        <v>9612</v>
      </c>
      <c r="L218" s="195" t="s">
        <v>8356</v>
      </c>
      <c r="M218" s="6" t="s">
        <v>7939</v>
      </c>
      <c r="N218" s="28" t="s">
        <v>604</v>
      </c>
      <c r="O218" s="28" t="s">
        <v>9606</v>
      </c>
      <c r="P218" s="28" t="s">
        <v>8510</v>
      </c>
      <c r="Q218" s="195" t="s">
        <v>6273</v>
      </c>
    </row>
    <row r="219" customFormat="false" ht="72" hidden="false" customHeight="true" outlineLevel="0" collapsed="false">
      <c r="A219" s="223" t="s">
        <v>9613</v>
      </c>
      <c r="B219" s="223" t="s">
        <v>6126</v>
      </c>
      <c r="C219" s="232" t="s">
        <v>9614</v>
      </c>
      <c r="D219" s="223" t="s">
        <v>9615</v>
      </c>
      <c r="E219" s="223" t="s">
        <v>9616</v>
      </c>
      <c r="F219" s="223" t="s">
        <v>9617</v>
      </c>
      <c r="G219" s="223" t="s">
        <v>604</v>
      </c>
      <c r="H219" s="223" t="s">
        <v>604</v>
      </c>
      <c r="I219" s="235" t="s">
        <v>9618</v>
      </c>
      <c r="J219" s="223" t="s">
        <v>6123</v>
      </c>
      <c r="K219" s="232" t="s">
        <v>9619</v>
      </c>
      <c r="L219" s="195" t="s">
        <v>8356</v>
      </c>
      <c r="M219" s="6" t="s">
        <v>604</v>
      </c>
      <c r="N219" s="28" t="s">
        <v>604</v>
      </c>
      <c r="O219" s="28" t="s">
        <v>604</v>
      </c>
      <c r="P219" s="28" t="s">
        <v>8535</v>
      </c>
      <c r="Q219" s="195" t="s">
        <v>6273</v>
      </c>
    </row>
    <row r="220" customFormat="false" ht="72" hidden="false" customHeight="true" outlineLevel="0" collapsed="false">
      <c r="A220" s="223" t="s">
        <v>9620</v>
      </c>
      <c r="B220" s="223" t="s">
        <v>6126</v>
      </c>
      <c r="C220" s="232" t="s">
        <v>9621</v>
      </c>
      <c r="D220" s="223" t="s">
        <v>9622</v>
      </c>
      <c r="E220" s="223" t="s">
        <v>9366</v>
      </c>
      <c r="F220" s="223" t="s">
        <v>9623</v>
      </c>
      <c r="G220" s="223" t="s">
        <v>604</v>
      </c>
      <c r="H220" s="223" t="s">
        <v>9624</v>
      </c>
      <c r="I220" s="235" t="s">
        <v>9625</v>
      </c>
      <c r="J220" s="223" t="s">
        <v>6123</v>
      </c>
      <c r="K220" s="236" t="s">
        <v>9626</v>
      </c>
      <c r="L220" s="195" t="s">
        <v>8356</v>
      </c>
      <c r="M220" s="6" t="s">
        <v>604</v>
      </c>
      <c r="N220" s="28" t="s">
        <v>604</v>
      </c>
      <c r="O220" s="28" t="s">
        <v>604</v>
      </c>
      <c r="P220" s="28" t="s">
        <v>8510</v>
      </c>
      <c r="Q220" s="195" t="s">
        <v>6273</v>
      </c>
    </row>
    <row r="221" customFormat="false" ht="72" hidden="false" customHeight="true" outlineLevel="0" collapsed="false">
      <c r="A221" s="223" t="s">
        <v>9627</v>
      </c>
      <c r="B221" s="223" t="s">
        <v>6126</v>
      </c>
      <c r="C221" s="232" t="s">
        <v>9628</v>
      </c>
      <c r="D221" s="223" t="s">
        <v>9629</v>
      </c>
      <c r="E221" s="223" t="s">
        <v>9630</v>
      </c>
      <c r="F221" s="223" t="s">
        <v>9631</v>
      </c>
      <c r="G221" s="223" t="s">
        <v>604</v>
      </c>
      <c r="H221" s="223" t="s">
        <v>604</v>
      </c>
      <c r="I221" s="235" t="s">
        <v>9632</v>
      </c>
      <c r="J221" s="223" t="s">
        <v>6123</v>
      </c>
      <c r="K221" s="236" t="s">
        <v>9633</v>
      </c>
      <c r="L221" s="195" t="s">
        <v>8356</v>
      </c>
      <c r="M221" s="6" t="s">
        <v>604</v>
      </c>
      <c r="N221" s="28" t="s">
        <v>604</v>
      </c>
      <c r="O221" s="28" t="s">
        <v>604</v>
      </c>
      <c r="P221" s="28" t="s">
        <v>9541</v>
      </c>
      <c r="Q221" s="195" t="s">
        <v>6273</v>
      </c>
    </row>
    <row r="222" customFormat="false" ht="72" hidden="false" customHeight="true" outlineLevel="0" collapsed="false">
      <c r="A222" s="223" t="s">
        <v>9634</v>
      </c>
      <c r="B222" s="223" t="s">
        <v>6126</v>
      </c>
      <c r="C222" s="232" t="s">
        <v>9635</v>
      </c>
      <c r="D222" s="223" t="s">
        <v>9636</v>
      </c>
      <c r="E222" s="223" t="s">
        <v>9501</v>
      </c>
      <c r="F222" s="223" t="s">
        <v>9637</v>
      </c>
      <c r="G222" s="223" t="s">
        <v>604</v>
      </c>
      <c r="H222" s="223" t="s">
        <v>9638</v>
      </c>
      <c r="I222" s="235" t="s">
        <v>9639</v>
      </c>
      <c r="J222" s="223" t="s">
        <v>6123</v>
      </c>
      <c r="K222" s="236" t="s">
        <v>9640</v>
      </c>
      <c r="L222" s="195" t="s">
        <v>8356</v>
      </c>
      <c r="M222" s="6" t="s">
        <v>604</v>
      </c>
      <c r="N222" s="28" t="s">
        <v>604</v>
      </c>
      <c r="O222" s="28" t="s">
        <v>604</v>
      </c>
      <c r="P222" s="28" t="s">
        <v>8535</v>
      </c>
      <c r="Q222" s="195" t="s">
        <v>6273</v>
      </c>
    </row>
    <row r="223" customFormat="false" ht="72" hidden="false" customHeight="true" outlineLevel="0" collapsed="false">
      <c r="A223" s="223" t="s">
        <v>9641</v>
      </c>
      <c r="B223" s="223" t="s">
        <v>6126</v>
      </c>
      <c r="C223" s="232" t="s">
        <v>9642</v>
      </c>
      <c r="D223" s="223" t="s">
        <v>9643</v>
      </c>
      <c r="E223" s="223" t="s">
        <v>9644</v>
      </c>
      <c r="F223" s="223" t="s">
        <v>9645</v>
      </c>
      <c r="G223" s="223" t="s">
        <v>604</v>
      </c>
      <c r="H223" s="223" t="s">
        <v>604</v>
      </c>
      <c r="I223" s="235" t="s">
        <v>9646</v>
      </c>
      <c r="J223" s="223" t="s">
        <v>6123</v>
      </c>
      <c r="K223" s="236" t="s">
        <v>9647</v>
      </c>
      <c r="L223" s="195" t="s">
        <v>8356</v>
      </c>
      <c r="M223" s="6" t="s">
        <v>604</v>
      </c>
      <c r="N223" s="28" t="s">
        <v>604</v>
      </c>
      <c r="O223" s="28" t="s">
        <v>604</v>
      </c>
      <c r="P223" s="28" t="s">
        <v>8510</v>
      </c>
      <c r="Q223" s="195" t="s">
        <v>6273</v>
      </c>
    </row>
    <row r="224" customFormat="false" ht="72" hidden="false" customHeight="true" outlineLevel="0" collapsed="false">
      <c r="A224" s="223" t="s">
        <v>9648</v>
      </c>
      <c r="B224" s="223" t="s">
        <v>6126</v>
      </c>
      <c r="C224" s="232" t="s">
        <v>9649</v>
      </c>
      <c r="D224" s="223" t="s">
        <v>9650</v>
      </c>
      <c r="E224" s="223" t="s">
        <v>9366</v>
      </c>
      <c r="F224" s="223" t="s">
        <v>604</v>
      </c>
      <c r="G224" s="223" t="s">
        <v>604</v>
      </c>
      <c r="H224" s="223" t="s">
        <v>9651</v>
      </c>
      <c r="I224" s="235" t="s">
        <v>9652</v>
      </c>
      <c r="J224" s="223" t="s">
        <v>6123</v>
      </c>
      <c r="K224" s="236" t="s">
        <v>9653</v>
      </c>
      <c r="L224" s="195" t="s">
        <v>8356</v>
      </c>
      <c r="M224" s="6" t="s">
        <v>604</v>
      </c>
      <c r="N224" s="28" t="s">
        <v>604</v>
      </c>
      <c r="O224" s="28" t="s">
        <v>604</v>
      </c>
      <c r="P224" s="28" t="s">
        <v>8510</v>
      </c>
      <c r="Q224" s="195" t="s">
        <v>6273</v>
      </c>
    </row>
    <row r="225" customFormat="false" ht="72" hidden="false" customHeight="true" outlineLevel="0" collapsed="false">
      <c r="A225" s="223" t="s">
        <v>9654</v>
      </c>
      <c r="B225" s="223" t="s">
        <v>6126</v>
      </c>
      <c r="C225" s="232" t="s">
        <v>9655</v>
      </c>
      <c r="D225" s="223" t="s">
        <v>9656</v>
      </c>
      <c r="E225" s="223" t="s">
        <v>9419</v>
      </c>
      <c r="F225" s="235" t="s">
        <v>9657</v>
      </c>
      <c r="G225" s="223" t="s">
        <v>604</v>
      </c>
      <c r="H225" s="235" t="s">
        <v>9658</v>
      </c>
      <c r="I225" s="235" t="s">
        <v>9659</v>
      </c>
      <c r="J225" s="223" t="s">
        <v>6123</v>
      </c>
      <c r="K225" s="236" t="s">
        <v>9660</v>
      </c>
      <c r="L225" s="195" t="s">
        <v>8356</v>
      </c>
      <c r="M225" s="6" t="s">
        <v>604</v>
      </c>
      <c r="N225" s="28" t="s">
        <v>604</v>
      </c>
      <c r="O225" s="28" t="s">
        <v>604</v>
      </c>
      <c r="P225" s="28" t="s">
        <v>8486</v>
      </c>
      <c r="Q225" s="195" t="s">
        <v>9661</v>
      </c>
    </row>
    <row r="226" customFormat="false" ht="100.5" hidden="false" customHeight="true" outlineLevel="0" collapsed="false">
      <c r="A226" s="223" t="s">
        <v>7954</v>
      </c>
      <c r="B226" s="223" t="s">
        <v>6159</v>
      </c>
      <c r="C226" s="232" t="s">
        <v>9662</v>
      </c>
      <c r="D226" s="223" t="s">
        <v>9663</v>
      </c>
      <c r="E226" s="223" t="s">
        <v>9501</v>
      </c>
      <c r="F226" s="223" t="s">
        <v>9664</v>
      </c>
      <c r="G226" s="223" t="s">
        <v>9665</v>
      </c>
      <c r="H226" s="223" t="s">
        <v>9666</v>
      </c>
      <c r="I226" s="235" t="s">
        <v>9667</v>
      </c>
      <c r="J226" s="223" t="s">
        <v>6156</v>
      </c>
      <c r="K226" s="236" t="s">
        <v>9668</v>
      </c>
      <c r="L226" s="195" t="s">
        <v>8356</v>
      </c>
      <c r="M226" s="6" t="s">
        <v>9669</v>
      </c>
      <c r="N226" s="28" t="s">
        <v>604</v>
      </c>
      <c r="O226" s="28" t="s">
        <v>9670</v>
      </c>
      <c r="P226" s="28" t="s">
        <v>8535</v>
      </c>
      <c r="Q226" s="195" t="s">
        <v>6273</v>
      </c>
    </row>
    <row r="227" customFormat="false" ht="86.25" hidden="false" customHeight="true" outlineLevel="0" collapsed="false">
      <c r="A227" s="223" t="s">
        <v>7963</v>
      </c>
      <c r="B227" s="223" t="s">
        <v>6159</v>
      </c>
      <c r="C227" s="232" t="s">
        <v>9671</v>
      </c>
      <c r="D227" s="223" t="s">
        <v>9672</v>
      </c>
      <c r="E227" s="223" t="s">
        <v>9501</v>
      </c>
      <c r="F227" s="235" t="s">
        <v>9673</v>
      </c>
      <c r="G227" s="223" t="s">
        <v>604</v>
      </c>
      <c r="H227" s="223" t="s">
        <v>9674</v>
      </c>
      <c r="I227" s="235" t="s">
        <v>9675</v>
      </c>
      <c r="J227" s="223" t="s">
        <v>6156</v>
      </c>
      <c r="K227" s="236" t="s">
        <v>9676</v>
      </c>
      <c r="L227" s="195" t="s">
        <v>8356</v>
      </c>
      <c r="M227" s="6" t="s">
        <v>5442</v>
      </c>
      <c r="N227" s="28" t="s">
        <v>604</v>
      </c>
      <c r="O227" s="28" t="s">
        <v>9677</v>
      </c>
      <c r="P227" s="28" t="s">
        <v>8535</v>
      </c>
      <c r="Q227" s="195" t="s">
        <v>6273</v>
      </c>
    </row>
    <row r="228" customFormat="false" ht="100.5" hidden="false" customHeight="true" outlineLevel="0" collapsed="false">
      <c r="A228" s="223" t="s">
        <v>7973</v>
      </c>
      <c r="B228" s="223" t="s">
        <v>6159</v>
      </c>
      <c r="C228" s="232" t="s">
        <v>9678</v>
      </c>
      <c r="D228" s="223" t="s">
        <v>9679</v>
      </c>
      <c r="E228" s="223" t="s">
        <v>9680</v>
      </c>
      <c r="F228" s="223" t="s">
        <v>9681</v>
      </c>
      <c r="G228" s="223" t="s">
        <v>9682</v>
      </c>
      <c r="H228" s="223" t="s">
        <v>9683</v>
      </c>
      <c r="I228" s="235" t="s">
        <v>9684</v>
      </c>
      <c r="J228" s="223" t="s">
        <v>6156</v>
      </c>
      <c r="K228" s="232" t="s">
        <v>9685</v>
      </c>
      <c r="L228" s="195" t="s">
        <v>8356</v>
      </c>
      <c r="M228" s="6" t="s">
        <v>7966</v>
      </c>
      <c r="N228" s="28" t="s">
        <v>604</v>
      </c>
      <c r="O228" s="28" t="s">
        <v>604</v>
      </c>
      <c r="P228" s="28" t="s">
        <v>8535</v>
      </c>
      <c r="Q228" s="195" t="s">
        <v>6380</v>
      </c>
    </row>
    <row r="229" customFormat="false" ht="86.25" hidden="false" customHeight="true" outlineLevel="0" collapsed="false">
      <c r="A229" s="223" t="s">
        <v>7983</v>
      </c>
      <c r="B229" s="223" t="s">
        <v>6159</v>
      </c>
      <c r="C229" s="232" t="s">
        <v>9686</v>
      </c>
      <c r="D229" s="223" t="s">
        <v>9687</v>
      </c>
      <c r="E229" s="223" t="s">
        <v>9680</v>
      </c>
      <c r="F229" s="223" t="s">
        <v>9681</v>
      </c>
      <c r="G229" s="223" t="s">
        <v>9682</v>
      </c>
      <c r="H229" s="223" t="s">
        <v>9688</v>
      </c>
      <c r="I229" s="235" t="s">
        <v>9689</v>
      </c>
      <c r="J229" s="223" t="s">
        <v>6156</v>
      </c>
      <c r="K229" s="236" t="s">
        <v>9690</v>
      </c>
      <c r="L229" s="195" t="s">
        <v>8356</v>
      </c>
      <c r="M229" s="6" t="s">
        <v>7976</v>
      </c>
      <c r="N229" s="28" t="s">
        <v>604</v>
      </c>
      <c r="O229" s="28" t="s">
        <v>604</v>
      </c>
      <c r="P229" s="28" t="s">
        <v>8535</v>
      </c>
      <c r="Q229" s="195" t="s">
        <v>6380</v>
      </c>
    </row>
    <row r="230" customFormat="false" ht="86.25" hidden="false" customHeight="true" outlineLevel="0" collapsed="false">
      <c r="A230" s="223" t="s">
        <v>7993</v>
      </c>
      <c r="B230" s="223" t="s">
        <v>6159</v>
      </c>
      <c r="C230" s="232" t="s">
        <v>9691</v>
      </c>
      <c r="D230" s="223" t="s">
        <v>9692</v>
      </c>
      <c r="E230" s="223" t="s">
        <v>9693</v>
      </c>
      <c r="F230" s="235" t="s">
        <v>9694</v>
      </c>
      <c r="G230" s="223" t="s">
        <v>604</v>
      </c>
      <c r="H230" s="223" t="s">
        <v>9695</v>
      </c>
      <c r="I230" s="235" t="s">
        <v>9696</v>
      </c>
      <c r="J230" s="223" t="s">
        <v>6156</v>
      </c>
      <c r="K230" s="236" t="s">
        <v>9697</v>
      </c>
      <c r="L230" s="195" t="s">
        <v>8356</v>
      </c>
      <c r="M230" s="6" t="s">
        <v>7986</v>
      </c>
      <c r="N230" s="28" t="s">
        <v>604</v>
      </c>
      <c r="O230" s="28" t="s">
        <v>604</v>
      </c>
      <c r="P230" s="28" t="s">
        <v>8510</v>
      </c>
      <c r="Q230" s="195" t="s">
        <v>6273</v>
      </c>
    </row>
    <row r="231" customFormat="false" ht="86.25" hidden="false" customHeight="true" outlineLevel="0" collapsed="false">
      <c r="A231" s="223" t="s">
        <v>8001</v>
      </c>
      <c r="B231" s="223" t="s">
        <v>6159</v>
      </c>
      <c r="C231" s="236" t="s">
        <v>9698</v>
      </c>
      <c r="D231" s="223" t="s">
        <v>9699</v>
      </c>
      <c r="E231" s="223" t="s">
        <v>9501</v>
      </c>
      <c r="F231" s="223" t="s">
        <v>9700</v>
      </c>
      <c r="G231" s="223" t="s">
        <v>604</v>
      </c>
      <c r="H231" s="223" t="s">
        <v>9701</v>
      </c>
      <c r="I231" s="235" t="s">
        <v>9702</v>
      </c>
      <c r="J231" s="223" t="s">
        <v>6156</v>
      </c>
      <c r="K231" s="236" t="s">
        <v>9703</v>
      </c>
      <c r="L231" s="195" t="s">
        <v>8356</v>
      </c>
      <c r="M231" s="6" t="s">
        <v>7996</v>
      </c>
      <c r="N231" s="28" t="s">
        <v>604</v>
      </c>
      <c r="O231" s="28" t="s">
        <v>604</v>
      </c>
      <c r="P231" s="28" t="s">
        <v>8535</v>
      </c>
      <c r="Q231" s="195" t="s">
        <v>6273</v>
      </c>
    </row>
    <row r="232" customFormat="false" ht="100.5" hidden="false" customHeight="true" outlineLevel="0" collapsed="false">
      <c r="A232" s="223" t="s">
        <v>8011</v>
      </c>
      <c r="B232" s="223" t="s">
        <v>6159</v>
      </c>
      <c r="C232" s="232" t="s">
        <v>9704</v>
      </c>
      <c r="D232" s="223" t="s">
        <v>9705</v>
      </c>
      <c r="E232" s="223" t="s">
        <v>9366</v>
      </c>
      <c r="F232" s="223" t="s">
        <v>9706</v>
      </c>
      <c r="G232" s="223" t="s">
        <v>604</v>
      </c>
      <c r="H232" s="223" t="s">
        <v>9707</v>
      </c>
      <c r="I232" s="235" t="s">
        <v>9708</v>
      </c>
      <c r="J232" s="223" t="s">
        <v>6156</v>
      </c>
      <c r="K232" s="236" t="s">
        <v>9709</v>
      </c>
      <c r="L232" s="195" t="s">
        <v>8356</v>
      </c>
      <c r="M232" s="6" t="s">
        <v>8004</v>
      </c>
      <c r="N232" s="28" t="s">
        <v>604</v>
      </c>
      <c r="O232" s="28" t="s">
        <v>604</v>
      </c>
      <c r="P232" s="28" t="s">
        <v>8510</v>
      </c>
      <c r="Q232" s="195" t="s">
        <v>6273</v>
      </c>
    </row>
    <row r="233" customFormat="false" ht="86.25" hidden="false" customHeight="true" outlineLevel="0" collapsed="false">
      <c r="A233" s="223" t="s">
        <v>8020</v>
      </c>
      <c r="B233" s="223" t="s">
        <v>6159</v>
      </c>
      <c r="C233" s="236" t="s">
        <v>9710</v>
      </c>
      <c r="D233" s="223" t="s">
        <v>9711</v>
      </c>
      <c r="E233" s="223" t="s">
        <v>9366</v>
      </c>
      <c r="F233" s="235" t="s">
        <v>9712</v>
      </c>
      <c r="G233" s="223" t="s">
        <v>604</v>
      </c>
      <c r="H233" s="223" t="s">
        <v>9713</v>
      </c>
      <c r="I233" s="235" t="s">
        <v>9714</v>
      </c>
      <c r="J233" s="223" t="s">
        <v>6156</v>
      </c>
      <c r="K233" s="236" t="s">
        <v>9715</v>
      </c>
      <c r="L233" s="195" t="s">
        <v>8356</v>
      </c>
      <c r="M233" s="6" t="s">
        <v>8014</v>
      </c>
      <c r="N233" s="28" t="s">
        <v>604</v>
      </c>
      <c r="O233" s="28" t="s">
        <v>9716</v>
      </c>
      <c r="P233" s="28" t="s">
        <v>8510</v>
      </c>
      <c r="Q233" s="195" t="s">
        <v>6273</v>
      </c>
    </row>
    <row r="234" customFormat="false" ht="86.25" hidden="false" customHeight="true" outlineLevel="0" collapsed="false">
      <c r="A234" s="223" t="s">
        <v>9717</v>
      </c>
      <c r="B234" s="223" t="s">
        <v>6159</v>
      </c>
      <c r="C234" s="232" t="s">
        <v>9718</v>
      </c>
      <c r="D234" s="223" t="s">
        <v>9719</v>
      </c>
      <c r="E234" s="223" t="s">
        <v>9366</v>
      </c>
      <c r="F234" s="235" t="s">
        <v>9720</v>
      </c>
      <c r="G234" s="223" t="s">
        <v>604</v>
      </c>
      <c r="H234" s="223" t="s">
        <v>9721</v>
      </c>
      <c r="I234" s="235" t="s">
        <v>9722</v>
      </c>
      <c r="J234" s="223" t="s">
        <v>6156</v>
      </c>
      <c r="K234" s="232" t="s">
        <v>9723</v>
      </c>
      <c r="L234" s="195" t="s">
        <v>8356</v>
      </c>
      <c r="M234" s="6" t="s">
        <v>604</v>
      </c>
      <c r="N234" s="28" t="s">
        <v>604</v>
      </c>
      <c r="O234" s="28" t="s">
        <v>604</v>
      </c>
      <c r="P234" s="28" t="s">
        <v>8510</v>
      </c>
      <c r="Q234" s="195" t="s">
        <v>9724</v>
      </c>
    </row>
    <row r="235" customFormat="false" ht="86.25" hidden="false" customHeight="true" outlineLevel="0" collapsed="false">
      <c r="A235" s="223" t="s">
        <v>8028</v>
      </c>
      <c r="B235" s="223" t="s">
        <v>6159</v>
      </c>
      <c r="C235" s="232" t="s">
        <v>9725</v>
      </c>
      <c r="D235" s="223" t="s">
        <v>9726</v>
      </c>
      <c r="E235" s="223" t="s">
        <v>9366</v>
      </c>
      <c r="F235" s="223" t="s">
        <v>9727</v>
      </c>
      <c r="G235" s="223" t="s">
        <v>604</v>
      </c>
      <c r="H235" s="223" t="s">
        <v>9728</v>
      </c>
      <c r="I235" s="235" t="s">
        <v>9729</v>
      </c>
      <c r="J235" s="223" t="s">
        <v>6156</v>
      </c>
      <c r="K235" s="236" t="s">
        <v>9730</v>
      </c>
      <c r="L235" s="195" t="s">
        <v>8356</v>
      </c>
      <c r="M235" s="6" t="s">
        <v>8023</v>
      </c>
      <c r="N235" s="28" t="s">
        <v>604</v>
      </c>
      <c r="O235" s="28" t="s">
        <v>604</v>
      </c>
      <c r="P235" s="28" t="s">
        <v>8510</v>
      </c>
      <c r="Q235" s="195" t="s">
        <v>6273</v>
      </c>
    </row>
    <row r="236" customFormat="false" ht="86.25" hidden="false" customHeight="true" outlineLevel="0" collapsed="false">
      <c r="A236" s="223" t="s">
        <v>8038</v>
      </c>
      <c r="B236" s="223" t="s">
        <v>6159</v>
      </c>
      <c r="C236" s="232" t="s">
        <v>9731</v>
      </c>
      <c r="D236" s="223" t="s">
        <v>9732</v>
      </c>
      <c r="E236" s="223" t="s">
        <v>9501</v>
      </c>
      <c r="F236" s="235" t="s">
        <v>9733</v>
      </c>
      <c r="G236" s="223" t="s">
        <v>604</v>
      </c>
      <c r="H236" s="223" t="s">
        <v>9734</v>
      </c>
      <c r="I236" s="235" t="s">
        <v>9735</v>
      </c>
      <c r="J236" s="223" t="s">
        <v>6156</v>
      </c>
      <c r="K236" s="236" t="s">
        <v>9736</v>
      </c>
      <c r="L236" s="195" t="s">
        <v>8356</v>
      </c>
      <c r="M236" s="6" t="s">
        <v>8031</v>
      </c>
      <c r="N236" s="28" t="s">
        <v>604</v>
      </c>
      <c r="O236" s="28" t="s">
        <v>604</v>
      </c>
      <c r="P236" s="28" t="s">
        <v>8535</v>
      </c>
      <c r="Q236" s="195" t="s">
        <v>6380</v>
      </c>
    </row>
    <row r="237" customFormat="false" ht="86.25" hidden="false" customHeight="true" outlineLevel="0" collapsed="false">
      <c r="A237" s="223" t="s">
        <v>9737</v>
      </c>
      <c r="B237" s="223" t="s">
        <v>6159</v>
      </c>
      <c r="C237" s="232" t="s">
        <v>9738</v>
      </c>
      <c r="D237" s="223" t="s">
        <v>9739</v>
      </c>
      <c r="E237" s="223" t="s">
        <v>9501</v>
      </c>
      <c r="F237" s="235" t="s">
        <v>9740</v>
      </c>
      <c r="G237" s="223" t="s">
        <v>9741</v>
      </c>
      <c r="H237" s="223" t="s">
        <v>9742</v>
      </c>
      <c r="I237" s="235" t="s">
        <v>9743</v>
      </c>
      <c r="J237" s="223" t="s">
        <v>6156</v>
      </c>
      <c r="K237" s="232" t="s">
        <v>9744</v>
      </c>
      <c r="L237" s="195" t="s">
        <v>8356</v>
      </c>
      <c r="M237" s="6" t="s">
        <v>7915</v>
      </c>
      <c r="N237" s="28" t="s">
        <v>604</v>
      </c>
      <c r="O237" s="28" t="s">
        <v>604</v>
      </c>
      <c r="P237" s="28" t="s">
        <v>8535</v>
      </c>
      <c r="Q237" s="195" t="s">
        <v>6273</v>
      </c>
    </row>
    <row r="238" customFormat="false" ht="100.5" hidden="false" customHeight="true" outlineLevel="0" collapsed="false">
      <c r="A238" s="223" t="s">
        <v>8045</v>
      </c>
      <c r="B238" s="223" t="s">
        <v>6159</v>
      </c>
      <c r="C238" s="232" t="s">
        <v>9745</v>
      </c>
      <c r="D238" s="223" t="s">
        <v>9746</v>
      </c>
      <c r="E238" s="223" t="s">
        <v>9366</v>
      </c>
      <c r="F238" s="235" t="s">
        <v>9747</v>
      </c>
      <c r="G238" s="223" t="s">
        <v>9748</v>
      </c>
      <c r="H238" s="223" t="s">
        <v>9749</v>
      </c>
      <c r="I238" s="235" t="s">
        <v>9750</v>
      </c>
      <c r="J238" s="223" t="s">
        <v>6156</v>
      </c>
      <c r="K238" s="236" t="s">
        <v>9751</v>
      </c>
      <c r="L238" s="195" t="s">
        <v>8356</v>
      </c>
      <c r="M238" s="6" t="s">
        <v>9752</v>
      </c>
      <c r="N238" s="28" t="s">
        <v>604</v>
      </c>
      <c r="O238" s="28" t="s">
        <v>604</v>
      </c>
      <c r="P238" s="28" t="s">
        <v>8510</v>
      </c>
      <c r="Q238" s="195" t="s">
        <v>6273</v>
      </c>
    </row>
    <row r="239" customFormat="false" ht="86.25" hidden="false" customHeight="true" outlineLevel="0" collapsed="false">
      <c r="A239" s="223" t="s">
        <v>8052</v>
      </c>
      <c r="B239" s="223" t="s">
        <v>6159</v>
      </c>
      <c r="C239" s="232" t="s">
        <v>9753</v>
      </c>
      <c r="D239" s="223" t="s">
        <v>9500</v>
      </c>
      <c r="E239" s="223" t="s">
        <v>9501</v>
      </c>
      <c r="F239" s="223" t="s">
        <v>9754</v>
      </c>
      <c r="G239" s="223" t="s">
        <v>9755</v>
      </c>
      <c r="H239" s="223" t="s">
        <v>9756</v>
      </c>
      <c r="I239" s="235" t="s">
        <v>9757</v>
      </c>
      <c r="J239" s="223" t="s">
        <v>6156</v>
      </c>
      <c r="K239" s="236" t="s">
        <v>9758</v>
      </c>
      <c r="L239" s="195" t="s">
        <v>8356</v>
      </c>
      <c r="M239" s="6" t="s">
        <v>9759</v>
      </c>
      <c r="N239" s="28" t="s">
        <v>604</v>
      </c>
      <c r="O239" s="28" t="s">
        <v>604</v>
      </c>
      <c r="P239" s="28" t="s">
        <v>8535</v>
      </c>
      <c r="Q239" s="195" t="s">
        <v>6273</v>
      </c>
    </row>
    <row r="240" customFormat="false" ht="86.25" hidden="false" customHeight="true" outlineLevel="0" collapsed="false">
      <c r="A240" s="223" t="s">
        <v>9760</v>
      </c>
      <c r="B240" s="223" t="s">
        <v>6159</v>
      </c>
      <c r="C240" s="232" t="s">
        <v>9761</v>
      </c>
      <c r="D240" s="223" t="s">
        <v>9762</v>
      </c>
      <c r="E240" s="223" t="s">
        <v>9763</v>
      </c>
      <c r="F240" s="223" t="s">
        <v>9764</v>
      </c>
      <c r="G240" s="223" t="s">
        <v>9765</v>
      </c>
      <c r="H240" s="223" t="s">
        <v>9766</v>
      </c>
      <c r="I240" s="235" t="s">
        <v>9767</v>
      </c>
      <c r="J240" s="223" t="s">
        <v>6156</v>
      </c>
      <c r="K240" s="236" t="s">
        <v>9768</v>
      </c>
      <c r="L240" s="195" t="s">
        <v>8356</v>
      </c>
      <c r="M240" s="6" t="s">
        <v>7677</v>
      </c>
      <c r="N240" s="28" t="s">
        <v>604</v>
      </c>
      <c r="O240" s="28" t="s">
        <v>604</v>
      </c>
      <c r="P240" s="28" t="s">
        <v>8510</v>
      </c>
      <c r="Q240" s="195" t="s">
        <v>6273</v>
      </c>
    </row>
    <row r="241" customFormat="false" ht="100.5" hidden="false" customHeight="true" outlineLevel="0" collapsed="false">
      <c r="A241" s="223" t="s">
        <v>8060</v>
      </c>
      <c r="B241" s="223" t="s">
        <v>6159</v>
      </c>
      <c r="C241" s="232" t="s">
        <v>9769</v>
      </c>
      <c r="D241" s="223" t="s">
        <v>9770</v>
      </c>
      <c r="E241" s="223" t="s">
        <v>9366</v>
      </c>
      <c r="F241" s="223" t="s">
        <v>9771</v>
      </c>
      <c r="G241" s="223" t="s">
        <v>9772</v>
      </c>
      <c r="H241" s="223" t="s">
        <v>9773</v>
      </c>
      <c r="I241" s="235" t="s">
        <v>9774</v>
      </c>
      <c r="J241" s="223" t="s">
        <v>6156</v>
      </c>
      <c r="K241" s="236" t="s">
        <v>9775</v>
      </c>
      <c r="L241" s="195" t="s">
        <v>8356</v>
      </c>
      <c r="M241" s="6" t="s">
        <v>9776</v>
      </c>
      <c r="N241" s="28" t="s">
        <v>604</v>
      </c>
      <c r="O241" s="28" t="s">
        <v>9777</v>
      </c>
      <c r="P241" s="28" t="s">
        <v>8510</v>
      </c>
      <c r="Q241" s="195" t="s">
        <v>9778</v>
      </c>
    </row>
    <row r="242" customFormat="false" ht="100.5" hidden="false" customHeight="true" outlineLevel="0" collapsed="false">
      <c r="A242" s="223" t="s">
        <v>9779</v>
      </c>
      <c r="B242" s="223" t="s">
        <v>6159</v>
      </c>
      <c r="C242" s="232" t="s">
        <v>9780</v>
      </c>
      <c r="D242" s="223" t="s">
        <v>9781</v>
      </c>
      <c r="E242" s="223" t="s">
        <v>9366</v>
      </c>
      <c r="F242" s="235" t="s">
        <v>9782</v>
      </c>
      <c r="G242" s="223" t="s">
        <v>604</v>
      </c>
      <c r="H242" s="223" t="s">
        <v>9783</v>
      </c>
      <c r="I242" s="235" t="s">
        <v>9784</v>
      </c>
      <c r="J242" s="223" t="s">
        <v>6156</v>
      </c>
      <c r="K242" s="236" t="s">
        <v>9785</v>
      </c>
      <c r="L242" s="195" t="s">
        <v>8356</v>
      </c>
      <c r="M242" s="6" t="s">
        <v>8055</v>
      </c>
      <c r="N242" s="28" t="s">
        <v>604</v>
      </c>
      <c r="O242" s="28" t="s">
        <v>604</v>
      </c>
      <c r="P242" s="28" t="s">
        <v>8510</v>
      </c>
      <c r="Q242" s="195" t="s">
        <v>6273</v>
      </c>
    </row>
    <row r="243" customFormat="false" ht="86.25" hidden="false" customHeight="true" outlineLevel="0" collapsed="false">
      <c r="A243" s="223" t="s">
        <v>9786</v>
      </c>
      <c r="B243" s="223" t="s">
        <v>6159</v>
      </c>
      <c r="C243" s="232" t="s">
        <v>9787</v>
      </c>
      <c r="D243" s="223" t="s">
        <v>9788</v>
      </c>
      <c r="E243" s="223" t="s">
        <v>9789</v>
      </c>
      <c r="F243" s="223" t="s">
        <v>9706</v>
      </c>
      <c r="G243" s="223" t="s">
        <v>604</v>
      </c>
      <c r="H243" s="223" t="s">
        <v>9790</v>
      </c>
      <c r="I243" s="235" t="s">
        <v>9791</v>
      </c>
      <c r="J243" s="223" t="s">
        <v>6156</v>
      </c>
      <c r="K243" s="236" t="s">
        <v>9792</v>
      </c>
      <c r="L243" s="195" t="s">
        <v>8356</v>
      </c>
      <c r="M243" s="6" t="s">
        <v>604</v>
      </c>
      <c r="N243" s="28" t="s">
        <v>604</v>
      </c>
      <c r="O243" s="28" t="s">
        <v>604</v>
      </c>
      <c r="P243" s="28" t="s">
        <v>8486</v>
      </c>
      <c r="Q243" s="195" t="s">
        <v>6380</v>
      </c>
    </row>
    <row r="244" customFormat="false" ht="86.25" hidden="false" customHeight="true" outlineLevel="0" collapsed="false">
      <c r="A244" s="223" t="s">
        <v>9793</v>
      </c>
      <c r="B244" s="223" t="s">
        <v>6159</v>
      </c>
      <c r="C244" s="232" t="s">
        <v>9794</v>
      </c>
      <c r="D244" s="223" t="s">
        <v>9795</v>
      </c>
      <c r="E244" s="223" t="s">
        <v>9789</v>
      </c>
      <c r="F244" s="223" t="s">
        <v>9796</v>
      </c>
      <c r="G244" s="223" t="s">
        <v>604</v>
      </c>
      <c r="H244" s="223" t="s">
        <v>9797</v>
      </c>
      <c r="I244" s="235" t="s">
        <v>9798</v>
      </c>
      <c r="J244" s="223" t="s">
        <v>6156</v>
      </c>
      <c r="K244" s="236" t="s">
        <v>9799</v>
      </c>
      <c r="L244" s="195" t="s">
        <v>8356</v>
      </c>
      <c r="M244" s="6" t="s">
        <v>604</v>
      </c>
      <c r="N244" s="28" t="s">
        <v>604</v>
      </c>
      <c r="O244" s="28" t="s">
        <v>604</v>
      </c>
      <c r="P244" s="28" t="s">
        <v>8486</v>
      </c>
      <c r="Q244" s="195" t="s">
        <v>6380</v>
      </c>
    </row>
    <row r="245" customFormat="false" ht="86.25" hidden="false" customHeight="true" outlineLevel="0" collapsed="false">
      <c r="A245" s="223" t="s">
        <v>8067</v>
      </c>
      <c r="B245" s="223" t="s">
        <v>6159</v>
      </c>
      <c r="C245" s="232" t="s">
        <v>9800</v>
      </c>
      <c r="D245" s="223" t="s">
        <v>9801</v>
      </c>
      <c r="E245" s="223" t="s">
        <v>9536</v>
      </c>
      <c r="F245" s="235" t="s">
        <v>9802</v>
      </c>
      <c r="G245" s="223" t="s">
        <v>604</v>
      </c>
      <c r="H245" s="223" t="s">
        <v>9803</v>
      </c>
      <c r="I245" s="235" t="s">
        <v>9804</v>
      </c>
      <c r="J245" s="223" t="s">
        <v>6156</v>
      </c>
      <c r="K245" s="232" t="s">
        <v>9805</v>
      </c>
      <c r="L245" s="195" t="s">
        <v>8356</v>
      </c>
      <c r="M245" s="6" t="s">
        <v>9806</v>
      </c>
      <c r="N245" s="28" t="s">
        <v>604</v>
      </c>
      <c r="O245" s="28" t="s">
        <v>604</v>
      </c>
      <c r="P245" s="28" t="s">
        <v>9541</v>
      </c>
      <c r="Q245" s="195" t="s">
        <v>6273</v>
      </c>
    </row>
    <row r="246" customFormat="false" ht="86.25" hidden="false" customHeight="true" outlineLevel="0" collapsed="false">
      <c r="A246" s="223" t="s">
        <v>9807</v>
      </c>
      <c r="B246" s="223" t="s">
        <v>6159</v>
      </c>
      <c r="C246" s="232" t="s">
        <v>9808</v>
      </c>
      <c r="D246" s="223" t="s">
        <v>9809</v>
      </c>
      <c r="E246" s="223" t="s">
        <v>9810</v>
      </c>
      <c r="F246" s="235" t="s">
        <v>9811</v>
      </c>
      <c r="G246" s="223" t="s">
        <v>604</v>
      </c>
      <c r="H246" s="223" t="s">
        <v>9812</v>
      </c>
      <c r="I246" s="235" t="s">
        <v>9813</v>
      </c>
      <c r="J246" s="223" t="s">
        <v>6156</v>
      </c>
      <c r="K246" s="232" t="s">
        <v>9814</v>
      </c>
      <c r="L246" s="195" t="s">
        <v>8356</v>
      </c>
      <c r="M246" s="6" t="s">
        <v>604</v>
      </c>
      <c r="N246" s="28" t="s">
        <v>604</v>
      </c>
      <c r="O246" s="28" t="s">
        <v>604</v>
      </c>
      <c r="P246" s="28" t="s">
        <v>8510</v>
      </c>
      <c r="Q246" s="195" t="s">
        <v>9724</v>
      </c>
    </row>
    <row r="247" customFormat="false" ht="86.25" hidden="false" customHeight="true" outlineLevel="0" collapsed="false">
      <c r="A247" s="223" t="s">
        <v>9815</v>
      </c>
      <c r="B247" s="223" t="s">
        <v>6159</v>
      </c>
      <c r="C247" s="232" t="s">
        <v>9816</v>
      </c>
      <c r="D247" s="235" t="s">
        <v>9817</v>
      </c>
      <c r="E247" s="223" t="s">
        <v>604</v>
      </c>
      <c r="F247" s="223" t="s">
        <v>9818</v>
      </c>
      <c r="G247" s="223" t="s">
        <v>9819</v>
      </c>
      <c r="H247" s="235" t="s">
        <v>9820</v>
      </c>
      <c r="I247" s="235" t="s">
        <v>9821</v>
      </c>
      <c r="J247" s="223" t="s">
        <v>6156</v>
      </c>
      <c r="K247" s="236" t="s">
        <v>9822</v>
      </c>
      <c r="L247" s="195" t="s">
        <v>8356</v>
      </c>
      <c r="M247" s="6" t="s">
        <v>604</v>
      </c>
      <c r="N247" s="28" t="s">
        <v>604</v>
      </c>
      <c r="O247" s="28" t="s">
        <v>604</v>
      </c>
      <c r="P247" s="28" t="s">
        <v>604</v>
      </c>
      <c r="Q247" s="28" t="s">
        <v>604</v>
      </c>
    </row>
    <row r="248" customFormat="false" ht="86.25" hidden="false" customHeight="true" outlineLevel="0" collapsed="false">
      <c r="A248" s="223" t="s">
        <v>9823</v>
      </c>
      <c r="B248" s="223" t="s">
        <v>6159</v>
      </c>
      <c r="C248" s="236" t="s">
        <v>9824</v>
      </c>
      <c r="D248" s="223" t="s">
        <v>9825</v>
      </c>
      <c r="E248" s="223" t="s">
        <v>604</v>
      </c>
      <c r="F248" s="223" t="s">
        <v>9826</v>
      </c>
      <c r="G248" s="223" t="s">
        <v>604</v>
      </c>
      <c r="H248" s="223" t="s">
        <v>604</v>
      </c>
      <c r="I248" s="235" t="s">
        <v>9827</v>
      </c>
      <c r="J248" s="223" t="s">
        <v>6156</v>
      </c>
      <c r="K248" s="236" t="s">
        <v>9828</v>
      </c>
      <c r="L248" s="195" t="s">
        <v>8356</v>
      </c>
      <c r="M248" s="6" t="s">
        <v>604</v>
      </c>
      <c r="N248" s="28" t="s">
        <v>604</v>
      </c>
      <c r="O248" s="28" t="s">
        <v>604</v>
      </c>
      <c r="P248" s="28" t="s">
        <v>604</v>
      </c>
      <c r="Q248" s="28" t="s">
        <v>604</v>
      </c>
    </row>
    <row r="249" customFormat="false" ht="114.75" hidden="false" customHeight="true" outlineLevel="0" collapsed="false">
      <c r="A249" s="223" t="s">
        <v>8093</v>
      </c>
      <c r="B249" s="223" t="s">
        <v>6199</v>
      </c>
      <c r="C249" s="232" t="s">
        <v>9829</v>
      </c>
      <c r="D249" s="223" t="s">
        <v>9830</v>
      </c>
      <c r="E249" s="223" t="s">
        <v>9831</v>
      </c>
      <c r="F249" s="223" t="s">
        <v>9832</v>
      </c>
      <c r="G249" s="223" t="s">
        <v>604</v>
      </c>
      <c r="H249" s="223" t="s">
        <v>9833</v>
      </c>
      <c r="I249" s="235" t="s">
        <v>9834</v>
      </c>
      <c r="J249" s="223" t="s">
        <v>6196</v>
      </c>
      <c r="K249" s="236" t="s">
        <v>9835</v>
      </c>
      <c r="L249" s="195" t="s">
        <v>8356</v>
      </c>
      <c r="M249" s="6" t="s">
        <v>8090</v>
      </c>
      <c r="N249" s="28" t="s">
        <v>604</v>
      </c>
      <c r="O249" s="28" t="s">
        <v>604</v>
      </c>
      <c r="P249" s="28" t="s">
        <v>8510</v>
      </c>
      <c r="Q249" s="195" t="s">
        <v>6273</v>
      </c>
    </row>
    <row r="250" customFormat="false" ht="114.75" hidden="false" customHeight="true" outlineLevel="0" collapsed="false">
      <c r="A250" s="223" t="s">
        <v>9836</v>
      </c>
      <c r="B250" s="223" t="s">
        <v>6199</v>
      </c>
      <c r="C250" s="232" t="s">
        <v>9837</v>
      </c>
      <c r="D250" s="223" t="s">
        <v>9838</v>
      </c>
      <c r="E250" s="223" t="s">
        <v>9831</v>
      </c>
      <c r="F250" s="223" t="s">
        <v>9839</v>
      </c>
      <c r="G250" s="223" t="s">
        <v>9840</v>
      </c>
      <c r="H250" s="223" t="s">
        <v>9841</v>
      </c>
      <c r="I250" s="235" t="s">
        <v>9842</v>
      </c>
      <c r="J250" s="223" t="s">
        <v>6196</v>
      </c>
      <c r="K250" s="236" t="s">
        <v>9843</v>
      </c>
      <c r="L250" s="195" t="s">
        <v>8356</v>
      </c>
      <c r="M250" s="6" t="s">
        <v>5498</v>
      </c>
      <c r="N250" s="28" t="s">
        <v>604</v>
      </c>
      <c r="O250" s="28" t="s">
        <v>604</v>
      </c>
      <c r="P250" s="28" t="s">
        <v>8510</v>
      </c>
      <c r="Q250" s="195" t="s">
        <v>6273</v>
      </c>
    </row>
    <row r="251" customFormat="false" ht="114.75" hidden="false" customHeight="true" outlineLevel="0" collapsed="false">
      <c r="A251" s="223" t="s">
        <v>8102</v>
      </c>
      <c r="B251" s="223" t="s">
        <v>6199</v>
      </c>
      <c r="C251" s="232" t="s">
        <v>9844</v>
      </c>
      <c r="D251" s="223" t="s">
        <v>9845</v>
      </c>
      <c r="E251" s="223" t="s">
        <v>9846</v>
      </c>
      <c r="F251" s="223" t="s">
        <v>9847</v>
      </c>
      <c r="G251" s="223" t="s">
        <v>9848</v>
      </c>
      <c r="H251" s="223" t="s">
        <v>9849</v>
      </c>
      <c r="I251" s="235" t="s">
        <v>9850</v>
      </c>
      <c r="J251" s="223" t="s">
        <v>6196</v>
      </c>
      <c r="K251" s="236" t="s">
        <v>9851</v>
      </c>
      <c r="L251" s="195" t="s">
        <v>8356</v>
      </c>
      <c r="M251" s="6" t="s">
        <v>8097</v>
      </c>
      <c r="N251" s="28" t="s">
        <v>604</v>
      </c>
      <c r="O251" s="28" t="s">
        <v>604</v>
      </c>
      <c r="P251" s="28" t="s">
        <v>8486</v>
      </c>
      <c r="Q251" s="195" t="s">
        <v>6273</v>
      </c>
    </row>
    <row r="252" customFormat="false" ht="114.75" hidden="false" customHeight="true" outlineLevel="0" collapsed="false">
      <c r="A252" s="223" t="s">
        <v>8109</v>
      </c>
      <c r="B252" s="223" t="s">
        <v>6199</v>
      </c>
      <c r="C252" s="232" t="s">
        <v>9852</v>
      </c>
      <c r="D252" s="223" t="s">
        <v>9853</v>
      </c>
      <c r="E252" s="235" t="s">
        <v>9854</v>
      </c>
      <c r="F252" s="223" t="s">
        <v>9855</v>
      </c>
      <c r="G252" s="223" t="s">
        <v>9856</v>
      </c>
      <c r="H252" s="223" t="s">
        <v>9857</v>
      </c>
      <c r="I252" s="235" t="s">
        <v>9858</v>
      </c>
      <c r="J252" s="223" t="s">
        <v>6196</v>
      </c>
      <c r="K252" s="236" t="s">
        <v>9859</v>
      </c>
      <c r="L252" s="195" t="s">
        <v>8356</v>
      </c>
      <c r="M252" s="6" t="s">
        <v>5453</v>
      </c>
      <c r="N252" s="28" t="s">
        <v>604</v>
      </c>
      <c r="O252" s="28" t="s">
        <v>9860</v>
      </c>
      <c r="P252" s="28" t="s">
        <v>8486</v>
      </c>
      <c r="Q252" s="195" t="s">
        <v>6273</v>
      </c>
    </row>
    <row r="253" customFormat="false" ht="114.75" hidden="false" customHeight="true" outlineLevel="0" collapsed="false">
      <c r="A253" s="223" t="s">
        <v>9861</v>
      </c>
      <c r="B253" s="223" t="s">
        <v>6199</v>
      </c>
      <c r="C253" s="232" t="s">
        <v>9862</v>
      </c>
      <c r="D253" s="223" t="s">
        <v>9863</v>
      </c>
      <c r="E253" s="223" t="s">
        <v>9366</v>
      </c>
      <c r="F253" s="223" t="s">
        <v>9864</v>
      </c>
      <c r="G253" s="223" t="s">
        <v>604</v>
      </c>
      <c r="H253" s="235" t="s">
        <v>9865</v>
      </c>
      <c r="I253" s="235" t="s">
        <v>9866</v>
      </c>
      <c r="J253" s="223" t="s">
        <v>6196</v>
      </c>
      <c r="K253" s="236" t="s">
        <v>9867</v>
      </c>
      <c r="L253" s="195" t="s">
        <v>8356</v>
      </c>
      <c r="M253" s="6" t="s">
        <v>5505</v>
      </c>
      <c r="N253" s="28" t="s">
        <v>604</v>
      </c>
      <c r="O253" s="28" t="s">
        <v>604</v>
      </c>
      <c r="P253" s="28" t="s">
        <v>8510</v>
      </c>
      <c r="Q253" s="195" t="s">
        <v>6273</v>
      </c>
    </row>
    <row r="254" customFormat="false" ht="129" hidden="false" customHeight="true" outlineLevel="0" collapsed="false">
      <c r="A254" s="223" t="s">
        <v>9868</v>
      </c>
      <c r="B254" s="223" t="s">
        <v>6199</v>
      </c>
      <c r="C254" s="232" t="s">
        <v>9869</v>
      </c>
      <c r="D254" s="223" t="s">
        <v>9870</v>
      </c>
      <c r="E254" s="223" t="s">
        <v>9871</v>
      </c>
      <c r="F254" s="223" t="s">
        <v>9872</v>
      </c>
      <c r="G254" s="223" t="s">
        <v>604</v>
      </c>
      <c r="H254" s="223" t="s">
        <v>9873</v>
      </c>
      <c r="I254" s="235" t="s">
        <v>9874</v>
      </c>
      <c r="J254" s="223" t="s">
        <v>6196</v>
      </c>
      <c r="K254" s="236" t="s">
        <v>9875</v>
      </c>
      <c r="L254" s="195" t="s">
        <v>8356</v>
      </c>
      <c r="M254" s="6" t="s">
        <v>604</v>
      </c>
      <c r="N254" s="28" t="s">
        <v>604</v>
      </c>
      <c r="O254" s="28" t="s">
        <v>604</v>
      </c>
      <c r="P254" s="28" t="s">
        <v>8486</v>
      </c>
      <c r="Q254" s="195" t="s">
        <v>6273</v>
      </c>
    </row>
    <row r="255" customFormat="false" ht="114.75" hidden="false" customHeight="true" outlineLevel="0" collapsed="false">
      <c r="A255" s="223" t="s">
        <v>9876</v>
      </c>
      <c r="B255" s="223" t="s">
        <v>6199</v>
      </c>
      <c r="C255" s="232" t="s">
        <v>9877</v>
      </c>
      <c r="D255" s="235" t="s">
        <v>9878</v>
      </c>
      <c r="E255" s="235" t="s">
        <v>9879</v>
      </c>
      <c r="F255" s="235" t="s">
        <v>9880</v>
      </c>
      <c r="G255" s="223" t="s">
        <v>604</v>
      </c>
      <c r="H255" s="223" t="s">
        <v>9881</v>
      </c>
      <c r="I255" s="235" t="s">
        <v>9882</v>
      </c>
      <c r="J255" s="223" t="s">
        <v>6196</v>
      </c>
      <c r="K255" s="236" t="s">
        <v>9883</v>
      </c>
      <c r="L255" s="195" t="s">
        <v>8356</v>
      </c>
      <c r="M255" s="6" t="s">
        <v>604</v>
      </c>
      <c r="N255" s="28" t="s">
        <v>604</v>
      </c>
      <c r="O255" s="28" t="s">
        <v>604</v>
      </c>
      <c r="P255" s="28" t="s">
        <v>8486</v>
      </c>
      <c r="Q255" s="195" t="s">
        <v>9884</v>
      </c>
    </row>
    <row r="256" customFormat="false" ht="114.75" hidden="false" customHeight="true" outlineLevel="0" collapsed="false">
      <c r="A256" s="223" t="s">
        <v>9885</v>
      </c>
      <c r="B256" s="223" t="s">
        <v>6199</v>
      </c>
      <c r="C256" s="232" t="s">
        <v>9886</v>
      </c>
      <c r="D256" s="223" t="s">
        <v>9887</v>
      </c>
      <c r="E256" s="223" t="s">
        <v>9366</v>
      </c>
      <c r="F256" s="223" t="s">
        <v>9888</v>
      </c>
      <c r="G256" s="223" t="s">
        <v>9889</v>
      </c>
      <c r="H256" s="223" t="s">
        <v>9890</v>
      </c>
      <c r="I256" s="235" t="s">
        <v>9891</v>
      </c>
      <c r="J256" s="223" t="s">
        <v>6196</v>
      </c>
      <c r="K256" s="236" t="s">
        <v>9892</v>
      </c>
      <c r="L256" s="195" t="s">
        <v>8356</v>
      </c>
      <c r="M256" s="6" t="s">
        <v>8041</v>
      </c>
      <c r="N256" s="28" t="s">
        <v>604</v>
      </c>
      <c r="O256" s="28" t="s">
        <v>604</v>
      </c>
      <c r="P256" s="28" t="s">
        <v>8510</v>
      </c>
      <c r="Q256" s="195" t="s">
        <v>6273</v>
      </c>
    </row>
    <row r="257" customFormat="false" ht="114.75" hidden="false" customHeight="true" outlineLevel="0" collapsed="false">
      <c r="A257" s="223" t="s">
        <v>9893</v>
      </c>
      <c r="B257" s="223" t="s">
        <v>6199</v>
      </c>
      <c r="C257" s="236" t="s">
        <v>9894</v>
      </c>
      <c r="D257" s="223" t="s">
        <v>9895</v>
      </c>
      <c r="E257" s="223" t="s">
        <v>9896</v>
      </c>
      <c r="F257" s="223" t="s">
        <v>9897</v>
      </c>
      <c r="G257" s="223" t="s">
        <v>9898</v>
      </c>
      <c r="H257" s="223" t="s">
        <v>9899</v>
      </c>
      <c r="I257" s="235" t="s">
        <v>9900</v>
      </c>
      <c r="J257" s="223" t="s">
        <v>6196</v>
      </c>
      <c r="K257" s="236" t="s">
        <v>9901</v>
      </c>
      <c r="L257" s="195" t="s">
        <v>8356</v>
      </c>
      <c r="M257" s="6" t="s">
        <v>604</v>
      </c>
      <c r="N257" s="28" t="s">
        <v>604</v>
      </c>
      <c r="O257" s="28" t="s">
        <v>9902</v>
      </c>
      <c r="P257" s="28" t="s">
        <v>8486</v>
      </c>
      <c r="Q257" s="195" t="s">
        <v>6273</v>
      </c>
    </row>
    <row r="258" customFormat="false" ht="114.75" hidden="false" customHeight="true" outlineLevel="0" collapsed="false">
      <c r="A258" s="223" t="s">
        <v>9903</v>
      </c>
      <c r="B258" s="223" t="s">
        <v>6199</v>
      </c>
      <c r="C258" s="232" t="s">
        <v>9904</v>
      </c>
      <c r="D258" s="235" t="s">
        <v>9905</v>
      </c>
      <c r="E258" s="223" t="s">
        <v>604</v>
      </c>
      <c r="F258" s="235" t="s">
        <v>9906</v>
      </c>
      <c r="G258" s="223" t="s">
        <v>604</v>
      </c>
      <c r="H258" s="235" t="s">
        <v>9820</v>
      </c>
      <c r="I258" s="235" t="s">
        <v>9907</v>
      </c>
      <c r="J258" s="223" t="s">
        <v>6196</v>
      </c>
      <c r="K258" s="236" t="s">
        <v>9908</v>
      </c>
      <c r="L258" s="195" t="s">
        <v>8356</v>
      </c>
      <c r="M258" s="6" t="s">
        <v>604</v>
      </c>
      <c r="N258" s="28" t="s">
        <v>604</v>
      </c>
      <c r="O258" s="28" t="s">
        <v>604</v>
      </c>
      <c r="P258" s="28" t="s">
        <v>604</v>
      </c>
      <c r="Q258" s="28" t="s">
        <v>604</v>
      </c>
    </row>
    <row r="259" customFormat="false" ht="114.75" hidden="false" customHeight="true" outlineLevel="0" collapsed="false">
      <c r="A259" s="223" t="s">
        <v>9909</v>
      </c>
      <c r="B259" s="223" t="s">
        <v>6199</v>
      </c>
      <c r="C259" s="236" t="s">
        <v>9910</v>
      </c>
      <c r="D259" s="235" t="s">
        <v>9911</v>
      </c>
      <c r="E259" s="223" t="s">
        <v>604</v>
      </c>
      <c r="F259" s="235" t="s">
        <v>9912</v>
      </c>
      <c r="G259" s="223" t="s">
        <v>604</v>
      </c>
      <c r="H259" s="235" t="s">
        <v>9820</v>
      </c>
      <c r="I259" s="235" t="s">
        <v>9913</v>
      </c>
      <c r="J259" s="223" t="s">
        <v>6196</v>
      </c>
      <c r="K259" s="236" t="s">
        <v>9914</v>
      </c>
      <c r="L259" s="195" t="s">
        <v>8356</v>
      </c>
      <c r="M259" s="6" t="s">
        <v>7915</v>
      </c>
      <c r="N259" s="28" t="s">
        <v>604</v>
      </c>
      <c r="O259" s="28" t="s">
        <v>604</v>
      </c>
      <c r="P259" s="28" t="s">
        <v>604</v>
      </c>
      <c r="Q259" s="28" t="s">
        <v>604</v>
      </c>
    </row>
    <row r="260" customFormat="false" ht="114.75" hidden="false" customHeight="true" outlineLevel="0" collapsed="false">
      <c r="A260" s="223" t="s">
        <v>9915</v>
      </c>
      <c r="B260" s="223" t="s">
        <v>6199</v>
      </c>
      <c r="C260" s="232" t="s">
        <v>9916</v>
      </c>
      <c r="D260" s="235" t="s">
        <v>9917</v>
      </c>
      <c r="E260" s="223" t="s">
        <v>9918</v>
      </c>
      <c r="F260" s="223" t="s">
        <v>9919</v>
      </c>
      <c r="G260" s="223" t="s">
        <v>604</v>
      </c>
      <c r="H260" s="235" t="s">
        <v>9920</v>
      </c>
      <c r="I260" s="235" t="s">
        <v>9921</v>
      </c>
      <c r="J260" s="223" t="s">
        <v>6196</v>
      </c>
      <c r="K260" s="236" t="s">
        <v>9922</v>
      </c>
      <c r="L260" s="195" t="s">
        <v>8356</v>
      </c>
      <c r="M260" s="6" t="s">
        <v>604</v>
      </c>
      <c r="N260" s="28" t="s">
        <v>604</v>
      </c>
      <c r="O260" s="28" t="s">
        <v>9923</v>
      </c>
      <c r="P260" s="28" t="s">
        <v>604</v>
      </c>
      <c r="Q260" s="195" t="s">
        <v>6380</v>
      </c>
    </row>
    <row r="261" customFormat="false" ht="114.75" hidden="false" customHeight="true" outlineLevel="0" collapsed="false">
      <c r="A261" s="223" t="s">
        <v>9924</v>
      </c>
      <c r="B261" s="223" t="s">
        <v>6199</v>
      </c>
      <c r="C261" s="232" t="s">
        <v>9925</v>
      </c>
      <c r="D261" s="223" t="s">
        <v>9926</v>
      </c>
      <c r="E261" s="223" t="s">
        <v>9927</v>
      </c>
      <c r="F261" s="223" t="s">
        <v>9928</v>
      </c>
      <c r="G261" s="223" t="s">
        <v>9929</v>
      </c>
      <c r="H261" s="223" t="s">
        <v>9930</v>
      </c>
      <c r="I261" s="235" t="s">
        <v>9931</v>
      </c>
      <c r="J261" s="223" t="s">
        <v>6196</v>
      </c>
      <c r="K261" s="236" t="s">
        <v>9932</v>
      </c>
      <c r="L261" s="195" t="s">
        <v>8356</v>
      </c>
      <c r="M261" s="6" t="s">
        <v>9933</v>
      </c>
      <c r="N261" s="28" t="s">
        <v>604</v>
      </c>
      <c r="O261" s="28" t="s">
        <v>604</v>
      </c>
      <c r="P261" s="28" t="s">
        <v>8510</v>
      </c>
      <c r="Q261" s="195" t="s">
        <v>6273</v>
      </c>
    </row>
    <row r="262" customFormat="false" ht="114.9" hidden="false" customHeight="false" outlineLevel="0" collapsed="false">
      <c r="A262" s="134" t="s">
        <v>9934</v>
      </c>
      <c r="B262" s="134" t="s">
        <v>6199</v>
      </c>
      <c r="C262" s="232" t="s">
        <v>9935</v>
      </c>
      <c r="D262" s="134" t="s">
        <v>9936</v>
      </c>
      <c r="E262" s="103" t="s">
        <v>9937</v>
      </c>
      <c r="F262" s="134" t="s">
        <v>9938</v>
      </c>
      <c r="G262" s="134" t="s">
        <v>604</v>
      </c>
      <c r="H262" s="103" t="s">
        <v>9939</v>
      </c>
      <c r="I262" s="103" t="s">
        <v>9940</v>
      </c>
      <c r="J262" s="134" t="s">
        <v>6230</v>
      </c>
      <c r="K262" s="237" t="s">
        <v>9941</v>
      </c>
      <c r="L262" s="58" t="s">
        <v>8356</v>
      </c>
      <c r="M262" s="6" t="s">
        <v>9942</v>
      </c>
      <c r="N262" s="59" t="s">
        <v>604</v>
      </c>
      <c r="O262" s="59" t="s">
        <v>9943</v>
      </c>
      <c r="P262" s="59" t="s">
        <v>8486</v>
      </c>
      <c r="Q262" s="58" t="s">
        <v>6273</v>
      </c>
    </row>
    <row r="263" customFormat="false" ht="114.9" hidden="false" customHeight="false" outlineLevel="0" collapsed="false">
      <c r="A263" s="134" t="s">
        <v>9944</v>
      </c>
      <c r="B263" s="134" t="s">
        <v>6199</v>
      </c>
      <c r="C263" s="232" t="s">
        <v>9945</v>
      </c>
      <c r="D263" s="134" t="s">
        <v>9946</v>
      </c>
      <c r="E263" s="103" t="s">
        <v>9947</v>
      </c>
      <c r="F263" s="134" t="s">
        <v>9948</v>
      </c>
      <c r="G263" s="134" t="s">
        <v>604</v>
      </c>
      <c r="H263" s="103" t="s">
        <v>9949</v>
      </c>
      <c r="I263" s="103" t="s">
        <v>9950</v>
      </c>
      <c r="J263" s="134" t="s">
        <v>6230</v>
      </c>
      <c r="K263" s="232" t="s">
        <v>9951</v>
      </c>
      <c r="L263" s="58" t="s">
        <v>8356</v>
      </c>
      <c r="M263" s="6" t="s">
        <v>604</v>
      </c>
      <c r="N263" s="59" t="s">
        <v>604</v>
      </c>
      <c r="O263" s="59" t="s">
        <v>9943</v>
      </c>
      <c r="P263" s="59" t="s">
        <v>8486</v>
      </c>
      <c r="Q263" s="58" t="s">
        <v>6273</v>
      </c>
    </row>
    <row r="264" customFormat="false" ht="114.9" hidden="false" customHeight="false" outlineLevel="0" collapsed="false">
      <c r="A264" s="134" t="s">
        <v>9952</v>
      </c>
      <c r="B264" s="134" t="s">
        <v>6199</v>
      </c>
      <c r="C264" s="232" t="s">
        <v>9953</v>
      </c>
      <c r="D264" s="134" t="s">
        <v>9954</v>
      </c>
      <c r="E264" s="103" t="s">
        <v>9955</v>
      </c>
      <c r="F264" s="134" t="s">
        <v>9956</v>
      </c>
      <c r="G264" s="134" t="s">
        <v>604</v>
      </c>
      <c r="H264" s="103" t="s">
        <v>9939</v>
      </c>
      <c r="I264" s="103" t="s">
        <v>9957</v>
      </c>
      <c r="J264" s="134" t="s">
        <v>6230</v>
      </c>
      <c r="K264" s="237" t="s">
        <v>9958</v>
      </c>
      <c r="L264" s="58" t="s">
        <v>8356</v>
      </c>
      <c r="M264" s="6" t="s">
        <v>604</v>
      </c>
      <c r="N264" s="59" t="s">
        <v>604</v>
      </c>
      <c r="O264" s="59" t="s">
        <v>9943</v>
      </c>
      <c r="P264" s="59" t="s">
        <v>8486</v>
      </c>
      <c r="Q264" s="58" t="s">
        <v>9884</v>
      </c>
    </row>
    <row r="265" customFormat="false" ht="114.9" hidden="false" customHeight="false" outlineLevel="0" collapsed="false">
      <c r="A265" s="134" t="s">
        <v>9959</v>
      </c>
      <c r="B265" s="134" t="s">
        <v>6199</v>
      </c>
      <c r="C265" s="232" t="s">
        <v>9960</v>
      </c>
      <c r="D265" s="103" t="s">
        <v>9961</v>
      </c>
      <c r="E265" s="134" t="s">
        <v>9918</v>
      </c>
      <c r="F265" s="134" t="s">
        <v>9962</v>
      </c>
      <c r="G265" s="134" t="s">
        <v>604</v>
      </c>
      <c r="H265" s="134" t="s">
        <v>9963</v>
      </c>
      <c r="I265" s="103" t="s">
        <v>9964</v>
      </c>
      <c r="J265" s="134" t="s">
        <v>6230</v>
      </c>
      <c r="K265" s="237" t="s">
        <v>9965</v>
      </c>
      <c r="L265" s="58" t="s">
        <v>8356</v>
      </c>
      <c r="M265" s="6" t="s">
        <v>604</v>
      </c>
      <c r="N265" s="59" t="s">
        <v>604</v>
      </c>
      <c r="O265" s="59" t="s">
        <v>9943</v>
      </c>
      <c r="P265" s="59" t="s">
        <v>604</v>
      </c>
      <c r="Q265" s="58" t="s">
        <v>6380</v>
      </c>
    </row>
    <row r="266" customFormat="false" ht="114.9" hidden="false" customHeight="false" outlineLevel="0" collapsed="false">
      <c r="A266" s="134" t="s">
        <v>9966</v>
      </c>
      <c r="B266" s="134" t="s">
        <v>6199</v>
      </c>
      <c r="C266" s="232" t="s">
        <v>9967</v>
      </c>
      <c r="D266" s="103" t="s">
        <v>9968</v>
      </c>
      <c r="E266" s="134" t="s">
        <v>9918</v>
      </c>
      <c r="F266" s="134" t="s">
        <v>9969</v>
      </c>
      <c r="G266" s="134" t="s">
        <v>604</v>
      </c>
      <c r="H266" s="103" t="s">
        <v>9970</v>
      </c>
      <c r="I266" s="103" t="s">
        <v>9971</v>
      </c>
      <c r="J266" s="134" t="s">
        <v>6230</v>
      </c>
      <c r="K266" s="237" t="s">
        <v>9972</v>
      </c>
      <c r="L266" s="58" t="s">
        <v>8356</v>
      </c>
      <c r="M266" s="6" t="s">
        <v>604</v>
      </c>
      <c r="N266" s="59" t="s">
        <v>604</v>
      </c>
      <c r="O266" s="59" t="s">
        <v>9943</v>
      </c>
      <c r="P266" s="59" t="s">
        <v>604</v>
      </c>
      <c r="Q266" s="58" t="s">
        <v>6380</v>
      </c>
    </row>
    <row r="267" customFormat="false" ht="114.9" hidden="false" customHeight="false" outlineLevel="0" collapsed="false">
      <c r="A267" s="134" t="s">
        <v>8116</v>
      </c>
      <c r="B267" s="134" t="s">
        <v>6199</v>
      </c>
      <c r="C267" s="232" t="s">
        <v>9973</v>
      </c>
      <c r="D267" s="134" t="s">
        <v>9974</v>
      </c>
      <c r="E267" s="134" t="s">
        <v>9831</v>
      </c>
      <c r="F267" s="134" t="s">
        <v>9975</v>
      </c>
      <c r="G267" s="134" t="s">
        <v>9976</v>
      </c>
      <c r="H267" s="134" t="s">
        <v>9977</v>
      </c>
      <c r="I267" s="103" t="s">
        <v>9978</v>
      </c>
      <c r="J267" s="134" t="s">
        <v>6230</v>
      </c>
      <c r="K267" s="237" t="s">
        <v>9979</v>
      </c>
      <c r="L267" s="58" t="s">
        <v>8356</v>
      </c>
      <c r="M267" s="6" t="s">
        <v>5570</v>
      </c>
      <c r="N267" s="59" t="s">
        <v>604</v>
      </c>
      <c r="O267" s="59" t="s">
        <v>604</v>
      </c>
      <c r="P267" s="59" t="s">
        <v>8510</v>
      </c>
      <c r="Q267" s="58" t="s">
        <v>6273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2026-10-14T11:55:20Z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