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Calc" vbProcedure="false">Alloc_In!$H$41</definedName>
    <definedName function="false" hidden="false" name="AL_KappaCalcIn" vbProcedure="false">Alloc_In!$H$42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SRC_Index!$F$5:$F$1490</definedName>
    <definedName function="false" hidden="false" name="IDX_SrcGrade" vbProcedure="false">SRC_Index!$E$5:$E$1490</definedName>
    <definedName function="false" hidden="false" name="IDX_SrcID" vbProcedure="false">SRC_Index!$A$5:$A$1490</definedName>
    <definedName function="false" hidden="false" name="IDX_SrcStat" vbProcedure="false">SRC_Index!$D$5:$D$1490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rontSuccVRQual" vbProcedure="false">Interface!$C$193:$G$193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Dem004_IF_AllocQ1_Hi" vbProcedure="false">Alloc!$C$1025</definedName>
    <definedName function="false" hidden="false" name="RNG_Dem004_IF_AllocQ1_Lo" vbProcedure="false">Alloc!$C$1024</definedName>
    <definedName function="false" hidden="false" name="RNG_Dem004_IF_AllocQ2_Hi" vbProcedure="false">Alloc!$C$1027</definedName>
    <definedName function="false" hidden="false" name="RNG_Dem004_IF_AllocQ2_Lo" vbProcedure="false">Alloc!$C$1026</definedName>
    <definedName function="false" hidden="false" name="RNG_Dem004_IF_AllocServeGW_Hi" vbProcedure="false">Alloc!$C$1023</definedName>
    <definedName function="false" hidden="false" name="RNG_Dem004_IF_AllocServeGW_Lo" vbProcedure="false">Alloc!$C$1022</definedName>
    <definedName function="false" hidden="false" name="RNG_Dem004_OutCount" vbProcedure="false">Alloc!$C$1028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Ans5_FullMargin_Hi" vbProcedure="false">Alloc!$C$353</definedName>
    <definedName function="false" hidden="false" name="RNG_L1_Ans5_FullMargin_Hi_Hi" vbProcedure="false">Alloc!$C$356</definedName>
    <definedName function="false" hidden="false" name="RNG_L1_Ans5_FullMargin_Hi_Lo" vbProcedure="false">Alloc!$C$354</definedName>
    <definedName function="false" hidden="false" name="RNG_L1_Ans5_FullMargin_Lo" vbProcedure="false">Alloc!$C$351</definedName>
    <definedName function="false" hidden="false" name="RNG_L1_Ans5_FullMargin_Lo_Hi" vbProcedure="false">Alloc!$C$359</definedName>
    <definedName function="false" hidden="false" name="RNG_L1_Ans5_FullMargin_Lo_Lo" vbProcedure="false">Alloc!$C$357</definedName>
    <definedName function="false" hidden="false" name="RNG_L1_Ans6_GPUh_Hi" vbProcedure="false">Alloc!$C$362</definedName>
    <definedName function="false" hidden="false" name="RNG_L1_Ans6_GPUh_Hi_Hi" vbProcedure="false">Alloc!$C$365</definedName>
    <definedName function="false" hidden="false" name="RNG_L1_Ans6_GPUh_Hi_Lo" vbProcedure="false">Alloc!$C$363</definedName>
    <definedName function="false" hidden="false" name="RNG_L1_Ans6_GPUh_Lo" vbProcedure="false">Alloc!$C$360</definedName>
    <definedName function="false" hidden="false" name="RNG_L1_Ans6_GPUh_Lo_Hi" vbProcedure="false">Alloc!$C$368</definedName>
    <definedName function="false" hidden="false" name="RNG_L1_Ans6_GPUh_Lo_Lo" vbProcedure="false">Alloc!$C$366</definedName>
    <definedName function="false" hidden="false" name="RNG_L1_RLshare_Astra_VR200_Hi" vbProcedure="false">Alloc!$C$371</definedName>
    <definedName function="false" hidden="false" name="RNG_L1_RLshare_Astra_VR200_Hi_Hi" vbProcedure="false">Alloc!$C$374</definedName>
    <definedName function="false" hidden="false" name="RNG_L1_RLshare_Astra_VR200_Hi_Lo" vbProcedure="false">Alloc!$C$372</definedName>
    <definedName function="false" hidden="false" name="RNG_L1_RLshare_Astra_VR200_Lo" vbProcedure="false">Alloc!$C$369</definedName>
    <definedName function="false" hidden="false" name="RNG_L1_RLshare_Astra_VR200_Lo_Hi" vbProcedure="false">Alloc!$C$377</definedName>
    <definedName function="false" hidden="false" name="RNG_L1_RLshare_Astra_VR200_Lo_Lo" vbProcedure="false">Alloc!$C$375</definedName>
    <definedName function="false" hidden="false" name="RNG_L1_RLshare_Sol_VR200_Hi" vbProcedure="false">Alloc!$C$380</definedName>
    <definedName function="false" hidden="false" name="RNG_L1_RLshare_Sol_VR200_Hi_Hi" vbProcedure="false">Alloc!$C$383</definedName>
    <definedName function="false" hidden="false" name="RNG_L1_RLshare_Sol_VR200_Hi_Lo" vbProcedure="false">Alloc!$C$381</definedName>
    <definedName function="false" hidden="false" name="RNG_L1_RLshare_Sol_VR200_Lo" vbProcedure="false">Alloc!$C$378</definedName>
    <definedName function="false" hidden="false" name="RNG_L1_RLshare_Sol_VR200_Lo_Hi" vbProcedure="false">Alloc!$C$386</definedName>
    <definedName function="false" hidden="false" name="RNG_L1_RLshare_Sol_VR200_Lo_Lo" vbProcedure="false">Alloc!$C$384</definedName>
    <definedName function="false" hidden="false" name="RNG_L1_ScaleRD_Hi" vbProcedure="false">Alloc!$C$389</definedName>
    <definedName function="false" hidden="false" name="RNG_L1_ScaleRD_Hi_Hi" vbProcedure="false">Alloc!$C$392</definedName>
    <definedName function="false" hidden="false" name="RNG_L1_ScaleRD_Hi_Lo" vbProcedure="false">Alloc!$C$390</definedName>
    <definedName function="false" hidden="false" name="RNG_L1_ScaleRD_Lo" vbProcedure="false">Alloc!$C$387</definedName>
    <definedName function="false" hidden="false" name="RNG_L1_ScaleRD_Lo_Hi" vbProcedure="false">Alloc!$C$395</definedName>
    <definedName function="false" hidden="false" name="RNG_L1_ScaleRD_Lo_Lo" vbProcedure="false">Alloc!$C$393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C_PRC_047" vbProcedure="false">SRC_Price!$C$51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<sst xmlns="http://schemas.openxmlformats.org/spreadsheetml/2006/main" count="41817" uniqueCount="12963">
  <si>
    <r>
      <rPr>
        <b val="true"/>
        <sz val="13"/>
        <rFont val="Arial"/>
        <family val="0"/>
        <charset val="1"/>
      </rPr>
      <t xml:space="preserve">Tokenomics v15.0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</si>
  <si>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</si>
  <si>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</si>
  <si>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</si>
  <si>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</si>
  <si>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20261017_Tokenomics_v15.0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外部對照換算同一單位；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守衛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B20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Y9 </t>
    </r>
    <r>
      <rPr>
        <sz val="10"/>
        <color rgb="FF000000"/>
        <rFont val="Noto Sans CJK SC"/>
        <family val="2"/>
      </rPr>
      <t xml:space="preserve">敏感度端點、</t>
    </r>
    <r>
      <rPr>
        <sz val="10"/>
        <color rgb="FF000000"/>
        <rFont val="Arial"/>
        <family val="0"/>
        <charset val="1"/>
      </rPr>
      <t xml:space="preserve">F16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22 → 21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哨兵列；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自測、非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結果）；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個名稱）；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v14.2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列）各欄比照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該列單價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）；低端欄 </t>
    </r>
    <r>
      <rPr>
        <sz val="10"/>
        <color rgb="FF000000"/>
        <rFont val="Arial"/>
        <family val="0"/>
        <charset val="1"/>
      </rPr>
      <t xml:space="preserve">P25Lo 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P25Hi 0.1066 → 0.1249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三端與其他名稱不變）；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工程小項；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</si>
  <si>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</si>
  <si>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</si>
  <si>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</si>
  <si>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</si>
  <si>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</si>
  <si>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</si>
  <si>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</si>
  <si>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</si>
  <si>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</si>
  <si>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</si>
  <si>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</si>
  <si>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</si>
  <si>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</si>
  <si>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</si>
  <si>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</si>
  <si>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</si>
  <si>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</si>
  <si>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</si>
  <si>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</si>
  <si>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</si>
  <si>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</si>
  <si>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</si>
  <si>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</si>
  <si>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</si>
  <si>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</si>
  <si>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</si>
  <si>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</si>
  <si>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</si>
  <si>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</si>
  <si>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</si>
  <si>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</si>
  <si>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</si>
  <si>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</si>
  <si>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</si>
  <si>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</si>
  <si>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</si>
  <si>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</si>
  <si>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</si>
  <si>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</si>
  <si>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</si>
  <si>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</si>
  <si>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</si>
  <si>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</si>
  <si>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</si>
  <si>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</si>
  <si>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</si>
  <si>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</si>
  <si>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</si>
  <si>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</si>
  <si>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</si>
  <si>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</si>
  <si>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</si>
  <si>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</si>
  <si>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</si>
  <si>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</si>
  <si>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</si>
  <si>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</si>
  <si>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</si>
  <si>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</si>
  <si>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</si>
  <si>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</si>
  <si>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</si>
  <si>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</si>
  <si>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</si>
  <si>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</si>
  <si>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</si>
  <si>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</si>
  <si>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</si>
  <si>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</si>
  <si>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</si>
  <si>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</si>
  <si>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</si>
  <si>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</si>
  <si>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</si>
  <si>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</si>
  <si>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</si>
  <si>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</si>
  <si>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</si>
  <si>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</si>
  <si>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</si>
  <si>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</si>
  <si>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</si>
  <si>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</si>
  <si>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</si>
  <si>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</si>
  <si>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</si>
  <si>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</si>
  <si>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</si>
  <si>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</si>
  <si>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</si>
  <si>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</si>
  <si>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</si>
  <si>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</si>
  <si>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</si>
  <si>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</si>
  <si>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</si>
  <si>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</si>
  <si>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</si>
  <si>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</si>
  <si>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</si>
  <si>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v14.2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</si>
  <si>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v14.1 R1 </t>
    </r>
    <r>
      <rPr>
        <sz val="10"/>
        <color rgb="FF000000"/>
        <rFont val="Noto Sans CJK SC"/>
        <family val="2"/>
      </rPr>
      <t xml:space="preserve">截在同欄同單價下限（低端欄 </t>
    </r>
    <r>
      <rPr>
        <sz val="10"/>
        <color rgb="FF000000"/>
        <rFont val="Arial"/>
        <family val="0"/>
        <charset val="1"/>
      </rPr>
      <t xml:space="preserve">0.3535 → 0.4141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0.1066 → 0.1249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標籤清空。細節見 </t>
    </r>
    <r>
      <rPr>
        <sz val="10"/>
        <color rgb="FF000000"/>
        <rFont val="Arial"/>
        <family val="0"/>
        <charset val="1"/>
      </rPr>
      <t xml:space="preserve">Decisions SL45-*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</si>
  <si>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v15.0 </t>
    </r>
    <r>
      <rPr>
        <b val="true"/>
        <sz val="10"/>
        <rFont val="Noto Sans CJK SC"/>
        <family val="2"/>
      </rPr>
      <t xml:space="preserve">稽核結案</t>
    </r>
  </si>
  <si>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依預設結案：推論支出區間 </t>
    </r>
    <r>
      <rPr>
        <sz val="10"/>
        <color rgb="FF000000"/>
        <rFont val="Arial"/>
        <family val="0"/>
        <charset val="1"/>
      </rPr>
      <t xml:space="preserve">RNG_Dem004_*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批次倍數區間（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個名稱）、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外部對照換算同一單位、</t>
    </r>
    <r>
      <rPr>
        <sz val="10"/>
        <color rgb="FF000000"/>
        <rFont val="Arial"/>
        <family val="0"/>
        <charset val="1"/>
      </rPr>
      <t xml:space="preserve">IF_FrontSuccVRQual </t>
    </r>
    <r>
      <rPr>
        <sz val="10"/>
        <color rgb="FF000000"/>
        <rFont val="Noto Sans CJK SC"/>
        <family val="2"/>
      </rPr>
      <t xml:space="preserve">守衛、</t>
    </r>
    <r>
      <rPr>
        <sz val="10"/>
        <color rgb="FF000000"/>
        <rFont val="Arial"/>
        <family val="0"/>
        <charset val="1"/>
      </rPr>
      <t xml:space="preserve">V16 </t>
    </r>
    <r>
      <rPr>
        <sz val="10"/>
        <color rgb="FF000000"/>
        <rFont val="Noto Sans CJK SC"/>
        <family val="2"/>
      </rPr>
      <t xml:space="preserve">改標恆等式（驗證計數 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來源更正、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推導區塊。基準值不變。細節見 </t>
    </r>
    <r>
      <rPr>
        <sz val="10"/>
        <color rgb="FF000000"/>
        <rFont val="Arial"/>
        <family val="0"/>
        <charset val="1"/>
      </rPr>
      <t xml:space="preserve">Decisions SL46-*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</si>
  <si>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</si>
  <si>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</si>
  <si>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</si>
  <si>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</si>
  <si>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</si>
  <si>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</si>
  <si>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</si>
  <si>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</si>
  <si>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</si>
  <si>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</si>
  <si>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</si>
  <si>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</si>
  <si>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</si>
  <si>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</si>
  <si>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</si>
  <si>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</si>
  <si>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</si>
  <si>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</si>
  <si>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</si>
  <si>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</si>
  <si>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</si>
  <si>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</si>
  <si>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</si>
  <si>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</si>
  <si>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</si>
  <si>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</si>
  <si>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</si>
  <si>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</si>
  <si>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</si>
  <si>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</si>
  <si>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</si>
  <si>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</si>
  <si>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</si>
  <si>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</si>
  <si>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</si>
  <si>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</si>
  <si>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</si>
  <si>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</si>
  <si>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</si>
  <si>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</si>
  <si>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</si>
  <si>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</si>
  <si>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</si>
  <si>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</si>
  <si>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</si>
  <si>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</si>
  <si>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</si>
  <si>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</si>
  <si>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</si>
  <si>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</si>
  <si>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</si>
  <si>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</si>
  <si>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</si>
  <si>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</si>
  <si>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</si>
  <si>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</si>
  <si>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</si>
  <si>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</si>
  <si>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</si>
  <si>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</si>
  <si>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</si>
  <si>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</si>
  <si>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</si>
  <si>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</si>
  <si>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</si>
  <si>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</si>
  <si>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</si>
  <si>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</si>
  <si>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</si>
  <si>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</si>
  <si>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</si>
  <si>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</si>
  <si>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</si>
  <si>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</si>
  <si>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</si>
  <si>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</si>
  <si>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</si>
  <si>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</si>
  <si>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</si>
  <si>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</si>
  <si>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</si>
  <si>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</si>
  <si>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</si>
  <si>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</si>
  <si>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</si>
  <si>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</si>
  <si>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</si>
  <si>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</si>
  <si>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</si>
  <si>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</si>
  <si>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</si>
  <si>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</si>
  <si>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</si>
  <si>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</si>
  <si>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</si>
  <si>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</si>
  <si>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</si>
  <si>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</si>
  <si>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</si>
  <si>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</si>
  <si>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</si>
  <si>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</si>
  <si>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</si>
  <si>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</si>
  <si>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</si>
  <si>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</si>
  <si>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</si>
  <si>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</si>
  <si>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</si>
  <si>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</si>
  <si>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</si>
  <si>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</si>
  <si>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</si>
  <si>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</si>
  <si>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</si>
  <si>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</si>
  <si>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</si>
  <si>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</si>
  <si>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</si>
  <si>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</si>
  <si>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</si>
  <si>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</si>
  <si>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</si>
  <si>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</si>
  <si>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</si>
  <si>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</si>
  <si>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</si>
  <si>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</si>
  <si>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</si>
  <si>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</si>
  <si>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</si>
  <si>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</si>
  <si>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</si>
  <si>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</si>
  <si>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</si>
  <si>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</si>
  <si>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</si>
  <si>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</si>
  <si>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</si>
  <si>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</si>
  <si>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</si>
  <si>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</si>
  <si>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</si>
  <si>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</si>
  <si>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</si>
  <si>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</si>
  <si>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</si>
  <si>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</si>
  <si>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</si>
  <si>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</si>
  <si>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</si>
  <si>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</si>
  <si>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</si>
  <si>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</si>
  <si>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</si>
  <si>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</si>
  <si>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</si>
  <si>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</si>
  <si>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</si>
  <si>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</si>
  <si>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</si>
  <si>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</si>
  <si>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</si>
  <si>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</si>
  <si>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</si>
  <si>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</si>
  <si>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</si>
  <si>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</si>
  <si>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</si>
  <si>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</si>
  <si>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</si>
  <si>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</si>
  <si>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</si>
  <si>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</si>
  <si>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</si>
  <si>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</si>
  <si>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</si>
  <si>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</si>
  <si>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</si>
  <si>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</si>
  <si>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</si>
  <si>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</si>
  <si>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</si>
  <si>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</si>
  <si>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</si>
  <si>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</si>
  <si>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</si>
  <si>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</si>
  <si>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</si>
  <si>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</si>
  <si>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</si>
  <si>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</si>
  <si>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</si>
  <si>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</si>
  <si>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</si>
  <si>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</si>
  <si>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</si>
  <si>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</si>
  <si>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</si>
  <si>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</si>
  <si>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</si>
  <si>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</si>
  <si>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</si>
  <si>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</si>
  <si>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</si>
  <si>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</si>
  <si>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</si>
  <si>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</si>
  <si>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</si>
  <si>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</si>
  <si>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</si>
  <si>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</si>
  <si>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</si>
  <si>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</si>
  <si>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</si>
  <si>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</si>
  <si>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</si>
  <si>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</si>
  <si>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</si>
  <si>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</si>
  <si>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</si>
  <si>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</si>
  <si>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</si>
  <si>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</si>
  <si>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</si>
  <si>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</si>
  <si>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</si>
  <si>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</si>
  <si>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</si>
  <si>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</si>
  <si>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</si>
  <si>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</si>
  <si>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</si>
  <si>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</si>
  <si>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</si>
  <si>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</si>
  <si>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</si>
  <si>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</si>
  <si>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</si>
  <si>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</si>
  <si>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</si>
  <si>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</si>
  <si>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</si>
  <si>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</si>
  <si>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</si>
  <si>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</si>
  <si>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</si>
  <si>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</si>
  <si>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</si>
  <si>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</si>
  <si>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</si>
  <si>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</si>
  <si>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</si>
  <si>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</si>
  <si>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</si>
  <si>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</si>
  <si>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</si>
  <si>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</si>
  <si>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</si>
  <si>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</si>
  <si>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</si>
  <si>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</si>
  <si>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</si>
  <si>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</si>
  <si>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</si>
  <si>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</si>
  <si>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</si>
  <si>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</si>
  <si>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</si>
  <si>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</si>
  <si>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</si>
  <si>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</si>
  <si>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</si>
  <si>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</si>
  <si>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</si>
  <si>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</si>
  <si>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</si>
  <si>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</si>
  <si>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</si>
  <si>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</si>
  <si>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</si>
  <si>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</si>
  <si>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</si>
  <si>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</si>
  <si>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</si>
  <si>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</si>
  <si>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</si>
  <si>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</si>
  <si>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</si>
  <si>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</si>
  <si>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</si>
  <si>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</si>
  <si>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</si>
  <si>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</si>
  <si>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</si>
  <si>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</si>
  <si>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</si>
  <si>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</si>
  <si>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</si>
  <si>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</si>
  <si>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</si>
  <si>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</si>
  <si>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</si>
  <si>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</si>
  <si>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</si>
  <si>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</si>
  <si>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</si>
  <si>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</si>
  <si>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</si>
  <si>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</si>
  <si>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</si>
  <si>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</si>
  <si>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</si>
  <si>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</si>
  <si>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</si>
  <si>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</si>
  <si>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</si>
  <si>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</si>
  <si>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</si>
  <si>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</si>
  <si>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</si>
  <si>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</si>
  <si>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</si>
  <si>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</si>
  <si>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</si>
  <si>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</si>
  <si>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</si>
  <si>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</si>
  <si>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</si>
  <si>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</si>
  <si>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</si>
  <si>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</si>
  <si>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</si>
  <si>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</si>
  <si>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</si>
  <si>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</si>
  <si>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</si>
  <si>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</si>
  <si>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</si>
  <si>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</si>
  <si>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</si>
  <si>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</si>
  <si>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</si>
  <si>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</si>
  <si>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</si>
  <si>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</si>
  <si>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</si>
  <si>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</si>
  <si>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</si>
  <si>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</si>
  <si>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</si>
  <si>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</si>
  <si>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</si>
  <si>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</si>
  <si>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</si>
  <si>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</si>
  <si>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</si>
  <si>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</si>
  <si>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</si>
  <si>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</si>
  <si>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</si>
  <si>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</si>
  <si>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</si>
  <si>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</si>
  <si>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</si>
  <si>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</si>
  <si>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</si>
  <si>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</si>
  <si>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</si>
  <si>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</si>
  <si>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</si>
  <si>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</si>
  <si>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</si>
  <si>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</si>
  <si>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</si>
  <si>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</si>
  <si>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</si>
  <si>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</si>
  <si>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</si>
  <si>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</si>
  <si>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</si>
  <si>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</si>
  <si>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</si>
  <si>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</si>
  <si>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</si>
  <si>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</si>
  <si>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</si>
  <si>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</si>
  <si>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</si>
  <si>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</si>
  <si>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</si>
  <si>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</si>
  <si>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</si>
  <si>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</si>
  <si>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</si>
  <si>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</si>
  <si>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</si>
  <si>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</si>
  <si>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</si>
  <si>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</si>
  <si>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</si>
  <si>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</si>
  <si>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</si>
  <si>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</si>
  <si>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</si>
  <si>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</si>
  <si>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</si>
  <si>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</si>
  <si>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</si>
  <si>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</si>
  <si>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</si>
  <si>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</si>
  <si>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</si>
  <si>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</si>
  <si>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</si>
  <si>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</si>
  <si>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</si>
  <si>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</si>
  <si>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</si>
  <si>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</si>
  <si>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</si>
  <si>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</si>
  <si>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</si>
  <si>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</si>
  <si>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</si>
  <si>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</si>
  <si>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</si>
  <si>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</si>
  <si>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</si>
  <si>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</si>
  <si>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</si>
  <si>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</si>
  <si>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</si>
  <si>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</si>
  <si>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</si>
  <si>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</si>
  <si>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</si>
  <si>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</si>
  <si>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</si>
  <si>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</si>
  <si>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</si>
  <si>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</si>
  <si>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</si>
  <si>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</si>
  <si>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</si>
  <si>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</si>
  <si>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</si>
  <si>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</si>
  <si>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</si>
  <si>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</si>
  <si>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</si>
  <si>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</si>
  <si>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</si>
  <si>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</si>
  <si>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</si>
  <si>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</si>
  <si>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</si>
  <si>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</si>
  <si>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</si>
  <si>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</si>
  <si>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</si>
  <si>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</si>
  <si>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</si>
  <si>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</si>
  <si>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</si>
  <si>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</si>
  <si>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</si>
  <si>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</si>
  <si>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</si>
  <si>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</si>
  <si>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</si>
  <si>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</si>
  <si>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</si>
  <si>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</si>
  <si>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</si>
  <si>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</si>
  <si>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</si>
  <si>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</si>
  <si>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</si>
  <si>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</si>
  <si>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</si>
  <si>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</si>
  <si>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</si>
  <si>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</si>
  <si>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</si>
  <si>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</si>
  <si>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</si>
  <si>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</si>
  <si>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</si>
  <si>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</si>
  <si>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</si>
  <si>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</si>
  <si>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</si>
  <si>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</si>
  <si>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</si>
  <si>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</si>
  <si>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</si>
  <si>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</si>
  <si>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</si>
  <si>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</si>
  <si>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</si>
  <si>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</si>
  <si>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</si>
  <si>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吞吐為保守下界（獨立對照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顯示模型約為實測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Hopper η </t>
    </r>
    <r>
      <rPr>
        <sz val="9"/>
        <color rgb="FF595959"/>
        <rFont val="Noto Sans CJK SC"/>
        <family val="2"/>
      </rPr>
      <t xml:space="preserve">倍數無獨立依據，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）；對外引用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欄請標『保守下界』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</si>
  <si>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</si>
  <si>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</si>
  <si>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</si>
  <si>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</si>
  <si>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</si>
  <si>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</si>
  <si>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</si>
  <si>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</si>
  <si>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</si>
  <si>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</si>
  <si>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</si>
  <si>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</si>
  <si>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</si>
  <si>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</si>
  <si>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</si>
  <si>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</si>
  <si>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</si>
  <si>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</si>
  <si>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</si>
  <si>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</si>
  <si>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</si>
  <si>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</si>
  <si>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</si>
  <si>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</si>
  <si>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</si>
  <si>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</si>
  <si>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</si>
  <si>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</si>
  <si>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</si>
  <si>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</si>
  <si>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</si>
  <si>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</si>
  <si>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</si>
  <si>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</si>
  <si>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</si>
  <si>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</si>
  <si>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</si>
  <si>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</si>
  <si>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</si>
  <si>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</si>
  <si>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</si>
  <si>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</si>
  <si>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</si>
  <si>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</si>
  <si>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</si>
  <si>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</si>
  <si>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</si>
  <si>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</si>
  <si>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</si>
  <si>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</si>
  <si>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</si>
  <si>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</si>
  <si>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</si>
  <si>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</si>
  <si>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</si>
  <si>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</si>
  <si>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</si>
  <si>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</si>
  <si>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</si>
  <si>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</si>
  <si>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</si>
  <si>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</si>
  <si>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</si>
  <si>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</si>
  <si>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</si>
  <si>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</si>
  <si>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</si>
  <si>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</si>
  <si>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</si>
  <si>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</si>
  <si>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</si>
  <si>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</si>
  <si>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</si>
  <si>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</si>
  <si>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</si>
  <si>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</si>
  <si>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</si>
  <si>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</si>
  <si>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 DGX H200</t>
    </r>
    <r>
      <rPr>
        <sz val="9"/>
        <color rgb="FF595959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</si>
  <si>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v15.0 </t>
    </r>
    <r>
      <rPr>
        <sz val="11"/>
        <color theme="1"/>
        <rFont val="Noto Sans CJK SC"/>
        <family val="2"/>
      </rPr>
      <t xml:space="preserve">更正（修訂九，</t>
    </r>
    <r>
      <rPr>
        <sz val="11"/>
        <color theme="1"/>
        <rFont val="Calibri"/>
        <family val="2"/>
        <charset val="1"/>
      </rPr>
      <t xml:space="preserve">Decisions SL46-23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G121 </t>
    </r>
    <r>
      <rPr>
        <sz val="11"/>
        <color theme="1"/>
        <rFont val="Noto Sans CJK SC"/>
        <family val="2"/>
      </rPr>
      <t xml:space="preserve">原文＝『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稽核）／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提交（</t>
    </r>
    <r>
      <rPr>
        <sz val="11"/>
        <color theme="1"/>
        <rFont val="Calibri"/>
        <family val="2"/>
        <charset val="1"/>
      </rPr>
      <t xml:space="preserve">v5.1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3A </t>
    </r>
    <r>
      <rPr>
        <sz val="11"/>
        <color theme="1"/>
        <rFont val="Noto Sans CJK SC"/>
        <family val="2"/>
      </rPr>
      <t xml:space="preserve">查證轉引）』；</t>
    </r>
    <r>
      <rPr>
        <sz val="11"/>
        <color theme="1"/>
        <rFont val="Calibri"/>
        <family val="2"/>
        <charset val="1"/>
      </rPr>
      <t xml:space="preserve">SRC_PERF_060 </t>
    </r>
    <r>
      <rPr>
        <sz val="11"/>
        <color theme="1"/>
        <rFont val="Noto Sans CJK SC"/>
        <family val="2"/>
      </rPr>
      <t xml:space="preserve">實為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自測值，非 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稽核結果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</si>
  <si>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</si>
  <si>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</si>
  <si>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</si>
  <si>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</si>
  <si>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</si>
  <si>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</si>
  <si>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</si>
  <si>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</si>
  <si>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</si>
  <si>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</si>
  <si>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</si>
  <si>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</si>
  <si>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</si>
  <si>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</si>
  <si>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</si>
  <si>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</si>
  <si>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</si>
  <si>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</si>
  <si>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</si>
  <si>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</si>
  <si>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</si>
  <si>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</si>
  <si>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</si>
  <si>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</si>
  <si>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</si>
  <si>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</si>
  <si>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</si>
  <si>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</si>
  <si>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</si>
  <si>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</si>
  <si>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</si>
  <si>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</si>
  <si>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</si>
  <si>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</si>
  <si>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</si>
  <si>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</si>
  <si>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</si>
  <si>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</si>
  <si>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</si>
  <si>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</si>
  <si>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</si>
  <si>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</si>
  <si>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</si>
  <si>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</si>
  <si>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</si>
  <si>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</si>
  <si>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</si>
  <si>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</si>
  <si>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</si>
  <si>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</si>
  <si>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</si>
  <si>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</si>
  <si>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</si>
  <si>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</si>
  <si>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</si>
  <si>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</si>
  <si>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</si>
  <si>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</si>
  <si>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</si>
  <si>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</si>
  <si>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</si>
  <si>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</si>
  <si>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</si>
  <si>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</si>
  <si>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</si>
  <si>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</si>
  <si>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</si>
  <si>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</si>
  <si>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</si>
  <si>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</si>
  <si>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</si>
  <si>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</si>
  <si>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</si>
  <si>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</si>
  <si>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</si>
  <si>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</si>
  <si>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</si>
  <si>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</si>
  <si>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</si>
  <si>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</si>
  <si>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</si>
  <si>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</si>
  <si>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</si>
  <si>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</si>
  <si>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</si>
  <si>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</si>
  <si>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</si>
  <si>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</si>
  <si>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</si>
  <si>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</si>
  <si>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</si>
  <si>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</si>
  <si>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</si>
  <si>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</si>
  <si>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</si>
  <si>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</si>
  <si>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</si>
  <si>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</si>
  <si>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</si>
  <si>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</si>
  <si>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</si>
  <si>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</si>
  <si>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</si>
  <si>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</si>
  <si>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</si>
  <si>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</si>
  <si>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</si>
  <si>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</si>
  <si>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</si>
  <si>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</si>
  <si>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</si>
  <si>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</si>
  <si>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</si>
  <si>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</si>
  <si>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</si>
  <si>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</si>
  <si>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</si>
  <si>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</si>
  <si>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</si>
  <si>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</si>
  <si>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</si>
  <si>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</si>
  <si>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</si>
  <si>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</si>
  <si>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</si>
  <si>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</si>
  <si>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</si>
  <si>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</si>
  <si>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</si>
  <si>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</si>
  <si>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</si>
  <si>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</si>
  <si>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</si>
  <si>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</si>
  <si>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</si>
  <si>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</si>
  <si>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</si>
  <si>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</si>
  <si>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</si>
  <si>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</si>
  <si>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</si>
  <si>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</si>
  <si>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</si>
  <si>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</si>
  <si>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</si>
  <si>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</si>
  <si>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</si>
  <si>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</si>
  <si>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</si>
  <si>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</si>
  <si>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</si>
  <si>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</si>
  <si>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</si>
  <si>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</si>
  <si>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</si>
  <si>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</si>
  <si>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</si>
  <si>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</si>
  <si>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</si>
  <si>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</si>
  <si>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</si>
  <si>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</si>
  <si>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</si>
  <si>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</si>
  <si>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</si>
  <si>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</si>
  <si>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</si>
  <si>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</si>
  <si>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</si>
  <si>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</si>
  <si>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</si>
  <si>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</si>
  <si>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</si>
  <si>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</si>
  <si>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</si>
  <si>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</si>
  <si>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</si>
  <si>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</si>
  <si>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</si>
  <si>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</si>
  <si>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</si>
  <si>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</si>
  <si>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</si>
  <si>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</si>
  <si>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</si>
  <si>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</si>
  <si>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</si>
  <si>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</si>
  <si>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</si>
  <si>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</si>
  <si>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</si>
  <si>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</si>
  <si>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</si>
  <si>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</si>
  <si>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</si>
  <si>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</si>
  <si>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</si>
  <si>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</si>
  <si>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</si>
  <si>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</si>
  <si>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</si>
  <si>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</si>
  <si>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</si>
  <si>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</si>
  <si>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</si>
  <si>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</si>
  <si>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</si>
  <si>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</si>
  <si>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</si>
  <si>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</si>
  <si>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</si>
  <si>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</si>
  <si>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</si>
  <si>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</si>
  <si>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</si>
  <si>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</si>
  <si>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</si>
  <si>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</si>
  <si>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</si>
  <si>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</si>
  <si>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</si>
  <si>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</si>
  <si>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</si>
  <si>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</si>
  <si>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</si>
  <si>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</si>
  <si>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</si>
  <si>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</si>
  <si>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</si>
  <si>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</si>
  <si>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</si>
  <si>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</si>
  <si>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</si>
  <si>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</si>
  <si>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</si>
  <si>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</si>
  <si>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</si>
  <si>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</si>
  <si>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</si>
  <si>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</si>
  <si>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</si>
  <si>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</si>
  <si>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</si>
  <si>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</si>
  <si>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</si>
  <si>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</si>
  <si>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</si>
  <si>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</si>
  <si>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</si>
  <si>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</si>
  <si>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</si>
  <si>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</si>
  <si>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</si>
  <si>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</si>
  <si>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</si>
  <si>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</si>
  <si>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</si>
  <si>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</si>
  <si>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</si>
  <si>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</si>
  <si>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</si>
  <si>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</si>
  <si>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</si>
  <si>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</si>
  <si>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</si>
  <si>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</si>
  <si>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</si>
  <si>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</si>
  <si>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</si>
  <si>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</si>
  <si>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</si>
  <si>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</si>
  <si>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</si>
  <si>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</si>
  <si>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</si>
  <si>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</si>
  <si>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</si>
  <si>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</si>
  <si>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</si>
  <si>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</si>
  <si>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</si>
  <si>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</si>
  <si>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</si>
  <si>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</si>
  <si>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</si>
  <si>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</si>
  <si>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</si>
  <si>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</si>
  <si>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</si>
  <si>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</si>
  <si>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</si>
  <si>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</si>
  <si>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</si>
  <si>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</si>
  <si>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</si>
  <si>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</si>
  <si>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</si>
  <si>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</si>
  <si>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</si>
  <si>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</si>
  <si>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</si>
  <si>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</si>
  <si>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</si>
  <si>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</si>
  <si>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</si>
  <si>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</si>
  <si>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</si>
  <si>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</si>
  <si>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</si>
  <si>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</si>
  <si>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</si>
  <si>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</si>
  <si>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</si>
  <si>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</si>
  <si>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</si>
  <si>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</si>
  <si>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</si>
  <si>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</si>
  <si>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</si>
  <si>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</si>
  <si>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</si>
  <si>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</si>
  <si>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</si>
  <si>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</si>
  <si>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</si>
  <si>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</si>
  <si>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</si>
  <si>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</si>
  <si>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</si>
  <si>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</si>
  <si>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</si>
  <si>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</si>
  <si>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</si>
  <si>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</si>
  <si>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</si>
  <si>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</si>
  <si>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</si>
  <si>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</si>
  <si>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</si>
  <si>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</si>
  <si>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</si>
  <si>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</si>
  <si>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</si>
  <si>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</si>
  <si>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</si>
  <si>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</si>
  <si>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</si>
  <si>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</si>
  <si>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</si>
  <si>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</si>
  <si>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</si>
  <si>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</si>
  <si>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</si>
  <si>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</si>
  <si>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</si>
  <si>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</si>
  <si>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</si>
  <si>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</si>
  <si>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</si>
  <si>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</si>
  <si>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</si>
  <si>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</si>
  <si>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</si>
  <si>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</si>
  <si>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</si>
  <si>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</si>
  <si>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</si>
  <si>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</si>
  <si>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</si>
  <si>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</si>
  <si>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</si>
  <si>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</si>
  <si>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</si>
  <si>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</si>
  <si>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</si>
  <si>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</si>
  <si>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</si>
  <si>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</si>
  <si>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</si>
  <si>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</si>
  <si>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</si>
  <si>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</si>
  <si>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</si>
  <si>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</si>
  <si>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</si>
  <si>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</si>
  <si>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</si>
  <si>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</si>
  <si>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</si>
  <si>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</si>
  <si>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</si>
  <si>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</si>
  <si>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</si>
  <si>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</si>
  <si>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</si>
  <si>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</si>
  <si>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</si>
  <si>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</si>
  <si>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</si>
  <si>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</si>
  <si>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</si>
  <si>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</si>
  <si>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</si>
  <si>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</si>
  <si>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</si>
  <si>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</si>
  <si>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</si>
  <si>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</si>
  <si>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</si>
  <si>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</si>
  <si>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</si>
  <si>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</si>
  <si>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</si>
  <si>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</si>
  <si>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</si>
  <si>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</si>
  <si>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</si>
  <si>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</si>
  <si>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</si>
  <si>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</si>
  <si>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</si>
  <si>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</si>
  <si>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</si>
  <si>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</si>
  <si>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</si>
  <si>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</si>
  <si>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</si>
  <si>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</si>
  <si>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</si>
  <si>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</si>
  <si>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</si>
  <si>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</si>
  <si>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</si>
  <si>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</si>
  <si>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</si>
  <si>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</si>
  <si>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</si>
  <si>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</si>
  <si>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</si>
  <si>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</si>
  <si>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</si>
  <si>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</si>
  <si>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</si>
  <si>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</si>
  <si>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</si>
  <si>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</si>
  <si>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</si>
  <si>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</si>
  <si>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</si>
  <si>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</si>
  <si>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</si>
  <si>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</si>
  <si>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</si>
  <si>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</si>
  <si>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</si>
  <si>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</si>
  <si>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</si>
  <si>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</si>
  <si>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</si>
  <si>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</si>
  <si>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</si>
  <si>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</si>
  <si>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</si>
  <si>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</si>
  <si>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</si>
  <si>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</si>
  <si>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</si>
  <si>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</si>
  <si>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</si>
  <si>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</si>
  <si>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</si>
  <si>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</si>
  <si>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</si>
  <si>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</si>
  <si>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</si>
  <si>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</si>
  <si>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</si>
  <si>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</si>
  <si>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</si>
  <si>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</si>
  <si>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</si>
  <si>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</si>
  <si>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</si>
  <si>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</si>
  <si>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</si>
  <si>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</si>
  <si>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</si>
  <si>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</si>
  <si>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</si>
  <si>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</si>
  <si>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</si>
  <si>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</si>
  <si>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</si>
  <si>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</si>
  <si>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</si>
  <si>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</si>
  <si>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</si>
  <si>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</si>
  <si>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</si>
  <si>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</si>
  <si>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</si>
  <si>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</si>
  <si>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</si>
  <si>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</si>
  <si>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</si>
  <si>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</si>
  <si>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</si>
  <si>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</si>
  <si>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</si>
  <si>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</si>
  <si>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</si>
  <si>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</si>
  <si>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</si>
  <si>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</si>
  <si>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</si>
  <si>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</si>
  <si>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</si>
  <si>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</si>
  <si>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</si>
  <si>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</si>
  <si>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</si>
  <si>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</si>
  <si>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</si>
  <si>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</si>
  <si>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</si>
  <si>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</si>
  <si>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</si>
  <si>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</si>
  <si>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</si>
  <si>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</si>
  <si>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</si>
  <si>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</si>
  <si>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</si>
  <si>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</si>
  <si>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</si>
  <si>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</si>
  <si>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</si>
  <si>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</si>
  <si>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</si>
  <si>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</si>
  <si>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</si>
  <si>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</si>
  <si>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</si>
  <si>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</si>
  <si>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</si>
  <si>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</si>
  <si>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</si>
  <si>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</si>
  <si>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</si>
  <si>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</si>
  <si>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</si>
  <si>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</si>
  <si>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</si>
  <si>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</si>
  <si>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</si>
  <si>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</si>
  <si>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</si>
  <si>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</si>
  <si>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</si>
  <si>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</si>
  <si>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</si>
  <si>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</si>
  <si>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</si>
  <si>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</si>
  <si>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</si>
  <si>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</si>
  <si>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</si>
  <si>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</si>
  <si>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</si>
  <si>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</si>
  <si>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</si>
  <si>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</si>
  <si>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</si>
  <si>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</si>
  <si>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</si>
  <si>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</si>
  <si>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</si>
  <si>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</si>
  <si>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</si>
  <si>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</si>
  <si>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</si>
  <si>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</si>
  <si>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</si>
  <si>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</si>
  <si>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</si>
  <si>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</si>
  <si>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</si>
  <si>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</si>
  <si>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</si>
  <si>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</si>
  <si>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</si>
  <si>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</si>
  <si>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</si>
  <si>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</si>
  <si>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</si>
  <si>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</si>
  <si>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</si>
  <si>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</si>
  <si>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</si>
  <si>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</si>
  <si>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</si>
  <si>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</si>
  <si>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</si>
  <si>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</si>
  <si>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</si>
  <si>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</si>
  <si>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</si>
  <si>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</si>
  <si>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</si>
  <si>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</si>
  <si>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</si>
  <si>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</si>
  <si>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</si>
  <si>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</si>
  <si>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</si>
  <si>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</si>
  <si>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</si>
  <si>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</si>
  <si>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</si>
  <si>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</si>
  <si>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</si>
  <si>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</si>
  <si>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</si>
  <si>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</si>
  <si>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</si>
  <si>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</si>
  <si>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</si>
  <si>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</si>
  <si>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</si>
  <si>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</si>
  <si>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</si>
  <si>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</si>
  <si>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</si>
  <si>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</si>
  <si>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</si>
  <si>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</si>
  <si>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</si>
  <si>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口徑：本列『推論型』標籤下以 </t>
    </r>
    <r>
      <rPr>
        <sz val="11"/>
        <color theme="1"/>
        <rFont val="Calibri"/>
        <family val="2"/>
        <charset val="1"/>
      </rPr>
      <t xml:space="preserve">trainer GPU </t>
    </r>
    <r>
      <rPr>
        <sz val="11"/>
        <color theme="1"/>
        <rFont val="Noto Sans CJK SC"/>
        <family val="2"/>
      </rPr>
      <t xml:space="preserve">小時 </t>
    </r>
    <r>
      <rPr>
        <sz val="11"/>
        <color theme="1"/>
        <rFont val="Calibri"/>
        <family val="2"/>
        <charset val="1"/>
      </rPr>
      <t xml:space="preserve">÷ 3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折回前向）計價，與第 </t>
    </r>
    <r>
      <rPr>
        <sz val="11"/>
        <color theme="1"/>
        <rFont val="Calibri"/>
        <family val="2"/>
        <charset val="1"/>
      </rPr>
      <t xml:space="preserve">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列的 </t>
    </r>
    <r>
      <rPr>
        <sz val="11"/>
        <color theme="1"/>
        <rFont val="Calibri"/>
        <family val="2"/>
        <charset val="1"/>
      </rPr>
      <t xml:space="preserve">decode </t>
    </r>
    <r>
      <rPr>
        <sz val="11"/>
        <color theme="1"/>
        <rFont val="Noto Sans CJK SC"/>
        <family val="2"/>
      </rPr>
      <t xml:space="preserve">計價不同口徑；基準為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Train_In C10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關閉），保留不改（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</si>
  <si>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</si>
  <si>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</si>
  <si>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</si>
  <si>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</si>
  <si>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</si>
  <si>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</si>
  <si>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</si>
  <si>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</si>
  <si>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</si>
  <si>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</si>
  <si>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</si>
  <si>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</si>
  <si>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</si>
  <si>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</si>
  <si>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</si>
  <si>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</si>
  <si>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</si>
  <si>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</si>
  <si>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</si>
  <si>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</si>
  <si>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</si>
  <si>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</si>
  <si>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</si>
  <si>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</si>
  <si>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</si>
  <si>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B20 </t>
    </r>
    <r>
      <rPr>
        <sz val="11"/>
        <color theme="1"/>
        <rFont val="Noto Sans CJK SC"/>
        <family val="2"/>
      </rPr>
      <t xml:space="preserve">口徑：本列只計『生成 </t>
    </r>
    <r>
      <rPr>
        <sz val="11"/>
        <color theme="1"/>
        <rFont val="Calibri"/>
        <family val="2"/>
        <charset val="1"/>
      </rPr>
      <t xml:space="preserve">decode</t>
    </r>
    <r>
      <rPr>
        <sz val="11"/>
        <color theme="1"/>
        <rFont val="Noto Sans CJK SC"/>
        <family val="2"/>
      </rPr>
      <t xml:space="preserve">』的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小時（</t>
    </r>
    <r>
      <rPr>
        <sz val="11"/>
        <color theme="1"/>
        <rFont val="Calibri"/>
        <family val="2"/>
        <charset val="1"/>
      </rPr>
      <t xml:space="preserve">Perf_Batch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Noto Sans CJK SC"/>
        <family val="2"/>
      </rPr>
      <t xml:space="preserve">批次下 </t>
    </r>
    <r>
      <rPr>
        <sz val="11"/>
        <color theme="1"/>
        <rFont val="Calibri"/>
        <family val="2"/>
        <charset val="1"/>
      </rPr>
      <t xml:space="preserve">decode GPU </t>
    </r>
    <r>
      <rPr>
        <sz val="11"/>
        <color theme="1"/>
        <rFont val="Noto Sans CJK SC"/>
        <family val="2"/>
      </rPr>
      <t xml:space="preserve">秒／</t>
    </r>
    <r>
      <rPr>
        <sz val="11"/>
        <color theme="1"/>
        <rFont val="Calibri"/>
        <family val="2"/>
        <charset val="1"/>
      </rPr>
      <t xml:space="preserve">M × token</t>
    </r>
    <r>
      <rPr>
        <sz val="11"/>
        <color theme="1"/>
        <rFont val="Noto Sans CJK SC"/>
        <family val="2"/>
      </rPr>
      <t xml:space="preserve">），不含 </t>
    </r>
    <r>
      <rPr>
        <sz val="11"/>
        <color theme="1"/>
        <rFont val="Calibri"/>
        <family val="2"/>
        <charset val="1"/>
      </rPr>
      <t xml:space="preserve">prefill</t>
    </r>
    <r>
      <rPr>
        <sz val="11"/>
        <color theme="1"/>
        <rFont val="Noto Sans CJK SC"/>
        <family val="2"/>
      </rPr>
      <t xml:space="preserve">（提示詞）與參考模型前向；屬推論型計價（不是訓練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計價）。若要含 </t>
    </r>
    <r>
      <rPr>
        <sz val="11"/>
        <color theme="1"/>
        <rFont val="Calibri"/>
        <family val="2"/>
        <charset val="1"/>
      </rPr>
      <t xml:space="preserve">prefill </t>
    </r>
    <r>
      <rPr>
        <sz val="11"/>
        <color theme="1"/>
        <rFont val="Noto Sans CJK SC"/>
        <family val="2"/>
      </rPr>
      <t xml:space="preserve">或改以訓練 </t>
    </r>
    <r>
      <rPr>
        <sz val="11"/>
        <color theme="1"/>
        <rFont val="Calibri"/>
        <family val="2"/>
        <charset val="1"/>
      </rPr>
      <t xml:space="preserve">MFU </t>
    </r>
    <r>
      <rPr>
        <sz val="11"/>
        <color theme="1"/>
        <rFont val="Noto Sans CJK SC"/>
        <family val="2"/>
      </rPr>
      <t xml:space="preserve">計價，會改變數值，列待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判斷（</t>
    </r>
    <r>
      <rPr>
        <sz val="11"/>
        <color theme="1"/>
        <rFont val="Calibri"/>
        <family val="2"/>
        <charset val="1"/>
      </rPr>
      <t xml:space="preserve">Decisions SL46-04</t>
    </r>
    <r>
      <rPr>
        <sz val="11"/>
        <color theme="1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</si>
  <si>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</si>
  <si>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</si>
  <si>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</si>
  <si>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</si>
  <si>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</si>
  <si>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</si>
  <si>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</si>
  <si>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</si>
  <si>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</si>
  <si>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</si>
  <si>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</si>
  <si>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</si>
  <si>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</si>
  <si>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</si>
  <si>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</si>
  <si>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</si>
  <si>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</si>
  <si>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</si>
  <si>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</si>
  <si>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</si>
  <si>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</si>
  <si>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</si>
  <si>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</si>
  <si>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</si>
  <si>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</si>
  <si>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</si>
  <si>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</si>
  <si>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</si>
  <si>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</si>
  <si>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</si>
  <si>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</si>
  <si>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</si>
  <si>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</si>
  <si>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</si>
  <si>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</si>
  <si>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</si>
  <si>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</si>
  <si>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</si>
  <si>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</si>
  <si>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</si>
  <si>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</si>
  <si>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</si>
  <si>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</si>
  <si>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</si>
  <si>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</si>
  <si>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</si>
  <si>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</si>
  <si>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</si>
  <si>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）的比值；</t>
    </r>
    <r>
      <rPr>
        <sz val="9"/>
        <color rgb="FF595959"/>
        <rFont val="Arial"/>
        <family val="0"/>
        <charset val="1"/>
      </rPr>
      <t xml:space="preserve">v15.0 Y9</t>
    </r>
    <r>
      <rPr>
        <sz val="9"/>
        <color rgb="FF595959"/>
        <rFont val="Noto Sans CJK SC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列『預訓練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基準』低／高端由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0.40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區間，</t>
    </r>
    <r>
      <rPr>
        <sz val="9"/>
        <color rgb="FF595959"/>
        <rFont val="Arial"/>
        <family val="0"/>
        <charset val="1"/>
      </rPr>
      <t xml:space="preserve">Andy 2026-10-03 </t>
    </r>
    <r>
      <rPr>
        <sz val="9"/>
        <color rgb="FF595959"/>
        <rFont val="Noto Sans CJK SC"/>
        <family val="2"/>
      </rPr>
      <t xml:space="preserve">確認；原值見 </t>
    </r>
    <r>
      <rPr>
        <sz val="9"/>
        <color rgb="FF595959"/>
        <rFont val="Arial"/>
        <family val="0"/>
        <charset val="1"/>
      </rPr>
      <t xml:space="preserve">Decisions SL46-05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Noto Sans CJK SC"/>
        <family val="2"/>
      </rPr>
      <t xml:space="preserve">折扣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兩列改連結 </t>
    </r>
    <r>
      <rPr>
        <sz val="9"/>
        <color rgb="FF595959"/>
        <rFont val="Arial"/>
        <family val="0"/>
        <charset val="1"/>
      </rPr>
      <t xml:space="preserve">Cap_In D12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，原高端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</si>
  <si>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0.18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</si>
  <si>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0.35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</si>
  <si>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</si>
  <si>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</si>
  <si>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</si>
  <si>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</si>
  <si>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</si>
  <si>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</si>
  <si>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</si>
  <si>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</si>
  <si>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</si>
  <si>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</si>
  <si>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</si>
  <si>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</si>
  <si>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</si>
  <si>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</si>
  <si>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</si>
  <si>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</si>
  <si>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</si>
  <si>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</si>
  <si>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</si>
  <si>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</si>
  <si>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</si>
  <si>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</si>
  <si>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</si>
  <si>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</si>
  <si>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</si>
  <si>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</si>
  <si>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</si>
  <si>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</si>
  <si>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</si>
  <si>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</si>
  <si>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</si>
  <si>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</si>
  <si>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</si>
  <si>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</si>
  <si>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</si>
  <si>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</si>
  <si>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</si>
  <si>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</si>
  <si>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</si>
  <si>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</si>
  <si>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</si>
  <si>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</si>
  <si>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</si>
  <si>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</si>
  <si>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</si>
  <si>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</si>
  <si>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</si>
  <si>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</si>
  <si>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</si>
  <si>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</si>
  <si>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</si>
  <si>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</si>
  <si>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</si>
  <si>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</si>
  <si>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</si>
  <si>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</si>
  <si>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</si>
  <si>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</si>
  <si>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</si>
  <si>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</si>
  <si>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</si>
  <si>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</si>
  <si>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</si>
  <si>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</si>
  <si>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</si>
  <si>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</si>
  <si>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</si>
  <si>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O12 </t>
    </r>
    <r>
      <rPr>
        <sz val="9"/>
        <color rgb="FF595959"/>
        <rFont val="Noto Sans CJK SC"/>
        <family val="2"/>
      </rPr>
      <t xml:space="preserve">口徑：機隊占比取 </t>
    </r>
    <r>
      <rPr>
        <sz val="9"/>
        <color rgb="FF595959"/>
        <rFont val="Arial"/>
        <family val="0"/>
        <charset val="1"/>
      </rPr>
      <t xml:space="preserve">2025 OpenAI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（推論＋訓練）支出比（</t>
    </r>
    <r>
      <rPr>
        <sz val="9"/>
        <color rgb="FF595959"/>
        <rFont val="Arial"/>
        <family val="0"/>
        <charset val="1"/>
      </rPr>
      <t xml:space="preserve">B4_Serve×(1−B4_Free)</t>
    </r>
    <r>
      <rPr>
        <sz val="9"/>
        <color rgb="FF595959"/>
        <rFont val="Noto Sans CJK SC"/>
        <family val="2"/>
      </rPr>
      <t xml:space="preserve">，全部世代同值，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）；訓練成本以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利用率計、服務以 </t>
    </r>
    <r>
      <rPr>
        <sz val="9"/>
        <color rgb="FF595959"/>
        <rFont val="Arial"/>
        <family val="0"/>
        <charset val="1"/>
      </rPr>
      <t xml:space="preserve">÷IF_Util </t>
    </r>
    <r>
      <rPr>
        <sz val="9"/>
        <color rgb="FF595959"/>
        <rFont val="Noto Sans CJK SC"/>
        <family val="2"/>
      </rPr>
      <t xml:space="preserve">計；縮放倍數與隱含家族計畫數為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，接受為決策（</t>
    </r>
    <r>
      <rPr>
        <sz val="9"/>
        <color rgb="FF595959"/>
        <rFont val="Arial"/>
        <family val="0"/>
        <charset val="1"/>
      </rPr>
      <t xml:space="preserve">Decisions SL46-16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</si>
  <si>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</si>
  <si>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</si>
  <si>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</si>
  <si>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</si>
  <si>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</si>
  <si>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</si>
  <si>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</si>
  <si>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</si>
  <si>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</si>
  <si>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</si>
  <si>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</si>
  <si>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</si>
  <si>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</si>
  <si>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</si>
  <si>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</si>
  <si>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</si>
  <si>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</si>
  <si>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</si>
  <si>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</si>
  <si>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</si>
  <si>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</si>
  <si>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</si>
  <si>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</si>
  <si>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</si>
  <si>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</si>
  <si>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</si>
  <si>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</si>
  <si>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</si>
  <si>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</si>
  <si>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</si>
  <si>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</si>
  <si>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</si>
  <si>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</si>
  <si>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</si>
  <si>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</si>
  <si>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</si>
  <si>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</si>
  <si>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</si>
  <si>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</si>
  <si>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</si>
  <si>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</si>
  <si>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</si>
  <si>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</si>
  <si>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</si>
  <si>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</si>
  <si>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</si>
  <si>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</si>
  <si>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</si>
  <si>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</si>
  <si>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</si>
  <si>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</si>
  <si>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</si>
  <si>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</si>
  <si>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</si>
  <si>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</si>
  <si>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</si>
  <si>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</si>
  <si>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</si>
  <si>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</si>
  <si>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</si>
  <si>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</si>
  <si>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</si>
  <si>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</si>
  <si>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</si>
  <si>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</si>
  <si>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</si>
  <si>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</si>
  <si>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</si>
  <si>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</si>
  <si>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</si>
  <si>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</si>
  <si>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</si>
  <si>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</si>
  <si>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</si>
  <si>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</si>
  <si>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</si>
  <si>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</si>
  <si>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</si>
  <si>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</si>
  <si>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</si>
  <si>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</si>
  <si>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</si>
  <si>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</si>
  <si>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</si>
  <si>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</si>
  <si>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</si>
  <si>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</si>
  <si>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</si>
  <si>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</si>
  <si>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</si>
  <si>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</si>
  <si>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</si>
  <si>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</si>
  <si>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</si>
  <si>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</si>
  <si>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</si>
  <si>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</si>
  <si>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</si>
  <si>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</si>
  <si>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</si>
  <si>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</si>
  <si>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</si>
  <si>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</si>
  <si>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</si>
  <si>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</si>
  <si>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</si>
  <si>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</si>
  <si>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</si>
  <si>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</si>
  <si>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</si>
  <si>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</si>
  <si>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</si>
  <si>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</si>
  <si>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</si>
  <si>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</si>
  <si>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</si>
  <si>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</si>
  <si>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</si>
  <si>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</si>
  <si>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</si>
  <si>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</si>
  <si>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</si>
  <si>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v15.0 F16</t>
    </r>
    <r>
      <rPr>
        <sz val="9"/>
        <color rgb="FF595959"/>
        <rFont val="Noto Sans CJK SC"/>
        <family val="2"/>
      </rPr>
      <t xml:space="preserve">：低／高欄是『多個輸入同時取端點』的角落組合（每則提示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免費占比同向取極值），是包絡（最寬情形），不是機率區間；改成獨立加總或逐輸入敏感度會改數值，列待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SL46-06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</si>
  <si>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</si>
  <si>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</si>
  <si>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</si>
  <si>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</si>
  <si>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</si>
  <si>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</si>
  <si>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</si>
  <si>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</si>
  <si>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</si>
  <si>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</si>
  <si>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</si>
  <si>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</si>
  <si>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</si>
  <si>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</si>
  <si>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</si>
  <si>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</si>
  <si>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</si>
  <si>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</si>
  <si>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</si>
  <si>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</si>
  <si>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</si>
  <si>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</si>
  <si>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</si>
  <si>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</si>
  <si>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</si>
  <si>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</si>
  <si>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</si>
  <si>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</si>
  <si>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</si>
  <si>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</si>
  <si>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</si>
  <si>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</si>
  <si>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</si>
  <si>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</si>
  <si>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</si>
  <si>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</si>
  <si>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</si>
  <si>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</si>
  <si>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</si>
  <si>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</si>
  <si>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</si>
  <si>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</si>
  <si>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</si>
  <si>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</si>
  <si>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</si>
  <si>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</si>
  <si>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</si>
  <si>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</si>
  <si>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</si>
  <si>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</si>
  <si>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</si>
  <si>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</si>
  <si>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</si>
  <si>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</si>
  <si>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</si>
  <si>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</si>
  <si>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</si>
  <si>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</si>
  <si>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</si>
  <si>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</si>
  <si>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</si>
  <si>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</si>
  <si>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</si>
  <si>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</si>
  <si>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</si>
  <si>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</si>
  <si>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</si>
  <si>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</si>
  <si>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</si>
  <si>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</si>
  <si>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</si>
  <si>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</si>
  <si>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</si>
  <si>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</si>
  <si>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</si>
  <si>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</si>
  <si>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</si>
  <si>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</si>
  <si>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</si>
  <si>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</si>
  <si>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</si>
  <si>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</si>
  <si>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</si>
  <si>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</si>
  <si>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</si>
  <si>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</si>
  <si>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</si>
  <si>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</si>
  <si>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</si>
  <si>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</si>
  <si>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</si>
  <si>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</si>
  <si>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</si>
  <si>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</si>
  <si>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</si>
  <si>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</si>
  <si>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</si>
  <si>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</si>
  <si>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</si>
  <si>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</si>
  <si>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</si>
  <si>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</si>
  <si>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</si>
  <si>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</si>
  <si>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</si>
  <si>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</si>
  <si>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</si>
  <si>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</si>
  <si>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</si>
  <si>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</si>
  <si>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</si>
  <si>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</si>
  <si>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</si>
  <si>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</si>
  <si>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</si>
  <si>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</si>
  <si>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</si>
  <si>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</si>
  <si>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</si>
  <si>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</si>
  <si>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</si>
  <si>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</si>
  <si>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</si>
  <si>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</si>
  <si>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</si>
  <si>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</si>
  <si>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</si>
  <si>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</si>
  <si>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</si>
  <si>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</si>
  <si>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</si>
  <si>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</si>
  <si>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</si>
  <si>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</si>
  <si>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</si>
  <si>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</si>
  <si>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</si>
  <si>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</si>
  <si>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</si>
  <si>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</si>
  <si>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</si>
  <si>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</si>
  <si>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</si>
  <si>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</si>
  <si>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</si>
  <si>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</si>
  <si>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</si>
  <si>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</si>
  <si>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</si>
  <si>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</si>
  <si>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</si>
  <si>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</si>
  <si>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</si>
  <si>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</si>
  <si>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</si>
  <si>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</si>
  <si>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</si>
  <si>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</si>
  <si>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</si>
  <si>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</si>
  <si>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</si>
  <si>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</si>
  <si>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</si>
  <si>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</si>
  <si>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</si>
  <si>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</si>
  <si>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</si>
  <si>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</si>
  <si>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</si>
  <si>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</si>
  <si>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</si>
  <si>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</si>
  <si>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</si>
  <si>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</si>
  <si>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</si>
  <si>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</si>
  <si>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</si>
  <si>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</si>
  <si>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</si>
  <si>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</si>
  <si>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</si>
  <si>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</si>
  <si>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</si>
  <si>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</si>
  <si>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</si>
  <si>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</si>
  <si>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</si>
  <si>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</si>
  <si>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</si>
  <si>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</si>
  <si>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</si>
  <si>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</si>
  <si>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</si>
  <si>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</si>
  <si>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</si>
  <si>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</si>
  <si>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</si>
  <si>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</si>
  <si>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</si>
  <si>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</si>
  <si>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</si>
  <si>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</si>
  <si>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</si>
  <si>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</si>
  <si>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</si>
  <si>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</si>
  <si>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</si>
  <si>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</si>
  <si>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</si>
  <si>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</si>
  <si>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</si>
  <si>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</si>
  <si>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</si>
  <si>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</si>
  <si>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</si>
  <si>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</si>
  <si>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</si>
  <si>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</si>
  <si>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</si>
  <si>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</si>
  <si>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</si>
  <si>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</si>
  <si>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</si>
  <si>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</si>
  <si>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</si>
  <si>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</si>
  <si>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</si>
  <si>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</si>
  <si>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</si>
  <si>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</si>
  <si>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</si>
  <si>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</si>
  <si>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</si>
  <si>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</si>
  <si>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</si>
  <si>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</si>
  <si>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</si>
  <si>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</si>
  <si>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</si>
  <si>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</si>
  <si>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</si>
  <si>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</si>
  <si>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</si>
  <si>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</si>
  <si>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</si>
  <si>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</si>
  <si>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</si>
  <si>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</si>
  <si>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</si>
  <si>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</si>
  <si>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</si>
  <si>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</si>
  <si>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</si>
  <si>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</si>
  <si>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</si>
  <si>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</si>
  <si>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</si>
  <si>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</si>
  <si>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</si>
  <si>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</si>
  <si>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</si>
  <si>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</si>
  <si>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</si>
  <si>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</si>
  <si>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</si>
  <si>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</si>
  <si>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</si>
  <si>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</si>
  <si>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</si>
  <si>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</si>
  <si>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</si>
  <si>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</si>
  <si>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</si>
  <si>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</si>
  <si>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</si>
  <si>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</si>
  <si>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</si>
  <si>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</si>
  <si>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</si>
  <si>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</si>
  <si>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</si>
  <si>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</si>
  <si>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</si>
  <si>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</si>
  <si>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</si>
  <si>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</si>
  <si>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</si>
  <si>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</si>
  <si>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</si>
  <si>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</si>
  <si>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</si>
  <si>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</si>
  <si>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</si>
  <si>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</si>
  <si>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</si>
  <si>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</si>
  <si>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</si>
  <si>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</si>
  <si>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</si>
  <si>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</si>
  <si>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</si>
  <si>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</si>
  <si>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</si>
  <si>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</si>
  <si>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</si>
  <si>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</si>
  <si>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</si>
  <si>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</si>
  <si>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</si>
  <si>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</si>
  <si>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</si>
  <si>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</si>
  <si>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</si>
  <si>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</si>
  <si>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</si>
  <si>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</si>
  <si>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</si>
  <si>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</si>
  <si>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</si>
  <si>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</si>
  <si>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</si>
  <si>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</si>
  <si>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</si>
  <si>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</si>
  <si>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</si>
  <si>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</si>
  <si>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</si>
  <si>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</si>
  <si>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</si>
  <si>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</si>
  <si>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</si>
  <si>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</si>
  <si>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</si>
  <si>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</si>
  <si>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</si>
  <si>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</si>
  <si>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</si>
  <si>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</si>
  <si>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</si>
  <si>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</si>
  <si>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</si>
  <si>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</si>
  <si>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</si>
  <si>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</si>
  <si>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</si>
  <si>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</si>
  <si>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</si>
  <si>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</si>
  <si>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</si>
  <si>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</si>
  <si>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</si>
  <si>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</si>
  <si>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</si>
  <si>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</si>
  <si>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</si>
  <si>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</si>
  <si>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</si>
  <si>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</si>
  <si>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</si>
  <si>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</si>
  <si>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</si>
  <si>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</si>
  <si>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</si>
  <si>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</si>
  <si>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</si>
  <si>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</si>
  <si>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</si>
  <si>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</si>
  <si>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</si>
  <si>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</si>
  <si>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</si>
  <si>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</si>
  <si>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</si>
  <si>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</si>
  <si>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</si>
  <si>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</si>
  <si>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</si>
  <si>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</si>
  <si>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</si>
  <si>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</si>
  <si>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</si>
  <si>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</si>
  <si>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</si>
  <si>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</si>
  <si>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</si>
  <si>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</si>
  <si>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</si>
  <si>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</si>
  <si>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</si>
  <si>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</si>
  <si>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</si>
  <si>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</si>
  <si>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</si>
  <si>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</si>
  <si>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</si>
  <si>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</si>
  <si>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</si>
  <si>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</si>
  <si>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</si>
  <si>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</si>
  <si>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</si>
  <si>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</si>
  <si>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</si>
  <si>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</si>
  <si>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</si>
  <si>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</si>
  <si>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</si>
  <si>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</si>
  <si>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</si>
  <si>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</si>
  <si>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</si>
  <si>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</si>
  <si>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</si>
  <si>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</si>
  <si>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</si>
  <si>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</si>
  <si>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</si>
  <si>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</si>
  <si>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</si>
  <si>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</si>
  <si>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</si>
  <si>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</si>
  <si>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</si>
  <si>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</si>
  <si>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</si>
  <si>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</si>
  <si>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</si>
  <si>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</si>
  <si>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</si>
  <si>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</si>
  <si>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</si>
  <si>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</si>
  <si>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</si>
  <si>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</si>
  <si>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</si>
  <si>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</si>
  <si>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</si>
  <si>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</si>
  <si>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</si>
  <si>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</si>
  <si>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</si>
  <si>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</si>
  <si>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</si>
  <si>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</si>
  <si>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</si>
  <si>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</si>
  <si>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</si>
  <si>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</si>
  <si>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</si>
  <si>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</si>
  <si>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</si>
  <si>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</si>
  <si>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</si>
  <si>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</si>
  <si>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</si>
  <si>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</si>
  <si>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</si>
  <si>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</si>
  <si>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</si>
  <si>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</si>
  <si>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</si>
  <si>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</si>
  <si>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</si>
  <si>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</si>
  <si>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</si>
  <si>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</si>
  <si>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</si>
  <si>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</si>
  <si>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</si>
  <si>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</si>
  <si>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AL_PriceFleet25_Lo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</si>
  <si>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</si>
  <si>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</si>
  <si>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較低；顯示用；下限截斷：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，各欄不得低於『同欄、同單價』的物理下限＝營收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（該欄機隊付費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AL_PriceFleet25_Hi</t>
    </r>
    <r>
      <rPr>
        <sz val="9"/>
        <color rgb="FF595959"/>
        <rFont val="Noto Sans CJK SC"/>
        <family val="2"/>
      </rPr>
      <t xml:space="preserve">）；見 </t>
    </r>
    <r>
      <rPr>
        <sz val="9"/>
        <color rgb="FF595959"/>
        <rFont val="Arial"/>
        <family val="0"/>
        <charset val="1"/>
      </rPr>
      <t xml:space="preserve">Decisions SL45-1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</si>
  <si>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</t>
    </r>
    <r>
      <rPr>
        <sz val="9"/>
        <color rgb="FF595959"/>
        <rFont val="Noto Sans CJK SC"/>
        <family val="2"/>
      </rPr>
      <t xml:space="preserve">起下限截斷（比照 </t>
    </r>
    <r>
      <rPr>
        <sz val="9"/>
        <color rgb="FF595959"/>
        <rFont val="Arial"/>
        <family val="0"/>
        <charset val="1"/>
      </rPr>
      <t xml:space="preserve">v14.1 R1</t>
    </r>
    <r>
      <rPr>
        <sz val="9"/>
        <color rgb="FF595959"/>
        <rFont val="Noto Sans CJK SC"/>
        <family val="2"/>
      </rPr>
      <t xml:space="preserve">，同欄同單價下限；見 </t>
    </r>
    <r>
      <rPr>
        <sz val="9"/>
        <color rgb="FF595959"/>
        <rFont val="Arial"/>
        <family val="0"/>
        <charset val="1"/>
      </rPr>
      <t xml:space="preserve">Decisions SL45-1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</si>
  <si>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</si>
  <si>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</si>
  <si>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</si>
  <si>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</si>
  <si>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</si>
  <si>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</si>
  <si>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</si>
  <si>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</si>
  <si>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</si>
  <si>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</si>
  <si>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</si>
  <si>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</si>
  <si>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</si>
  <si>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</si>
  <si>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</si>
  <si>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</si>
  <si>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</si>
  <si>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</si>
  <si>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</si>
  <si>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</si>
  <si>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</si>
  <si>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</si>
  <si>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</si>
  <si>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</si>
  <si>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</si>
  <si>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</si>
  <si>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</si>
  <si>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</si>
  <si>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</si>
  <si>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</si>
  <si>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</si>
  <si>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</si>
  <si>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</si>
  <si>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</si>
  <si>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</si>
  <si>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</si>
  <si>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</si>
  <si>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</si>
  <si>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</si>
  <si>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</si>
  <si>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</si>
  <si>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</si>
  <si>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</si>
  <si>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</si>
  <si>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</si>
  <si>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</si>
  <si>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</si>
  <si>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</si>
  <si>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</si>
  <si>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</si>
  <si>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</si>
  <si>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</si>
  <si>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</si>
  <si>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</si>
  <si>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</si>
  <si>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</si>
  <si>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</si>
  <si>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</si>
  <si>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</si>
  <si>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</si>
  <si>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</si>
  <si>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</si>
  <si>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</si>
  <si>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</si>
  <si>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</si>
  <si>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</si>
  <si>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</si>
  <si>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</si>
  <si>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</si>
  <si>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</si>
  <si>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</si>
  <si>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</si>
  <si>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</si>
  <si>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</si>
  <si>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</si>
  <si>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</si>
  <si>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</si>
  <si>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</si>
  <si>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</si>
  <si>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</si>
  <si>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</si>
  <si>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</si>
  <si>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</si>
  <si>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</si>
  <si>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</si>
  <si>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</si>
  <si>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</si>
  <si>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</si>
  <si>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</si>
  <si>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</si>
  <si>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</si>
  <si>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</si>
  <si>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</si>
  <si>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</si>
  <si>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</si>
  <si>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</si>
  <si>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</si>
  <si>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</si>
  <si>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</si>
  <si>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</si>
  <si>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</si>
  <si>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</si>
  <si>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對外服務｜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</si>
  <si>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付費服務</t>
  </si>
  <si>
    <r>
      <rPr>
        <sz val="10"/>
        <color rgb="FF000000"/>
        <rFont val="Noto Sans CJK SC"/>
        <family val="2"/>
      </rPr>
      <t xml:space="preserve">  免費服務｜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</si>
  <si>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訓練＋研發｜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</si>
  <si>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</si>
  <si>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</si>
  <si>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</si>
  <si>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</si>
  <si>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</si>
  <si>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</si>
  <si>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</si>
  <si>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</si>
  <si>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</si>
  <si>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</si>
  <si>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</si>
  <si>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</si>
  <si>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</si>
  <si>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</si>
  <si>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</si>
  <si>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</si>
  <si>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</si>
  <si>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</si>
  <si>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</si>
  <si>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</si>
  <si>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</si>
  <si>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</si>
  <si>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</si>
  <si>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</si>
  <si>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</si>
  <si>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</si>
  <si>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</si>
  <si>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</si>
  <si>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</si>
  <si>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</si>
  <si>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</si>
  <si>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</si>
  <si>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</si>
  <si>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</si>
  <si>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</si>
  <si>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</si>
  <si>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</si>
  <si>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</si>
  <si>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</si>
  <si>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</si>
  <si>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</si>
  <si>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</si>
  <si>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</si>
  <si>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</si>
  <si>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</si>
  <si>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</si>
  <si>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</si>
  <si>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</si>
  <si>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</si>
  <si>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</si>
  <si>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</si>
  <si>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</si>
  <si>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</si>
  <si>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</si>
  <si>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</si>
  <si>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</si>
  <si>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</si>
  <si>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</si>
  <si>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</si>
  <si>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</si>
  <si>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</si>
  <si>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</si>
  <si>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</si>
  <si>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</si>
  <si>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</si>
  <si>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</si>
  <si>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</si>
  <si>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</si>
  <si>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</si>
  <si>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</si>
  <si>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</si>
  <si>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</si>
  <si>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</si>
  <si>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</si>
  <si>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</si>
  <si>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</si>
  <si>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</si>
  <si>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</si>
  <si>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</si>
  <si>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</si>
  <si>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</si>
  <si>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</si>
  <si>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</si>
  <si>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</si>
  <si>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</si>
  <si>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</si>
  <si>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</si>
  <si>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</si>
  <si>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</si>
  <si>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</si>
  <si>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</si>
  <si>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</si>
  <si>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</si>
  <si>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</si>
  <si>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</si>
  <si>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</si>
  <si>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</si>
  <si>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</si>
  <si>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</si>
  <si>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</si>
  <si>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</si>
  <si>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</si>
  <si>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</si>
  <si>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</si>
  <si>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</si>
  <si>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</si>
  <si>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</si>
  <si>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</si>
  <si>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</si>
  <si>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</si>
  <si>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</si>
  <si>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</si>
  <si>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</si>
  <si>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</si>
  <si>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</si>
  <si>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</si>
  <si>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</si>
  <si>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</si>
  <si>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</si>
  <si>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</si>
  <si>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</si>
  <si>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</si>
  <si>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</si>
  <si>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</si>
  <si>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</si>
  <si>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</si>
  <si>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</si>
  <si>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</si>
  <si>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</si>
  <si>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</si>
  <si>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</si>
  <si>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</si>
  <si>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</si>
  <si>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</si>
  <si>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</si>
  <si>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</si>
  <si>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</si>
  <si>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</si>
  <si>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</si>
  <si>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</si>
  <si>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</si>
  <si>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</si>
  <si>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</si>
  <si>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</si>
  <si>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</si>
  <si>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</si>
  <si>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</si>
  <si>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</si>
  <si>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</si>
  <si>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</si>
  <si>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</si>
  <si>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</si>
  <si>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</si>
  <si>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</si>
  <si>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</si>
  <si>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</si>
  <si>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</si>
  <si>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</si>
  <si>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</si>
  <si>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</si>
  <si>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</si>
  <si>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</si>
  <si>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</si>
  <si>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</si>
  <si>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</si>
  <si>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</si>
  <si>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</si>
  <si>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</si>
  <si>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</si>
  <si>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</si>
  <si>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</si>
  <si>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</si>
  <si>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</si>
  <si>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</si>
  <si>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</si>
  <si>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</si>
  <si>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</si>
  <si>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</si>
  <si>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</si>
  <si>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</si>
  <si>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</si>
  <si>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</si>
  <si>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</si>
  <si>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</si>
  <si>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</si>
  <si>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</si>
  <si>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</si>
  <si>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</si>
  <si>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</si>
  <si>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</si>
  <si>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</si>
  <si>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</si>
  <si>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</si>
  <si>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</si>
  <si>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</si>
  <si>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</si>
  <si>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</si>
  <si>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</si>
  <si>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</si>
  <si>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</si>
  <si>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</si>
  <si>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</si>
  <si>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</si>
  <si>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</si>
  <si>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</si>
  <si>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</si>
  <si>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</si>
  <si>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</si>
  <si>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</si>
  <si>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</si>
  <si>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</si>
  <si>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</si>
  <si>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</si>
  <si>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</si>
  <si>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</si>
  <si>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</si>
  <si>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</si>
  <si>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</si>
  <si>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</si>
  <si>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</si>
  <si>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</si>
  <si>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</si>
  <si>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</si>
  <si>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</si>
  <si>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</si>
  <si>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</si>
  <si>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</si>
  <si>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</si>
  <si>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</si>
  <si>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</si>
  <si>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</si>
  <si>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</si>
  <si>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</si>
  <si>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</si>
  <si>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</si>
  <si>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</si>
  <si>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</si>
  <si>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</si>
  <si>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</si>
  <si>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v14.2 S2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欄標籤已清空（原『供應商專屬（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＝是）｜旗標』記於 </t>
    </r>
    <r>
      <rPr>
        <sz val="9"/>
        <color rgb="FF595959"/>
        <rFont val="Arial"/>
        <family val="0"/>
        <charset val="1"/>
      </rPr>
      <t xml:space="preserve">Decisions SL45-2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</si>
  <si>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</si>
  <si>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</si>
  <si>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</si>
  <si>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</si>
  <si>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</si>
  <si>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</si>
  <si>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</si>
  <si>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</si>
  <si>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</si>
  <si>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</si>
  <si>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</si>
  <si>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</si>
  <si>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</si>
  <si>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</si>
  <si>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</si>
  <si>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</si>
  <si>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</si>
  <si>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</si>
  <si>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</si>
  <si>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</si>
  <si>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</si>
  <si>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</si>
  <si>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</si>
  <si>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</si>
  <si>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</si>
  <si>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</si>
  <si>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</si>
  <si>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</si>
  <si>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</si>
  <si>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</si>
  <si>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</si>
  <si>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</si>
  <si>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</si>
  <si>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</si>
  <si>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</si>
  <si>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</si>
  <si>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</si>
  <si>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</si>
  <si>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</si>
  <si>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</si>
  <si>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</si>
  <si>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</si>
  <si>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</si>
  <si>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</si>
  <si>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</si>
  <si>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</si>
  <si>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</si>
  <si>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</si>
  <si>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</si>
  <si>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</si>
  <si>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</si>
  <si>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</si>
  <si>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</si>
  <si>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</si>
  <si>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</si>
  <si>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</si>
  <si>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</si>
  <si>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</si>
  <si>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</si>
  <si>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</si>
  <si>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</si>
  <si>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</si>
  <si>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</si>
  <si>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</si>
  <si>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</si>
  <si>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</si>
  <si>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</si>
  <si>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</si>
  <si>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</si>
  <si>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</si>
  <si>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</si>
  <si>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</si>
  <si>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</si>
  <si>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</si>
  <si>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</si>
  <si>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</si>
  <si>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</si>
  <si>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</si>
  <si>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</si>
  <si>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</si>
  <si>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</si>
  <si>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</si>
  <si>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</si>
  <si>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</si>
  <si>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</si>
  <si>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</si>
  <si>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</si>
  <si>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</si>
  <si>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</si>
  <si>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</si>
  <si>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</si>
  <si>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</si>
  <si>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</si>
  <si>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</si>
  <si>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</si>
  <si>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</si>
  <si>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</si>
  <si>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</si>
  <si>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</si>
  <si>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</si>
  <si>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</si>
  <si>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</si>
  <si>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</si>
  <si>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</si>
  <si>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</si>
  <si>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</si>
  <si>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</si>
  <si>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</si>
  <si>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</si>
  <si>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</si>
  <si>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</si>
  <si>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</si>
  <si>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</si>
  <si>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</si>
  <si>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</si>
  <si>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</si>
  <si>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</si>
  <si>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</si>
  <si>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</si>
  <si>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</si>
  <si>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</si>
  <si>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</si>
  <si>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</si>
  <si>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</si>
  <si>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</si>
  <si>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</si>
  <si>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</si>
  <si>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</si>
  <si>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</si>
  <si>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</si>
  <si>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</si>
  <si>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</si>
  <si>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</si>
  <si>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</si>
  <si>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</si>
  <si>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</si>
  <si>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</si>
  <si>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</si>
  <si>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</si>
  <si>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</si>
  <si>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</si>
  <si>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</si>
  <si>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</si>
  <si>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</si>
  <si>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</si>
  <si>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</si>
  <si>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</si>
  <si>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</si>
  <si>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</si>
  <si>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</si>
  <si>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</si>
  <si>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</si>
  <si>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</si>
  <si>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</si>
  <si>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</si>
  <si>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</si>
  <si>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</si>
  <si>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</si>
  <si>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</si>
  <si>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</si>
  <si>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</si>
  <si>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</si>
  <si>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</si>
  <si>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</si>
  <si>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</si>
  <si>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</si>
  <si>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</si>
  <si>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</si>
  <si>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</si>
  <si>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</si>
  <si>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</si>
  <si>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</si>
  <si>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</si>
  <si>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</si>
  <si>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</si>
  <si>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</si>
  <si>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</si>
  <si>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</si>
  <si>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</si>
  <si>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</si>
  <si>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</si>
  <si>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</si>
  <si>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</si>
  <si>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</si>
  <si>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</si>
  <si>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</si>
  <si>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</si>
  <si>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</si>
  <si>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</si>
  <si>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</si>
  <si>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</si>
  <si>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</si>
  <si>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</si>
  <si>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</si>
  <si>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</si>
  <si>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</si>
  <si>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v15.0 B11</t>
    </r>
    <r>
      <rPr>
        <sz val="11"/>
        <color theme="1"/>
        <rFont val="Noto Sans CJK SC"/>
        <family val="2"/>
      </rPr>
      <t xml:space="preserve">：可靠度下限 </t>
    </r>
    <r>
      <rPr>
        <sz val="11"/>
        <color theme="1"/>
        <rFont val="Calibri"/>
        <family val="2"/>
        <charset val="1"/>
      </rPr>
      <t xml:space="preserve">p_min </t>
    </r>
    <r>
      <rPr>
        <sz val="11"/>
        <color theme="1"/>
        <rFont val="Noto Sans CJK SC"/>
        <family val="2"/>
      </rPr>
      <t xml:space="preserve">高到沒有組合合格時，本列回『無合格』文字（原行為不變）；數值或文字的判斷請先讀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IF_FrontSuccVRQual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＝有合格組合，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＝無）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</si>
  <si>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</si>
  <si>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</si>
  <si>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</si>
  <si>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</si>
  <si>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</si>
  <si>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</si>
  <si>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</si>
  <si>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</si>
  <si>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</si>
  <si>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</si>
  <si>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</si>
  <si>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</si>
  <si>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</si>
  <si>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</si>
  <si>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</si>
  <si>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</si>
  <si>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</si>
  <si>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</si>
  <si>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</si>
  <si>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</si>
  <si>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</si>
  <si>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</si>
  <si>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</si>
  <si>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</si>
  <si>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</si>
  <si>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</si>
  <si>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</si>
  <si>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</si>
  <si>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</si>
  <si>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</si>
  <si>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</si>
  <si>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</si>
  <si>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</si>
  <si>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</si>
  <si>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</si>
  <si>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</si>
  <si>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</si>
  <si>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</si>
  <si>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</si>
  <si>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</si>
  <si>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</si>
  <si>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</si>
  <si>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</si>
  <si>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</si>
  <si>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</si>
  <si>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</si>
  <si>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</si>
  <si>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</si>
  <si>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</si>
  <si>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</si>
  <si>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</si>
  <si>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</si>
  <si>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</si>
  <si>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</si>
  <si>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</si>
  <si>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</si>
  <si>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</si>
  <si>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</si>
  <si>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</si>
  <si>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</si>
  <si>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</si>
  <si>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</si>
  <si>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</si>
  <si>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</si>
  <si>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</si>
  <si>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</si>
  <si>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</si>
  <si>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</si>
  <si>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</si>
  <si>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</si>
  <si>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</si>
  <si>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</si>
  <si>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</si>
  <si>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</si>
  <si>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</si>
  <si>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</si>
  <si>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</si>
  <si>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</si>
  <si>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</si>
  <si>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</si>
  <si>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</si>
  <si>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</si>
  <si>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</si>
  <si>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</si>
  <si>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</si>
  <si>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</si>
  <si>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</si>
  <si>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</si>
  <si>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</si>
  <si>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</si>
  <si>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</si>
  <si>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</si>
  <si>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</si>
  <si>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</si>
  <si>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</si>
  <si>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</si>
  <si>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</si>
  <si>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</si>
  <si>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</si>
  <si>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</si>
  <si>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</si>
  <si>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</si>
  <si>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</si>
  <si>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</si>
  <si>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</si>
  <si>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</si>
  <si>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</si>
  <si>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</si>
  <si>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</si>
  <si>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</si>
  <si>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</si>
  <si>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</si>
  <si>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</si>
  <si>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；顯示用，不連結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3.2 </t>
    </r>
    <r>
      <rPr>
        <b val="true"/>
        <sz val="10"/>
        <rFont val="Noto Sans CJK SC"/>
        <family val="2"/>
      </rPr>
      <t xml:space="preserve">節的方法在簿內重算——每請求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秒＝</t>
    </r>
    <r>
      <rPr>
        <b val="true"/>
        <sz val="10"/>
        <rFont val="Arial"/>
        <family val="0"/>
        <charset val="1"/>
      </rPr>
      <t xml:space="preserve">I×[(1−χ)×</t>
    </r>
    <r>
      <rPr>
        <b val="true"/>
        <sz val="10"/>
        <rFont val="Noto Sans CJK SC"/>
        <family val="2"/>
      </rPr>
      <t xml:space="preserve">新鮮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χ×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prefill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/M]÷10^6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O×decode 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/M÷10^6</t>
    </r>
    <r>
      <rPr>
        <b val="true"/>
        <sz val="10"/>
        <rFont val="Noto Sans CJK SC"/>
        <family val="2"/>
      </rPr>
      <t xml:space="preserve">，容量＝</t>
    </r>
    <r>
      <rPr>
        <b val="true"/>
        <sz val="10"/>
        <rFont val="Arial"/>
        <family val="0"/>
        <charset val="1"/>
      </rPr>
      <t xml:space="preserve">(I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O)÷</t>
    </r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秒，</t>
    </r>
    <r>
      <rPr>
        <b val="true"/>
        <sz val="10"/>
        <rFont val="Arial"/>
        <family val="0"/>
        <charset val="1"/>
      </rPr>
      <t xml:space="preserve">κ_i</t>
    </r>
    <r>
      <rPr>
        <b val="true"/>
        <sz val="10"/>
        <rFont val="Noto Sans CJK SC"/>
        <family val="2"/>
      </rPr>
      <t xml:space="preserve">＝容量</t>
    </r>
    <r>
      <rPr>
        <b val="true"/>
        <sz val="10"/>
        <rFont val="Arial"/>
        <family val="0"/>
        <charset val="1"/>
      </rPr>
      <t xml:space="preserve">_i÷</t>
    </r>
    <r>
      <rPr>
        <b val="true"/>
        <sz val="10"/>
        <rFont val="Noto Sans CJK SC"/>
        <family val="2"/>
      </rPr>
      <t xml:space="preserve">容量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參考（</t>
    </r>
    <r>
      <rPr>
        <b val="true"/>
        <sz val="10"/>
        <rFont val="Arial"/>
        <family val="0"/>
        <charset val="1"/>
      </rPr>
      <t xml:space="preserve">16,384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2,048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χ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B4_CacheHit</t>
    </r>
    <r>
      <rPr>
        <b val="true"/>
        <sz val="10"/>
        <rFont val="Noto Sans CJK SC"/>
        <family val="2"/>
      </rPr>
      <t xml:space="preserve">）；按需求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加權的調和平均＝</t>
    </r>
    <r>
      <rPr>
        <b val="true"/>
        <sz val="10"/>
        <rFont val="Arial"/>
        <family val="0"/>
        <charset val="1"/>
      </rPr>
      <t xml:space="preserve">1÷Σ(w_i÷κ_i)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/M </t>
    </r>
    <r>
      <rPr>
        <b val="true"/>
        <sz val="10"/>
        <rFont val="Noto Sans CJK SC"/>
        <family val="2"/>
      </rPr>
      <t xml:space="preserve">取 </t>
    </r>
    <r>
      <rPr>
        <b val="true"/>
        <sz val="10"/>
        <rFont val="Arial"/>
        <family val="0"/>
        <charset val="1"/>
      </rPr>
      <t xml:space="preserve">Sens_Perf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101–103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欄（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）；限制：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單價固定於 </t>
    </r>
    <r>
      <rPr>
        <b val="true"/>
        <sz val="10"/>
        <rFont val="Arial"/>
        <family val="0"/>
        <charset val="1"/>
      </rPr>
      <t xml:space="preserve">ISL 16K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線性內插，簿內已無 </t>
    </r>
    <r>
      <rPr>
        <b val="true"/>
        <sz val="10"/>
        <rFont val="Arial"/>
        <family val="0"/>
        <charset val="1"/>
      </rPr>
      <t xml:space="preserve">4K </t>
    </r>
    <r>
      <rPr>
        <b val="true"/>
        <sz val="10"/>
        <rFont val="Noto Sans CJK SC"/>
        <family val="2"/>
      </rPr>
      <t xml:space="preserve">欄），短輸入的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成本略偏高。這是核對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（區間 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）的重算，不改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；結果與區間比對見 </t>
    </r>
    <r>
      <rPr>
        <b val="true"/>
        <sz val="10"/>
        <rFont val="Arial"/>
        <family val="0"/>
        <charset val="1"/>
      </rPr>
      <t xml:space="preserve">Checks KP </t>
    </r>
    <r>
      <rPr>
        <b val="true"/>
        <sz val="10"/>
        <rFont val="Noto Sans CJK SC"/>
        <family val="2"/>
      </rPr>
      <t xml:space="preserve">列。</t>
    </r>
  </si>
  <si>
    <t xml:space="preserve">請求類型</t>
  </si>
  <si>
    <r>
      <rPr>
        <b val="true"/>
        <sz val="10"/>
        <rFont val="Noto Sans CJK SC"/>
        <family val="2"/>
      </rPr>
      <t xml:space="preserve">輸入 </t>
    </r>
    <r>
      <rPr>
        <b val="true"/>
        <sz val="10"/>
        <rFont val="Arial"/>
        <family val="0"/>
        <charset val="1"/>
      </rPr>
      <t xml:space="preserve">token I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</si>
  <si>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token O</t>
    </r>
  </si>
  <si>
    <r>
      <rPr>
        <b val="true"/>
        <sz val="10"/>
        <rFont val="Noto Sans CJK SC"/>
        <family val="2"/>
      </rPr>
      <t xml:space="preserve">快取命中 </t>
    </r>
    <r>
      <rPr>
        <b val="true"/>
        <sz val="10"/>
        <rFont val="Arial"/>
        <family val="0"/>
        <charset val="1"/>
      </rPr>
      <t xml:space="preserve">χ</t>
    </r>
  </si>
  <si>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</si>
  <si>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Noto Sans CJK SC"/>
        <family val="2"/>
      </rPr>
      <t xml:space="preserve">每請求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秒</t>
    </r>
  </si>
  <si>
    <r>
      <rPr>
        <b val="true"/>
        <sz val="10"/>
        <rFont val="Noto Sans CJK SC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tok/GPU </t>
    </r>
    <r>
      <rPr>
        <b val="true"/>
        <sz val="10"/>
        <rFont val="Noto Sans CJK SC"/>
        <family val="2"/>
      </rPr>
      <t xml:space="preserve">秒</t>
    </r>
  </si>
  <si>
    <t xml:space="preserve">κ_i</t>
  </si>
  <si>
    <r>
      <rPr>
        <b val="true"/>
        <sz val="10"/>
        <rFont val="Noto Sans CJK SC"/>
        <family val="2"/>
      </rPr>
      <t xml:space="preserve">權重 </t>
    </r>
    <r>
      <rPr>
        <b val="true"/>
        <sz val="10"/>
        <rFont val="Arial"/>
        <family val="0"/>
        <charset val="1"/>
      </rPr>
      <t xml:space="preserve">w_i÷κ_i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</si>
  <si>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16,384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2,048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</si>
  <si>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</si>
  <si>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</si>
  <si>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付費（</t>
    </r>
    <r>
      <rPr>
        <sz val="10"/>
        <color rgb="FF000000"/>
        <rFont val="Arial"/>
        <family val="0"/>
        <charset val="1"/>
      </rPr>
      <t xml:space="preserve">3,500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</si>
  <si>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免費（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χ 0.8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</si>
  <si>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重算值（需求加權調和平均＝</t>
    </r>
    <r>
      <rPr>
        <b val="true"/>
        <sz val="10"/>
        <rFont val="Arial"/>
        <family val="0"/>
        <charset val="1"/>
      </rPr>
      <t xml:space="preserve">Σw ÷ Σ(w÷κ_i)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</si>
  <si>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重算值對 </t>
    </r>
    <r>
      <rPr>
        <sz val="9"/>
        <color rgb="FF595959"/>
        <rFont val="Arial"/>
        <family val="0"/>
        <charset val="1"/>
      </rPr>
      <t xml:space="preserve">AL_Kappa </t>
    </r>
    <r>
      <rPr>
        <sz val="9"/>
        <color rgb="FF595959"/>
        <rFont val="Noto Sans CJK SC"/>
        <family val="2"/>
      </rPr>
      <t xml:space="preserve">區間：</t>
    </r>
  </si>
  <si>
    <r>
      <rPr>
        <b val="true"/>
        <sz val="10"/>
        <rFont val="Noto Sans CJK SC"/>
        <family val="2"/>
      </rPr>
      <t xml:space="preserve">重算值落在 </t>
    </r>
    <r>
      <rPr>
        <b val="true"/>
        <sz val="10"/>
        <rFont val="Arial"/>
        <family val="0"/>
        <charset val="1"/>
      </rPr>
      <t xml:space="preserve">AL_Kappa </t>
    </r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0.65–1.2</t>
    </r>
    <r>
      <rPr>
        <b val="true"/>
        <sz val="10"/>
        <rFont val="Noto Sans CJK SC"/>
        <family val="2"/>
      </rPr>
      <t xml:space="preserve">）內？（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</si>
  <si>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輸入欄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（黑字常數：方法常數，不是模型輸入，不登錄藍字輸入；改動請走工作單）取自 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節的請求類型表（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OpenRouter</t>
    </r>
    <r>
      <rPr>
        <sz val="9"/>
        <color rgb="FF595959"/>
        <rFont val="Noto Sans CJK SC"/>
        <family val="2"/>
      </rPr>
      <t xml:space="preserve">／無伺服器平台追蹤、</t>
    </r>
    <r>
      <rPr>
        <sz val="9"/>
        <color rgb="FF595959"/>
        <rFont val="Arial"/>
        <family val="0"/>
        <charset val="1"/>
      </rPr>
      <t xml:space="preserve">v5.33A </t>
    </r>
    <r>
      <rPr>
        <sz val="9"/>
        <color rgb="FF595959"/>
        <rFont val="Noto Sans CJK SC"/>
        <family val="2"/>
      </rPr>
      <t xml:space="preserve">五組成基準）；權重為簿內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5–7 </t>
    </r>
    <r>
      <rPr>
        <sz val="9"/>
        <color rgb="FF595959"/>
        <rFont val="Noto Sans CJK SC"/>
        <family val="2"/>
      </rPr>
      <t xml:space="preserve">列需求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所用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權重未存於簿內，本表以需求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權重重算，數值可能與 </t>
    </r>
    <r>
      <rPr>
        <sz val="9"/>
        <color rgb="FF595959"/>
        <rFont val="Arial"/>
        <family val="0"/>
        <charset val="1"/>
      </rPr>
      <t xml:space="preserve">1.035 </t>
    </r>
    <r>
      <rPr>
        <sz val="9"/>
        <color rgb="FF595959"/>
        <rFont val="Noto Sans CJK SC"/>
        <family val="2"/>
      </rPr>
      <t xml:space="preserve">不同。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</si>
  <si>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</si>
  <si>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</si>
  <si>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</si>
  <si>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</si>
  <si>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</si>
  <si>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</si>
  <si>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</si>
  <si>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</si>
  <si>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</si>
  <si>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</si>
  <si>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</si>
  <si>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</si>
  <si>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</si>
  <si>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</si>
  <si>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</si>
  <si>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</si>
  <si>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</si>
  <si>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</si>
  <si>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</si>
  <si>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</si>
  <si>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</si>
  <si>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</si>
  <si>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</si>
  <si>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</si>
  <si>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</si>
  <si>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</si>
  <si>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</si>
  <si>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</si>
  <si>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</si>
  <si>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</si>
  <si>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</si>
  <si>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</si>
  <si>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</si>
  <si>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</si>
  <si>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</si>
  <si>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</si>
  <si>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</si>
  <si>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</si>
  <si>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</si>
  <si>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</si>
  <si>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</si>
  <si>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</si>
  <si>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</si>
  <si>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</si>
  <si>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</si>
  <si>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</si>
  <si>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</si>
  <si>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</si>
  <si>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</si>
  <si>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</si>
  <si>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</si>
  <si>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</si>
  <si>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</si>
  <si>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</si>
  <si>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</si>
  <si>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</si>
  <si>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</si>
  <si>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</si>
  <si>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</si>
  <si>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</si>
  <si>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</si>
  <si>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</si>
  <si>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</si>
  <si>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</si>
  <si>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</si>
  <si>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</si>
  <si>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</si>
  <si>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</si>
  <si>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</si>
  <si>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</si>
  <si>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</si>
  <si>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</si>
  <si>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</si>
  <si>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</si>
  <si>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</si>
  <si>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</si>
  <si>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</si>
  <si>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</si>
  <si>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</si>
  <si>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</si>
  <si>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</si>
  <si>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</si>
  <si>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</si>
  <si>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</si>
  <si>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</si>
  <si>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</si>
  <si>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</si>
  <si>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</si>
  <si>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</si>
  <si>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</si>
  <si>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</si>
  <si>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</si>
  <si>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</si>
  <si>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</si>
  <si>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</si>
  <si>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</si>
  <si>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</si>
  <si>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</si>
  <si>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</si>
  <si>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</si>
  <si>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</si>
  <si>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</si>
  <si>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</si>
  <si>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</si>
  <si>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</si>
  <si>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</si>
  <si>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</si>
  <si>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</si>
  <si>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</si>
  <si>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</si>
  <si>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</si>
  <si>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</si>
  <si>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</si>
  <si>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</si>
  <si>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</si>
  <si>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</si>
  <si>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</si>
  <si>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</si>
  <si>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</si>
  <si>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</si>
  <si>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</si>
  <si>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</si>
  <si>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</si>
  <si>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</si>
  <si>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</si>
  <si>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</si>
  <si>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</si>
  <si>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</si>
  <si>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</si>
  <si>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</si>
  <si>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</si>
  <si>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</si>
  <si>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</si>
  <si>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</si>
  <si>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</si>
  <si>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</si>
  <si>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</si>
  <si>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</si>
  <si>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</si>
  <si>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</si>
  <si>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</si>
  <si>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</si>
  <si>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</si>
  <si>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</si>
  <si>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</si>
  <si>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</si>
  <si>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</si>
  <si>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</si>
  <si>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</si>
  <si>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</si>
  <si>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</si>
  <si>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</si>
  <si>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</si>
  <si>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</si>
  <si>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</si>
  <si>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</si>
  <si>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</si>
  <si>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</si>
  <si>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</si>
  <si>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</si>
  <si>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</si>
  <si>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</si>
  <si>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</si>
  <si>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</si>
  <si>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</si>
  <si>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</si>
  <si>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</si>
  <si>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</si>
  <si>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</si>
  <si>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</si>
  <si>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</si>
  <si>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</si>
  <si>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</si>
  <si>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</si>
  <si>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</si>
  <si>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</si>
  <si>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</si>
  <si>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</si>
  <si>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</si>
  <si>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</si>
  <si>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</si>
  <si>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</si>
  <si>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</si>
  <si>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</si>
  <si>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</si>
  <si>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</si>
  <si>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</si>
  <si>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</si>
  <si>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</si>
  <si>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</si>
  <si>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</si>
  <si>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</si>
  <si>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</si>
  <si>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</si>
  <si>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</si>
  <si>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</si>
  <si>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</si>
  <si>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</si>
  <si>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</si>
  <si>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</si>
  <si>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</si>
  <si>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</si>
  <si>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</si>
  <si>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</si>
  <si>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</si>
  <si>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</si>
  <si>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</si>
  <si>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</si>
  <si>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</si>
  <si>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</si>
  <si>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</si>
  <si>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</si>
  <si>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</si>
  <si>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</si>
  <si>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</si>
  <si>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</si>
  <si>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</si>
  <si>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</si>
  <si>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</si>
  <si>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</si>
  <si>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</si>
  <si>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</si>
  <si>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</si>
  <si>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</si>
  <si>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</si>
  <si>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</si>
  <si>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</si>
  <si>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</si>
  <si>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</si>
  <si>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</si>
  <si>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</si>
  <si>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</si>
  <si>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</si>
  <si>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</si>
  <si>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</si>
  <si>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</si>
  <si>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</si>
  <si>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</si>
  <si>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</si>
  <si>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</si>
  <si>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</si>
  <si>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</si>
  <si>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</si>
  <si>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</si>
  <si>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</si>
  <si>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</si>
  <si>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</si>
  <si>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</si>
  <si>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</si>
  <si>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</si>
  <si>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</si>
  <si>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</si>
  <si>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</si>
  <si>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</si>
  <si>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</si>
  <si>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</si>
  <si>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</si>
  <si>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</si>
  <si>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</si>
  <si>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</si>
  <si>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</si>
  <si>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</si>
  <si>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</si>
  <si>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</si>
  <si>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</si>
  <si>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</si>
  <si>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</si>
  <si>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</si>
  <si>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</si>
  <si>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</si>
  <si>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</si>
  <si>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</si>
  <si>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</si>
  <si>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</si>
  <si>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</si>
  <si>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</si>
  <si>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</si>
  <si>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v15.0 T3-2</t>
    </r>
    <r>
      <rPr>
        <b val="true"/>
        <sz val="10"/>
        <rFont val="Noto Sans CJK SC"/>
        <family val="2"/>
      </rPr>
      <t xml:space="preserve">：另有 </t>
    </r>
    <r>
      <rPr>
        <b val="true"/>
        <sz val="10"/>
        <rFont val="Arial"/>
        <family val="0"/>
        <charset val="1"/>
      </rPr>
      <t xml:space="preserve">12 </t>
    </r>
    <r>
      <rPr>
        <b val="true"/>
        <sz val="10"/>
        <rFont val="Noto Sans CJK SC"/>
        <family val="2"/>
      </rPr>
      <t xml:space="preserve">個只經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欄的名稱（見下方（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）更正），端點＝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0.70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1.0 </t>
    </r>
    <r>
      <rPr>
        <b val="true"/>
        <sz val="10"/>
        <rFont val="Noto Sans CJK SC"/>
        <family val="2"/>
      </rPr>
      <t xml:space="preserve">兩個情境（</t>
    </r>
    <r>
      <rPr>
        <b val="true"/>
        <sz val="10"/>
        <rFont val="Arial"/>
        <family val="0"/>
        <charset val="1"/>
      </rPr>
      <t xml:space="preserve">tools/gen_ranges.py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vr200_lo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vr200_hi</t>
    </r>
    <r>
      <rPr>
        <b val="true"/>
        <sz val="10"/>
        <rFont val="Noto Sans CJK SC"/>
        <family val="2"/>
      </rPr>
      <t xml:space="preserve">）每格較小／較大者</t>
    </r>
  </si>
  <si>
    <t xml:space="preserve">區間計算版本（寫入端點時的版本）</t>
  </si>
  <si>
    <t xml:space="preserve">20261017_Tokenomics_v15.0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</si>
  <si>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</si>
  <si>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</si>
  <si>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</si>
  <si>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</si>
  <si>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</si>
  <si>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</si>
  <si>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</si>
  <si>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</si>
  <si>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</si>
  <si>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</si>
  <si>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</si>
  <si>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</si>
  <si>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</si>
  <si>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</si>
  <si>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</si>
  <si>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</si>
  <si>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</si>
  <si>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</si>
  <si>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</si>
  <si>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</si>
  <si>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</si>
  <si>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</si>
  <si>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</si>
  <si>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</si>
  <si>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</si>
  <si>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</si>
  <si>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</si>
  <si>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</si>
  <si>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</si>
  <si>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</si>
  <si>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</si>
  <si>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</si>
  <si>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</si>
  <si>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</si>
  <si>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</si>
  <si>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</si>
  <si>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</si>
  <si>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</si>
  <si>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</si>
  <si>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</si>
  <si>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</si>
  <si>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</si>
  <si>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</si>
  <si>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</si>
  <si>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</si>
  <si>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</si>
  <si>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</si>
  <si>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</si>
  <si>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</si>
  <si>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</si>
  <si>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</si>
  <si>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</si>
  <si>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</si>
  <si>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</si>
  <si>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</si>
  <si>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</si>
  <si>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</si>
  <si>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</si>
  <si>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</si>
  <si>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</si>
  <si>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</si>
  <si>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</si>
  <si>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</si>
  <si>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</si>
  <si>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</si>
  <si>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</si>
  <si>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</si>
  <si>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</si>
  <si>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</si>
  <si>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</si>
  <si>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</si>
  <si>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</si>
  <si>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</si>
  <si>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</si>
  <si>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</si>
  <si>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</si>
  <si>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</si>
  <si>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</si>
  <si>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</si>
  <si>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</si>
  <si>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</si>
  <si>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</si>
  <si>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</si>
  <si>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</si>
  <si>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L1_Ans5_FullMargin</t>
  </si>
  <si>
    <t xml:space="preserve">L1_Ans5_FullMargin_Hi</t>
  </si>
  <si>
    <t xml:space="preserve">L1_Ans5_FullMargin_Lo</t>
  </si>
  <si>
    <t xml:space="preserve">L1_Ans6_GPUh</t>
  </si>
  <si>
    <t xml:space="preserve">L1_Ans6_GPUh_Hi</t>
  </si>
  <si>
    <t xml:space="preserve">L1_Ans6_GPUh_Lo</t>
  </si>
  <si>
    <t xml:space="preserve">L1_RLshare_Astra_VR200</t>
  </si>
  <si>
    <t xml:space="preserve">L1_RLshare_Astra_VR200_Hi</t>
  </si>
  <si>
    <t xml:space="preserve">L1_RLshare_Astra_VR200_Lo</t>
  </si>
  <si>
    <t xml:space="preserve">L1_RLshare_Sol_VR200</t>
  </si>
  <si>
    <t xml:space="preserve">L1_RLshare_Sol_VR200_Hi</t>
  </si>
  <si>
    <t xml:space="preserve">L1_RLshare_Sol_VR200_Lo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</si>
  <si>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</si>
  <si>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</si>
  <si>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</si>
  <si>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</si>
  <si>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倍數：（無）｜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）：上列『本版區間只涵蓋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倍數』所指的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 </t>
    </r>
    <r>
      <rPr>
        <sz val="9"/>
        <color rgb="FF595959"/>
        <rFont val="Noto Sans CJK SC"/>
        <family val="2"/>
      </rPr>
      <t xml:space="preserve">及各自的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起已建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倍數區間（</t>
    </r>
    <r>
      <rPr>
        <sz val="9"/>
        <color rgb="FF595959"/>
        <rFont val="Arial"/>
        <family val="0"/>
        <charset val="1"/>
      </rPr>
      <t xml:space="preserve">RNG_&lt;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&gt;_Lo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，本表 </t>
    </r>
    <r>
      <rPr>
        <sz val="9"/>
        <color rgb="FF595959"/>
        <rFont val="Arial"/>
        <family val="0"/>
        <charset val="1"/>
      </rPr>
      <t xml:space="preserve">O </t>
    </r>
    <r>
      <rPr>
        <sz val="9"/>
        <color rgb="FF595959"/>
        <rFont val="Noto Sans CJK SC"/>
        <family val="2"/>
      </rPr>
      <t xml:space="preserve">節）：端點＝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）兩個情境每格的較小／較大者，基準 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在其內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</si>
  <si>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</si>
  <si>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T3-2</t>
    </r>
    <r>
      <rPr>
        <sz val="9"/>
        <color rgb="FF595959"/>
        <rFont val="Noto Sans CJK SC"/>
        <family val="2"/>
      </rPr>
      <t xml:space="preserve">）：『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批次倍數無證據』不正確——有證據：</t>
    </r>
    <r>
      <rPr>
        <sz val="9"/>
        <color rgb="FF595959"/>
        <rFont val="Arial"/>
        <family val="0"/>
        <charset val="1"/>
      </rPr>
      <t xml:space="preserve">MLPerf v6.1 offline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Noto Sans CJK SC"/>
        <family val="2"/>
      </rPr>
      <t xml:space="preserve">各一筆（皆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preview </t>
    </r>
    <r>
      <rPr>
        <sz val="9"/>
        <color rgb="FF595959"/>
        <rFont val="Noto Sans CJK SC"/>
        <family val="2"/>
      </rPr>
      <t xml:space="preserve">類）；用 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節公式反推，相對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口徑得 </t>
    </r>
    <r>
      <rPr>
        <sz val="9"/>
        <color rgb="FF595959"/>
        <rFont val="Arial"/>
        <family val="0"/>
        <charset val="1"/>
      </rPr>
      <t xml:space="preserve">0.70–0.76</t>
    </r>
    <r>
      <rPr>
        <sz val="9"/>
        <color rgb="FF595959"/>
        <rFont val="Noto Sans CJK SC"/>
        <family val="2"/>
      </rPr>
      <t xml:space="preserve">，與基準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Gov_Map GM595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 </t>
    </r>
    <r>
      <rPr>
        <sz val="9"/>
        <color rgb="FF595959"/>
        <rFont val="Noto Sans CJK SC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docs/reports/20261017_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_O4O5.md</t>
    </r>
    <r>
      <rPr>
        <sz val="9"/>
        <color rgb="FF595959"/>
        <rFont val="Noto Sans CJK SC"/>
        <family val="2"/>
      </rPr>
      <t xml:space="preserve">）。只經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個名稱已建區間；上述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格維持點值（既有端點不變，列待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判斷）。結構風險：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是相對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（倍數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，未校準）之值；若日後校準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須改絕對口徑（約 </t>
    </r>
    <r>
      <rPr>
        <sz val="9"/>
        <color rgb="FF595959"/>
        <rFont val="Arial"/>
        <family val="0"/>
        <charset val="1"/>
      </rPr>
      <t xml:space="preserve">1.20–1.28</t>
    </r>
    <r>
      <rPr>
        <sz val="9"/>
        <color rgb="FF595959"/>
        <rFont val="Noto Sans CJK SC"/>
        <family val="2"/>
      </rPr>
      <t xml:space="preserve">），否則重複折減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</si>
  <si>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</si>
  <si>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</si>
  <si>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</si>
  <si>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</si>
  <si>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</si>
  <si>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</si>
  <si>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</si>
  <si>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</si>
  <si>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</si>
  <si>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</si>
  <si>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</si>
  <si>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</si>
  <si>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</si>
  <si>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</si>
  <si>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</si>
  <si>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</si>
  <si>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</si>
  <si>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</si>
  <si>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</si>
  <si>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</si>
  <si>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</si>
  <si>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</si>
  <si>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</si>
  <si>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</si>
  <si>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</si>
  <si>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</si>
  <si>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</si>
  <si>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</si>
  <si>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</si>
  <si>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</si>
  <si>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</si>
  <si>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</si>
  <si>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</si>
  <si>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</si>
  <si>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</si>
  <si>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</si>
  <si>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</si>
  <si>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</si>
  <si>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</si>
  <si>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</si>
  <si>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</si>
  <si>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</si>
  <si>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</si>
  <si>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</si>
  <si>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</si>
  <si>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</si>
  <si>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</si>
  <si>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</si>
  <si>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</si>
  <si>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</si>
  <si>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</si>
  <si>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</si>
  <si>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</si>
  <si>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</si>
  <si>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</si>
  <si>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</si>
  <si>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</si>
  <si>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</si>
  <si>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</si>
  <si>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</si>
  <si>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</si>
  <si>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</si>
  <si>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</si>
  <si>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</si>
  <si>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</si>
  <si>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</si>
  <si>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</si>
  <si>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</si>
  <si>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</si>
  <si>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</si>
  <si>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</si>
  <si>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</si>
  <si>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</si>
  <si>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</si>
  <si>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</si>
  <si>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</si>
  <si>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</si>
  <si>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</si>
  <si>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</si>
  <si>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</si>
  <si>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</si>
  <si>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</si>
  <si>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</si>
  <si>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</si>
  <si>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</si>
  <si>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</si>
  <si>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</si>
  <si>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</si>
  <si>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</si>
  <si>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</si>
  <si>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</si>
  <si>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</si>
  <si>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</si>
  <si>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</si>
  <si>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</si>
  <si>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</si>
  <si>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</si>
  <si>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</si>
  <si>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</si>
  <si>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</si>
  <si>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</si>
  <si>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</si>
  <si>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</si>
  <si>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</si>
  <si>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</si>
  <si>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</si>
  <si>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</si>
  <si>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</si>
  <si>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</si>
  <si>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</si>
  <si>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</si>
  <si>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</si>
  <si>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</si>
  <si>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</si>
  <si>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</si>
  <si>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</si>
  <si>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</si>
  <si>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</si>
  <si>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</si>
  <si>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</si>
  <si>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</si>
  <si>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</si>
  <si>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</si>
  <si>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</si>
  <si>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</si>
  <si>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</si>
  <si>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</si>
  <si>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</si>
  <si>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</si>
  <si>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</si>
  <si>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</si>
  <si>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</si>
  <si>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</si>
  <si>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</si>
  <si>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</si>
  <si>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</si>
  <si>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</si>
  <si>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</si>
  <si>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</si>
  <si>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</si>
  <si>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</si>
  <si>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</si>
  <si>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</si>
  <si>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</si>
  <si>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</si>
  <si>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</si>
  <si>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</si>
  <si>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</si>
  <si>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</si>
  <si>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</si>
  <si>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</si>
  <si>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</si>
  <si>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</si>
  <si>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</si>
  <si>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</si>
  <si>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</si>
  <si>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</si>
  <si>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</si>
  <si>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</si>
  <si>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</si>
  <si>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</si>
  <si>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</si>
  <si>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</si>
  <si>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</si>
  <si>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</si>
  <si>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</si>
  <si>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</si>
  <si>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</si>
  <si>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</si>
  <si>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</si>
  <si>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</si>
  <si>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</si>
  <si>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</si>
  <si>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</si>
  <si>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</si>
  <si>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</si>
  <si>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</si>
  <si>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</si>
  <si>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</si>
  <si>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</si>
  <si>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</si>
  <si>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</si>
  <si>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</si>
  <si>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</si>
  <si>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</si>
  <si>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</si>
  <si>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</si>
  <si>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</si>
  <si>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</si>
  <si>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</si>
  <si>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</si>
  <si>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</si>
  <si>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</si>
  <si>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</si>
  <si>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</si>
  <si>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</si>
  <si>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</si>
  <si>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</si>
  <si>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</si>
  <si>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</si>
  <si>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</si>
  <si>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</si>
  <si>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</si>
  <si>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</si>
  <si>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</si>
  <si>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</si>
  <si>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</si>
  <si>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</si>
  <si>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</si>
  <si>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</si>
  <si>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</si>
  <si>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</si>
  <si>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</si>
  <si>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</si>
  <si>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</si>
  <si>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</si>
  <si>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</si>
  <si>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</si>
  <si>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</si>
  <si>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</si>
  <si>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</si>
  <si>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</si>
  <si>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</si>
  <si>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</si>
  <si>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</si>
  <si>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</si>
  <si>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</si>
  <si>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</si>
  <si>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</si>
  <si>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</si>
  <si>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</si>
  <si>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</si>
  <si>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</si>
  <si>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</si>
  <si>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</si>
  <si>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</si>
  <si>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</si>
  <si>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</si>
  <si>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Sens_Train</t>
  </si>
  <si>
    <t xml:space="preserve">R6</t>
  </si>
  <si>
    <t xml:space="preserve">R7</t>
  </si>
  <si>
    <t xml:space="preserve">P8</t>
  </si>
  <si>
    <t xml:space="preserve">Q8</t>
  </si>
  <si>
    <t xml:space="preserve">R8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</si>
  <si>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</si>
  <si>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</si>
  <si>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</si>
  <si>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</si>
  <si>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</si>
  <si>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</si>
  <si>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</si>
  <si>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</si>
  <si>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</si>
  <si>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</si>
  <si>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</si>
  <si>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</si>
  <si>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</si>
  <si>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</si>
  <si>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</si>
  <si>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</si>
  <si>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</si>
  <si>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</si>
  <si>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</si>
  <si>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</si>
  <si>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</si>
  <si>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</si>
  <si>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</si>
  <si>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</si>
  <si>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</si>
  <si>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</si>
  <si>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</si>
  <si>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</si>
  <si>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</si>
  <si>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</si>
  <si>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</si>
  <si>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</si>
  <si>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</si>
  <si>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</si>
  <si>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</si>
  <si>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</si>
  <si>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</si>
  <si>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</si>
  <si>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</si>
  <si>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</si>
  <si>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</si>
  <si>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</si>
  <si>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</si>
  <si>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</si>
  <si>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</si>
  <si>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</si>
  <si>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</si>
  <si>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</si>
  <si>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</si>
  <si>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</si>
  <si>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</si>
  <si>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</si>
  <si>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</si>
  <si>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</si>
  <si>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</si>
  <si>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0"/>
        <rFont val="Arial"/>
        <family val="0"/>
        <charset val="1"/>
      </rPr>
      <t xml:space="preserve">Q. </t>
    </r>
    <r>
      <rPr>
        <b val="true"/>
        <sz val="10"/>
        <rFont val="Noto Sans CJK SC"/>
        <family val="2"/>
      </rPr>
      <t xml:space="preserve">推論支出區間（</t>
    </r>
    <r>
      <rPr>
        <b val="true"/>
        <sz val="10"/>
        <rFont val="Arial"/>
        <family val="0"/>
        <charset val="1"/>
      </rPr>
      <t xml:space="preserve">v15.0 O13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r1 T1-1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SRC_DEM_004_Lo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端推論支出 </t>
    </r>
    <r>
      <rPr>
        <b val="true"/>
        <sz val="10"/>
        <rFont val="Arial"/>
        <family val="0"/>
        <charset val="1"/>
      </rPr>
      <t xml:space="preserve">$B </t>
    </r>
    <r>
      <rPr>
        <b val="true"/>
        <sz val="10"/>
        <rFont val="Noto Sans CJK SC"/>
        <family val="2"/>
      </rPr>
      <t xml:space="preserve">的來源區間）接進支出路線——服務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IF_AllocServeGW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IF_AllocQ2</t>
    </r>
    <r>
      <rPr>
        <b val="true"/>
        <sz val="10"/>
        <rFont val="Noto Sans CJK SC"/>
        <family val="2"/>
      </rPr>
      <t xml:space="preserve">）各取低／高端。全部是公式（隨 </t>
    </r>
    <r>
      <rPr>
        <b val="true"/>
        <sz val="10"/>
        <rFont val="Arial"/>
        <family val="0"/>
        <charset val="1"/>
      </rPr>
      <t xml:space="preserve">SRC_DEM_004 </t>
    </r>
    <r>
      <rPr>
        <b val="true"/>
        <sz val="10"/>
        <rFont val="Noto Sans CJK SC"/>
        <family val="2"/>
      </rPr>
      <t xml:space="preserve">區間即時更新，不是貼值）；</t>
    </r>
    <r>
      <rPr>
        <b val="true"/>
        <sz val="10"/>
        <rFont val="Arial"/>
        <family val="0"/>
        <charset val="1"/>
      </rPr>
      <t xml:space="preserve">RNG_Dem004_&lt;</t>
    </r>
    <r>
      <rPr>
        <b val="true"/>
        <sz val="10"/>
        <rFont val="Noto Sans CJK SC"/>
        <family val="2"/>
      </rPr>
      <t xml:space="preserve">名稱</t>
    </r>
    <r>
      <rPr>
        <b val="true"/>
        <sz val="10"/>
        <rFont val="Arial"/>
        <family val="0"/>
        <charset val="1"/>
      </rPr>
      <t xml:space="preserve">&gt;_Lo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  <r>
      <rPr>
        <b val="true"/>
        <sz val="10"/>
        <rFont val="Noto Sans CJK SC"/>
        <family val="2"/>
      </rPr>
      <t xml:space="preserve">＝兩個端點每格的較小／較大者（支出高則服務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高、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低，故不是『來源低端』對『名稱低端』）。這是『推論支出』一條軸的區間，與 </t>
    </r>
    <r>
      <rPr>
        <b val="true"/>
        <sz val="10"/>
        <rFont val="Arial"/>
        <family val="0"/>
        <charset val="1"/>
      </rPr>
      <t xml:space="preserve">O </t>
    </r>
    <r>
      <rPr>
        <b val="true"/>
        <sz val="10"/>
        <rFont val="Noto Sans CJK SC"/>
        <family val="2"/>
      </rPr>
      <t xml:space="preserve">節的批次口徑倍數區間是兩條不同的軸，兩者沒有合併（基準的 </t>
    </r>
    <r>
      <rPr>
        <b val="true"/>
        <sz val="10"/>
        <rFont val="Arial"/>
        <family val="0"/>
        <charset val="1"/>
      </rPr>
      <t xml:space="preserve">RDGW </t>
    </r>
    <r>
      <rPr>
        <b val="true"/>
        <sz val="10"/>
        <rFont val="Noto Sans CJK SC"/>
        <family val="2"/>
      </rPr>
      <t xml:space="preserve">在本節不變）。基準值不變。</t>
    </r>
  </si>
  <si>
    <r>
      <rPr>
        <sz val="10"/>
        <color rgb="FF000000"/>
        <rFont val="Noto Sans CJK SC"/>
        <family val="2"/>
      </rPr>
      <t xml:space="preserve">服務持有成本分母 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</si>
  <si>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（支出低端）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</si>
  <si>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@ SRC_DEM_004_Hi</t>
    </r>
    <r>
      <rPr>
        <sz val="10"/>
        <color rgb="FF000000"/>
        <rFont val="Noto Sans CJK SC"/>
        <family val="2"/>
      </rPr>
      <t xml:space="preserve">（支出高端）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</si>
  <si>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</si>
  <si>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 </t>
    </r>
    <r>
      <rPr>
        <sz val="10"/>
        <color rgb="FF000000"/>
        <rFont val="Noto Sans CJK SC"/>
        <family val="2"/>
      </rPr>
      <t xml:space="preserve">支出高端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</si>
  <si>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支出低端</t>
    </r>
  </si>
  <si>
    <r>
      <rPr>
        <sz val="10"/>
        <color rgb="FF000000"/>
        <rFont val="Arial"/>
        <family val="0"/>
        <charset val="1"/>
      </rPr>
      <t xml:space="preserve">Q2 @ </t>
    </r>
    <r>
      <rPr>
        <sz val="10"/>
        <color rgb="FF000000"/>
        <rFont val="Noto Sans CJK SC"/>
        <family val="2"/>
      </rPr>
      <t xml:space="preserve">支出高端</t>
    </r>
  </si>
  <si>
    <t xml:space="preserve">區間端點（名稱）</t>
  </si>
  <si>
    <r>
      <rPr>
        <b val="true"/>
        <sz val="10"/>
        <rFont val="Noto Sans CJK SC"/>
        <family val="2"/>
      </rPr>
      <t xml:space="preserve">對照：基準（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</si>
  <si>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基準落在區間外（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</si>
  <si>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RNG_Dem004_IF_AllocServeGW_Lo</t>
  </si>
  <si>
    <t xml:space="preserve">RNG_Dem004_IF_AllocServeGW_Hi</t>
  </si>
  <si>
    <t xml:space="preserve">RNG_Dem004_IF_AllocQ1_Lo</t>
  </si>
  <si>
    <t xml:space="preserve">RNG_Dem004_IF_AllocQ1_Hi</t>
  </si>
  <si>
    <t xml:space="preserve">RNG_Dem004_IF_AllocQ2_Lo</t>
  </si>
  <si>
    <t xml:space="preserve">RNG_Dem004_IF_AllocQ2_Hi</t>
  </si>
  <si>
    <t xml:space="preserve">基準落在區間外的格數（三個名稱合計）</t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</si>
  <si>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</t>
    </r>
    <r>
      <rPr>
        <sz val="9"/>
        <color rgb="FF595959"/>
        <rFont val="Noto Sans CJK SC"/>
        <family val="2"/>
      </rPr>
      <t xml:space="preserve">的低／高端不再涵蓋基準（</t>
    </r>
    <r>
      <rPr>
        <sz val="9"/>
        <color rgb="FF595959"/>
        <rFont val="Arial"/>
        <family val="0"/>
        <charset val="1"/>
      </rPr>
      <t xml:space="preserve">Checks RG4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</si>
  <si>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</si>
  <si>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</si>
  <si>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</si>
  <si>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</si>
  <si>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</si>
  <si>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</si>
  <si>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</si>
  <si>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</si>
  <si>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</si>
  <si>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</si>
  <si>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</si>
  <si>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</si>
  <si>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</si>
  <si>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</si>
  <si>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</si>
  <si>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</si>
  <si>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</si>
  <si>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</si>
  <si>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</si>
  <si>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</si>
  <si>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</si>
  <si>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</si>
  <si>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</si>
  <si>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</si>
  <si>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</si>
  <si>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</si>
  <si>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</si>
  <si>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</si>
  <si>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</si>
  <si>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</si>
  <si>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</si>
  <si>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</si>
  <si>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</si>
  <si>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</si>
  <si>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</si>
  <si>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</si>
  <si>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</si>
  <si>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</si>
  <si>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</si>
  <si>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</si>
  <si>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</si>
  <si>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產出依層級分區（物理量不隨成本情境變動）；</t>
    </r>
    <r>
      <rPr>
        <sz val="9"/>
        <color rgb="FF595959"/>
        <rFont val="Arial"/>
        <family val="0"/>
        <charset val="1"/>
      </rPr>
      <t xml:space="preserve">v15.0 O8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欄的吞吐與營收為保守下界（模型約為獨立實測的 </t>
    </r>
    <r>
      <rPr>
        <sz val="9"/>
        <color rgb="FF595959"/>
        <rFont val="Arial"/>
        <family val="0"/>
        <charset val="1"/>
      </rPr>
      <t xml:space="preserve">0.26–0.27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V15 </t>
    </r>
    <r>
      <rPr>
        <sz val="9"/>
        <color rgb="FF595959"/>
        <rFont val="Noto Sans CJK SC"/>
        <family val="2"/>
      </rPr>
      <t xml:space="preserve">失敗已揭露；</t>
    </r>
    <r>
      <rPr>
        <sz val="9"/>
        <color rgb="FF595959"/>
        <rFont val="Arial"/>
        <family val="0"/>
        <charset val="1"/>
      </rPr>
      <t xml:space="preserve">Decisions SL46-13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</si>
  <si>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</si>
  <si>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</si>
  <si>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</si>
  <si>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</si>
  <si>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</si>
  <si>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</si>
  <si>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</si>
  <si>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</si>
  <si>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</si>
  <si>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</si>
  <si>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</si>
  <si>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</si>
  <si>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</si>
  <si>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</si>
  <si>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</si>
  <si>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</si>
  <si>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</si>
  <si>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</si>
  <si>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</si>
  <si>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</si>
  <si>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</si>
  <si>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</si>
  <si>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</si>
  <si>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</si>
  <si>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</si>
  <si>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</si>
  <si>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</si>
  <si>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</si>
  <si>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</si>
  <si>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</si>
  <si>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</si>
  <si>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</si>
  <si>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</si>
  <si>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</si>
  <si>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</si>
  <si>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</si>
  <si>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</si>
  <si>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</si>
  <si>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</si>
  <si>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</si>
  <si>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</si>
  <si>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</si>
  <si>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</si>
  <si>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</si>
  <si>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</si>
  <si>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</si>
  <si>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</si>
  <si>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</si>
  <si>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</si>
  <si>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</si>
  <si>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</si>
  <si>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</si>
  <si>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</si>
  <si>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</si>
  <si>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</si>
  <si>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</si>
  <si>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</si>
  <si>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</si>
  <si>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</si>
  <si>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</si>
  <si>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</si>
  <si>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</si>
  <si>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</si>
  <si>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</si>
  <si>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</si>
  <si>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</si>
  <si>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</si>
  <si>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</si>
  <si>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</si>
  <si>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</si>
  <si>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</si>
  <si>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</si>
  <si>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</si>
  <si>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</si>
  <si>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</si>
  <si>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</si>
  <si>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</si>
  <si>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</si>
  <si>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</si>
  <si>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</si>
  <si>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</si>
  <si>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</si>
  <si>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</si>
  <si>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</si>
  <si>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</si>
  <si>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</si>
  <si>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</si>
  <si>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</si>
  <si>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</si>
  <si>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</si>
  <si>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</si>
  <si>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</si>
  <si>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</si>
  <si>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</si>
  <si>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</si>
  <si>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</si>
  <si>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</si>
  <si>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</si>
  <si>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</si>
  <si>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</si>
  <si>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</si>
  <si>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</si>
  <si>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</si>
  <si>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</si>
  <si>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</si>
  <si>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</si>
  <si>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</si>
  <si>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</si>
  <si>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</si>
  <si>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</si>
  <si>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</si>
  <si>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</si>
  <si>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</si>
  <si>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</si>
  <si>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</si>
  <si>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</si>
  <si>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</si>
  <si>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</si>
  <si>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</si>
  <si>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</si>
  <si>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</si>
  <si>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</si>
  <si>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</si>
  <si>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</si>
  <si>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</si>
  <si>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</si>
  <si>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</si>
  <si>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</si>
  <si>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</si>
  <si>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</si>
  <si>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</si>
  <si>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</si>
  <si>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</si>
  <si>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</si>
  <si>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</si>
  <si>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</si>
  <si>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</si>
  <si>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</si>
  <si>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</si>
  <si>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</si>
  <si>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</si>
  <si>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</si>
  <si>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</si>
  <si>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</si>
  <si>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</si>
  <si>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</si>
  <si>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</si>
  <si>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</si>
  <si>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</si>
  <si>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</si>
  <si>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</si>
  <si>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</si>
  <si>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</si>
  <si>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</si>
  <si>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</si>
  <si>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</si>
  <si>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</si>
  <si>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</si>
  <si>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</si>
  <si>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</si>
  <si>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</si>
  <si>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</si>
  <si>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</si>
  <si>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</si>
  <si>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</si>
  <si>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</si>
  <si>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</si>
  <si>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</si>
  <si>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</si>
  <si>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</si>
  <si>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</si>
  <si>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</si>
  <si>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</si>
  <si>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</si>
  <si>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</si>
  <si>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</si>
  <si>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</si>
  <si>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</si>
  <si>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</si>
  <si>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</si>
  <si>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</si>
  <si>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</si>
  <si>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</si>
  <si>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</si>
  <si>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</si>
  <si>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</si>
  <si>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</si>
  <si>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</si>
  <si>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</si>
  <si>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</si>
  <si>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</si>
  <si>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</si>
  <si>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</si>
  <si>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</si>
  <si>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</si>
  <si>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</si>
  <si>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</si>
  <si>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</si>
  <si>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</si>
  <si>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</si>
  <si>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</si>
  <si>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</si>
  <si>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</si>
  <si>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</si>
  <si>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</si>
  <si>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</si>
  <si>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</si>
  <si>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</si>
  <si>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</si>
  <si>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</si>
  <si>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</si>
  <si>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</si>
  <si>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</si>
  <si>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</si>
  <si>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</si>
  <si>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</si>
  <si>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</si>
  <si>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</si>
  <si>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</si>
  <si>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</si>
  <si>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</si>
  <si>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</si>
  <si>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</si>
  <si>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</si>
  <si>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</si>
  <si>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前緣是否有合格組合（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＝無合格：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回傳『無合格』文字；下游讀前緣前先看本列；</t>
    </r>
    <r>
      <rPr>
        <sz val="10"/>
        <color rgb="FF000000"/>
        <rFont val="Arial"/>
        <family val="0"/>
        <charset val="1"/>
      </rPr>
      <t xml:space="preserve">v15.0 B11 </t>
    </r>
    <r>
      <rPr>
        <sz val="10"/>
        <color rgb="FF000000"/>
        <rFont val="Noto Sans CJK SC"/>
        <family val="2"/>
      </rPr>
      <t xml:space="preserve">守衛）　</t>
    </r>
    <r>
      <rPr>
        <sz val="10"/>
        <color rgb="FF000000"/>
        <rFont val="Arial"/>
        <family val="0"/>
        <charset val="1"/>
      </rPr>
      <t xml:space="preserve">[IF_FrontSuccVRQual]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</si>
  <si>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</si>
  <si>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</si>
  <si>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</si>
  <si>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</si>
  <si>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</si>
  <si>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</si>
  <si>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</si>
  <si>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</si>
  <si>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</si>
  <si>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</si>
  <si>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</si>
  <si>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</si>
  <si>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</si>
  <si>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</si>
  <si>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</si>
  <si>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</si>
  <si>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</si>
  <si>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</si>
  <si>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</si>
  <si>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</si>
  <si>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</si>
  <si>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</si>
  <si>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</si>
  <si>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</si>
  <si>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</si>
  <si>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</si>
  <si>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</si>
  <si>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</si>
  <si>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</si>
  <si>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</si>
  <si>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</si>
  <si>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</si>
  <si>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</si>
  <si>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</si>
  <si>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</si>
  <si>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</si>
  <si>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</si>
  <si>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</si>
  <si>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</si>
  <si>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</si>
  <si>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</si>
  <si>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</si>
  <si>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</si>
  <si>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</si>
  <si>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</si>
  <si>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</si>
  <si>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</si>
  <si>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</si>
  <si>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</si>
  <si>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</si>
  <si>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</si>
  <si>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</si>
  <si>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</si>
  <si>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</si>
  <si>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</si>
  <si>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</si>
  <si>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</si>
  <si>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</si>
  <si>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</si>
  <si>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</si>
  <si>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</si>
  <si>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</si>
  <si>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</si>
  <si>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</si>
  <si>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</si>
  <si>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</si>
  <si>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</si>
  <si>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</si>
  <si>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</si>
  <si>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</si>
  <si>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</si>
  <si>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</si>
  <si>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</si>
  <si>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</si>
  <si>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</si>
  <si>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</si>
  <si>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</si>
  <si>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</si>
  <si>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</si>
  <si>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</si>
  <si>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</si>
  <si>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</si>
  <si>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</si>
  <si>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</si>
  <si>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</si>
  <si>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</si>
  <si>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</si>
  <si>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</si>
  <si>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</si>
  <si>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O12 </t>
    </r>
    <r>
      <rPr>
        <sz val="10"/>
        <color rgb="FF000000"/>
        <rFont val="Noto Sans CJK SC"/>
        <family val="2"/>
      </rPr>
      <t xml:space="preserve">口徑：機隊占比取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（推論＋訓練）支出比（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）；訓練成本以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利用率計、服務以 </t>
    </r>
    <r>
      <rPr>
        <sz val="10"/>
        <color rgb="FF000000"/>
        <rFont val="Arial"/>
        <family val="0"/>
        <charset val="1"/>
      </rPr>
      <t xml:space="preserve">÷IF_Util </t>
    </r>
    <r>
      <rPr>
        <sz val="10"/>
        <color rgb="FF000000"/>
        <rFont val="Noto Sans CJK SC"/>
        <family val="2"/>
      </rPr>
      <t xml:space="preserve">計；縮放倍數與隱含家族計畫數為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，接受為決策（</t>
    </r>
    <r>
      <rPr>
        <sz val="10"/>
        <color rgb="FF000000"/>
        <rFont val="Arial"/>
        <family val="0"/>
        <charset val="1"/>
      </rPr>
      <t xml:space="preserve">Decisions SL46-16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</si>
  <si>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</si>
  <si>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</si>
  <si>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</si>
  <si>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</si>
  <si>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</si>
  <si>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</si>
  <si>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</si>
  <si>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</si>
  <si>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</si>
  <si>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</si>
  <si>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</si>
  <si>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</si>
  <si>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</si>
  <si>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</si>
  <si>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</si>
  <si>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</si>
  <si>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</si>
  <si>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</si>
  <si>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</si>
  <si>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</si>
  <si>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</si>
  <si>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</si>
  <si>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</si>
  <si>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</si>
  <si>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</si>
  <si>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</si>
  <si>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</si>
  <si>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</si>
  <si>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</si>
  <si>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</si>
  <si>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</si>
  <si>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</si>
  <si>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</si>
  <si>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</si>
  <si>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</si>
  <si>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</si>
  <si>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</si>
  <si>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</si>
  <si>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</si>
  <si>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</si>
  <si>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</si>
  <si>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</si>
  <si>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</si>
  <si>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</si>
  <si>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</si>
  <si>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</si>
  <si>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</si>
  <si>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</si>
  <si>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</si>
  <si>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</si>
  <si>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</si>
  <si>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</si>
  <si>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</si>
  <si>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</si>
  <si>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</si>
  <si>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</si>
  <si>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</si>
  <si>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</si>
  <si>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</si>
  <si>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</si>
  <si>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</si>
  <si>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</si>
  <si>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</si>
  <si>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</si>
  <si>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</si>
  <si>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</si>
  <si>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</si>
  <si>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</si>
  <si>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</si>
  <si>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</si>
  <si>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</si>
  <si>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</si>
  <si>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</si>
  <si>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</si>
  <si>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</si>
  <si>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</si>
  <si>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</si>
  <si>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</si>
  <si>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</si>
  <si>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</si>
  <si>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</si>
  <si>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</si>
  <si>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</si>
  <si>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</si>
  <si>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</si>
  <si>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</si>
  <si>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</si>
  <si>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</si>
  <si>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</si>
  <si>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</si>
  <si>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</si>
  <si>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</si>
  <si>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</si>
  <si>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</si>
  <si>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</si>
  <si>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</si>
  <si>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</si>
  <si>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</si>
  <si>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</si>
  <si>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</si>
  <si>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</si>
  <si>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</si>
  <si>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</si>
  <si>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</si>
  <si>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</si>
  <si>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</si>
  <si>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</si>
  <si>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</si>
  <si>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</si>
  <si>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</si>
  <si>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</si>
  <si>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</si>
  <si>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</si>
  <si>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</si>
  <si>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</si>
  <si>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</si>
  <si>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</si>
  <si>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</si>
  <si>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</si>
  <si>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</si>
  <si>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</si>
  <si>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</si>
  <si>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</si>
  <si>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</si>
  <si>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</si>
  <si>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</si>
  <si>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</si>
  <si>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</si>
  <si>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</si>
  <si>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</si>
  <si>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</si>
  <si>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</si>
  <si>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</si>
  <si>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</si>
  <si>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</si>
  <si>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</si>
  <si>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</si>
  <si>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</si>
  <si>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</si>
  <si>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</si>
  <si>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</si>
  <si>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</si>
  <si>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</si>
  <si>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</si>
  <si>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</si>
  <si>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</si>
  <si>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</si>
  <si>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</si>
  <si>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</si>
  <si>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</si>
  <si>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</si>
  <si>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</si>
  <si>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</si>
  <si>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</si>
  <si>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</si>
  <si>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</si>
  <si>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</si>
  <si>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</si>
  <si>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</si>
  <si>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</si>
  <si>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</si>
  <si>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</si>
  <si>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</si>
  <si>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</si>
  <si>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</si>
  <si>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</si>
  <si>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</si>
  <si>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</si>
  <si>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</si>
  <si>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</si>
  <si>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</si>
  <si>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</si>
  <si>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</si>
  <si>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</si>
  <si>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</si>
  <si>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</si>
  <si>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</si>
  <si>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</si>
  <si>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</si>
  <si>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</si>
  <si>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</si>
  <si>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</si>
  <si>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</si>
  <si>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</si>
  <si>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</si>
  <si>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</si>
  <si>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</si>
  <si>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</si>
  <si>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</si>
  <si>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</si>
  <si>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</si>
  <si>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</si>
  <si>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</si>
  <si>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</si>
  <si>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</si>
  <si>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</si>
  <si>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</si>
  <si>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</si>
  <si>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</si>
  <si>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</si>
  <si>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</si>
  <si>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</si>
  <si>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</si>
  <si>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</si>
  <si>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</si>
  <si>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</si>
  <si>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</si>
  <si>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</si>
  <si>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</si>
  <si>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</si>
  <si>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</si>
  <si>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</si>
  <si>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</si>
  <si>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</si>
  <si>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</si>
  <si>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</si>
  <si>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</si>
  <si>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</si>
  <si>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</si>
  <si>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</si>
  <si>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</si>
  <si>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</si>
  <si>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</si>
  <si>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</si>
  <si>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外部值機型未明；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利用率）乘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時數口徑後再與本模型（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時數持有成本）比；原外部值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未換算＝</t>
    </r>
    <r>
      <rPr>
        <sz val="10"/>
        <color rgb="FF000000"/>
        <rFont val="Arial"/>
        <family val="0"/>
        <charset val="1"/>
      </rPr>
      <t xml:space="preserve">3.57</t>
    </r>
    <r>
      <rPr>
        <sz val="10"/>
        <color rgb="FF000000"/>
        <rFont val="Noto Sans CJK SC"/>
        <family val="2"/>
      </rPr>
      <t xml:space="preserve">（比值 </t>
    </r>
    <r>
      <rPr>
        <sz val="10"/>
        <color rgb="FF000000"/>
        <rFont val="Arial"/>
        <family val="0"/>
        <charset val="1"/>
      </rPr>
      <t xml:space="preserve">0.715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年折舊兩個前提仍未對齊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</si>
  <si>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</si>
  <si>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</si>
  <si>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</si>
  <si>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</si>
  <si>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</si>
  <si>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</si>
  <si>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</si>
  <si>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</si>
  <si>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</si>
  <si>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</si>
  <si>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</si>
  <si>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</si>
  <si>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</si>
  <si>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</si>
  <si>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</si>
  <si>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</si>
  <si>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</si>
  <si>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</si>
  <si>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</si>
  <si>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</si>
  <si>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</si>
  <si>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</si>
  <si>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</si>
  <si>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</si>
  <si>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</si>
  <si>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</si>
  <si>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</si>
  <si>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</si>
  <si>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</si>
  <si>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</si>
  <si>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</si>
  <si>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</si>
  <si>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</si>
  <si>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</si>
  <si>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</si>
  <si>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</si>
  <si>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</si>
  <si>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</si>
  <si>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</si>
  <si>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</si>
  <si>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</si>
  <si>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：單位已一致（外部＝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平均總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；模型＝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參考機隊付費營收，皆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年），不改公式與基準。剩餘差異是定義差：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對帳常數）對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）、理論上限（理想）對實際營收；見 </t>
    </r>
    <r>
      <rPr>
        <sz val="10"/>
        <color rgb="FF000000"/>
        <rFont val="Arial"/>
        <family val="0"/>
        <charset val="1"/>
      </rPr>
      <t xml:space="preserve">Decisions SL46-02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</si>
  <si>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</si>
  <si>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</si>
  <si>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</si>
  <si>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</si>
  <si>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</si>
  <si>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</si>
  <si>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</si>
  <si>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</si>
  <si>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</si>
  <si>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</si>
  <si>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</si>
  <si>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</si>
  <si>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</si>
  <si>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</si>
  <si>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</si>
  <si>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</si>
  <si>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</si>
  <si>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</si>
  <si>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</si>
  <si>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</si>
  <si>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</si>
  <si>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</si>
  <si>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</si>
  <si>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</si>
  <si>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</si>
  <si>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</si>
  <si>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</si>
  <si>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</si>
  <si>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</si>
  <si>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</si>
  <si>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</si>
  <si>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</si>
  <si>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</si>
  <si>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</si>
  <si>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</si>
  <si>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</si>
  <si>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</si>
  <si>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</si>
  <si>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</si>
  <si>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</si>
  <si>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</si>
  <si>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</si>
  <si>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</si>
  <si>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</si>
  <si>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</si>
  <si>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</si>
  <si>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</si>
  <si>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</si>
  <si>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</si>
  <si>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</si>
  <si>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</si>
  <si>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</si>
  <si>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</si>
  <si>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</si>
  <si>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</si>
  <si>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</si>
  <si>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</si>
  <si>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</si>
  <si>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</si>
  <si>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</si>
  <si>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</si>
  <si>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</si>
  <si>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</si>
  <si>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</si>
  <si>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</si>
  <si>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</si>
  <si>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</si>
  <si>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</si>
  <si>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</si>
  <si>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</si>
  <si>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</si>
  <si>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</si>
  <si>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</si>
  <si>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</si>
  <si>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</si>
  <si>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</si>
  <si>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</si>
  <si>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</si>
  <si>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</si>
  <si>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</si>
  <si>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</si>
  <si>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</si>
  <si>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</si>
  <si>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</si>
  <si>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</si>
  <si>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</si>
  <si>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</si>
  <si>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</si>
  <si>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</si>
  <si>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</si>
  <si>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</si>
  <si>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</si>
  <si>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</si>
  <si>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</si>
  <si>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</si>
  <si>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</si>
  <si>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</si>
  <si>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</si>
  <si>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</si>
  <si>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</si>
  <si>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</si>
  <si>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</si>
  <si>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</si>
  <si>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</si>
  <si>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</si>
  <si>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</si>
  <si>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</si>
  <si>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</si>
  <si>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</si>
  <si>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</si>
  <si>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</si>
  <si>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</si>
  <si>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</si>
  <si>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</si>
  <si>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</si>
  <si>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</si>
  <si>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</si>
  <si>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</si>
  <si>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</si>
  <si>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</si>
  <si>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</si>
  <si>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</si>
  <si>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</si>
  <si>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</si>
  <si>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</si>
  <si>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</si>
  <si>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</si>
  <si>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</si>
  <si>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</si>
  <si>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</si>
  <si>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</si>
  <si>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</si>
  <si>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</si>
  <si>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</si>
  <si>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</si>
  <si>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</si>
  <si>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</si>
  <si>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</si>
  <si>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</si>
  <si>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</si>
  <si>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</si>
  <si>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</si>
  <si>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</si>
  <si>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</si>
  <si>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</si>
  <si>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</si>
  <si>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</si>
  <si>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</si>
  <si>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</si>
  <si>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</si>
  <si>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</si>
  <si>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</si>
  <si>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</si>
  <si>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</si>
  <si>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</si>
  <si>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</si>
  <si>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</si>
  <si>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</si>
  <si>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</si>
  <si>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</si>
  <si>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</si>
  <si>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</si>
  <si>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</si>
  <si>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</si>
  <si>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</si>
  <si>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</si>
  <si>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</si>
  <si>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</si>
  <si>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</si>
  <si>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</si>
  <si>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</si>
  <si>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</si>
  <si>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</si>
  <si>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1.0429</t>
    </r>
    <r>
      <rPr>
        <sz val="10"/>
        <color rgb="FF000000"/>
        <rFont val="Noto Sans CJK SC"/>
        <family val="2"/>
      </rPr>
      <t xml:space="preserve">。換算後仍與模型有差距屬實質差異（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單點對模型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參考請求），不是單位問題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</si>
  <si>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</si>
  <si>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</si>
  <si>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</si>
  <si>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</si>
  <si>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</si>
  <si>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：外部是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比，已乘（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機架數比，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比再比；原未換算外部比＝</t>
    </r>
    <r>
      <rPr>
        <sz val="10"/>
        <color rgb="FF000000"/>
        <rFont val="Arial"/>
        <family val="0"/>
        <charset val="1"/>
      </rPr>
      <t xml:space="preserve">2.5749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</si>
  <si>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</si>
  <si>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</si>
  <si>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</si>
  <si>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</si>
  <si>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</si>
  <si>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</si>
  <si>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</si>
  <si>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</si>
  <si>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</si>
  <si>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標準成本比（方向；未除以世代比）；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：外部（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標準成本比）只含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效果、未除以世代比；本列模型值是『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世代比』，外部值已同樣除以（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）後再比（即比較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比本身）；原外部值 </t>
    </r>
    <r>
      <rPr>
        <sz val="10"/>
        <color rgb="FF000000"/>
        <rFont val="Arial"/>
        <family val="0"/>
        <charset val="1"/>
      </rPr>
      <t xml:space="preserve">SRC_HAR_006 ÷ SRC_HAR_004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0.6641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</si>
  <si>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</si>
  <si>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</si>
  <si>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</si>
  <si>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</si>
  <si>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</si>
  <si>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</si>
  <si>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</si>
  <si>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</si>
  <si>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</si>
  <si>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</si>
  <si>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</si>
  <si>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</si>
  <si>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</si>
  <si>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</si>
  <si>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</si>
  <si>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</si>
  <si>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</si>
  <si>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</si>
  <si>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</si>
  <si>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</si>
  <si>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</si>
  <si>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</si>
  <si>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</si>
  <si>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</si>
  <si>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</si>
  <si>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</si>
  <si>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</si>
  <si>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</si>
  <si>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</si>
  <si>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</si>
  <si>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</si>
  <si>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</si>
  <si>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</si>
  <si>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</si>
  <si>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</si>
  <si>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</si>
  <si>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</si>
  <si>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</si>
  <si>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</si>
  <si>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</si>
  <si>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</si>
  <si>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</si>
  <si>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</si>
  <si>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</si>
  <si>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</si>
  <si>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</si>
  <si>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</si>
  <si>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</si>
  <si>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</si>
  <si>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</si>
  <si>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</si>
  <si>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</si>
  <si>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</si>
  <si>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</si>
  <si>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</si>
  <si>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</si>
  <si>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</si>
  <si>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</si>
  <si>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</si>
  <si>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</si>
  <si>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</si>
  <si>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</si>
  <si>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</si>
  <si>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</si>
  <si>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</si>
  <si>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</si>
  <si>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</si>
  <si>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</si>
  <si>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</si>
  <si>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</si>
  <si>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</si>
  <si>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</si>
  <si>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</si>
  <si>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</si>
  <si>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</si>
  <si>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</si>
  <si>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</si>
  <si>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</si>
  <si>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</si>
  <si>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</si>
  <si>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</si>
  <si>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</si>
  <si>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</si>
  <si>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</si>
  <si>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</si>
  <si>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</si>
  <si>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</si>
  <si>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</si>
  <si>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</si>
  <si>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</si>
  <si>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</si>
  <si>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</si>
  <si>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</si>
  <si>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</si>
  <si>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</si>
  <si>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</si>
  <si>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</si>
  <si>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</si>
  <si>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</si>
  <si>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</si>
  <si>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</si>
  <si>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</si>
  <si>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</si>
  <si>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</si>
  <si>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</si>
  <si>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</si>
  <si>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</si>
  <si>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</si>
  <si>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</si>
  <si>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</si>
  <si>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</si>
  <si>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</si>
  <si>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</si>
  <si>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</si>
  <si>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</si>
  <si>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</si>
  <si>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</si>
  <si>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</si>
  <si>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</si>
  <si>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</si>
  <si>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</si>
  <si>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</si>
  <si>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</si>
  <si>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</si>
  <si>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</si>
  <si>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</si>
  <si>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</si>
  <si>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</si>
  <si>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</si>
  <si>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</si>
  <si>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</si>
  <si>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</si>
  <si>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</si>
  <si>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</si>
  <si>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</si>
  <si>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</si>
  <si>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</si>
  <si>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</si>
  <si>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</si>
  <si>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</si>
  <si>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</si>
  <si>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</si>
  <si>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</si>
  <si>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</si>
  <si>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</si>
  <si>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</si>
  <si>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</si>
  <si>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</si>
  <si>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</si>
  <si>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</si>
  <si>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</si>
  <si>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</si>
  <si>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</si>
  <si>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</si>
  <si>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</si>
  <si>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</si>
  <si>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</si>
  <si>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</si>
  <si>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</si>
  <si>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</si>
  <si>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</si>
  <si>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</si>
  <si>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</si>
  <si>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</si>
  <si>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</si>
  <si>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</si>
  <si>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</si>
  <si>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</si>
  <si>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</si>
  <si>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</si>
  <si>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</si>
  <si>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</si>
  <si>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</si>
  <si>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</si>
  <si>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</si>
  <si>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</si>
  <si>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</si>
  <si>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</si>
  <si>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</si>
  <si>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</si>
  <si>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</si>
  <si>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</si>
  <si>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</si>
  <si>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</si>
  <si>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</si>
  <si>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</si>
  <si>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</si>
  <si>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</si>
  <si>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</si>
  <si>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</si>
  <si>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</si>
  <si>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</si>
  <si>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</si>
  <si>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</si>
  <si>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</si>
  <si>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</si>
  <si>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</si>
  <si>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</si>
  <si>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</si>
  <si>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</si>
  <si>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</si>
  <si>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</si>
  <si>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</si>
  <si>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</si>
  <si>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</si>
  <si>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</si>
  <si>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</si>
  <si>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</si>
  <si>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</si>
  <si>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</si>
  <si>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</si>
  <si>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</si>
  <si>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</si>
  <si>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</si>
  <si>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</si>
  <si>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</si>
  <si>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</si>
  <si>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</si>
  <si>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</si>
  <si>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</si>
  <si>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</si>
  <si>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</si>
  <si>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</si>
  <si>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</si>
  <si>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</si>
  <si>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</si>
  <si>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</si>
  <si>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</si>
  <si>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</si>
  <si>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</si>
  <si>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</si>
  <si>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</si>
  <si>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</si>
  <si>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</si>
  <si>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</si>
  <si>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</si>
  <si>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</si>
  <si>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</si>
  <si>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</si>
  <si>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</si>
  <si>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</si>
  <si>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</si>
  <si>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</si>
  <si>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</si>
  <si>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</si>
  <si>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</si>
  <si>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</si>
  <si>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</si>
  <si>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</si>
  <si>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</si>
  <si>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</si>
  <si>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</si>
  <si>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</si>
  <si>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</si>
  <si>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</si>
  <si>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</si>
  <si>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</si>
  <si>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</si>
  <si>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</si>
  <si>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</si>
  <si>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</si>
  <si>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</si>
  <si>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</si>
  <si>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</si>
  <si>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</si>
  <si>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</si>
  <si>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</si>
  <si>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</si>
  <si>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</si>
  <si>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</si>
  <si>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</si>
  <si>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</si>
  <si>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</si>
  <si>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</si>
  <si>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</si>
  <si>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</si>
  <si>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</si>
  <si>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</si>
  <si>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</si>
  <si>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</si>
  <si>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</si>
  <si>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</si>
  <si>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</si>
  <si>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</si>
  <si>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</si>
  <si>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</si>
  <si>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</si>
  <si>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</si>
  <si>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</si>
  <si>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</si>
  <si>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</si>
  <si>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</si>
  <si>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</si>
  <si>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</si>
  <si>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</si>
  <si>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</si>
  <si>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</si>
  <si>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</si>
  <si>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</si>
  <si>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</si>
  <si>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</si>
  <si>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</si>
  <si>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</si>
  <si>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</si>
  <si>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</si>
  <si>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</si>
  <si>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</si>
  <si>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</si>
  <si>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</si>
  <si>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</si>
  <si>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</si>
  <si>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</si>
  <si>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</si>
  <si>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</si>
  <si>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</si>
  <si>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</si>
  <si>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</si>
  <si>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</si>
  <si>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</si>
  <si>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</si>
  <si>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</si>
  <si>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</si>
  <si>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</si>
  <si>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</si>
  <si>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</si>
  <si>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</si>
  <si>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</si>
  <si>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</si>
  <si>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</si>
  <si>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</si>
  <si>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</si>
  <si>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</si>
  <si>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</si>
  <si>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</si>
  <si>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</si>
  <si>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</si>
  <si>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</si>
  <si>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</si>
  <si>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</si>
  <si>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</si>
  <si>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</si>
  <si>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</si>
  <si>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</si>
  <si>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</si>
  <si>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</si>
  <si>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</si>
  <si>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</si>
  <si>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</si>
  <si>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</si>
  <si>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</si>
  <si>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</si>
  <si>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</si>
  <si>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</si>
  <si>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</si>
  <si>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</si>
  <si>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</si>
  <si>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</si>
  <si>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</si>
  <si>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</si>
  <si>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</si>
  <si>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</si>
  <si>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</si>
  <si>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</si>
  <si>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</si>
  <si>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</si>
  <si>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</si>
  <si>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</si>
  <si>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</si>
  <si>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</si>
  <si>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</si>
  <si>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</si>
  <si>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</si>
  <si>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</si>
  <si>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</si>
  <si>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</si>
  <si>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</si>
  <si>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</si>
  <si>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</si>
  <si>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</si>
  <si>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</si>
  <si>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</si>
  <si>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</si>
  <si>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</si>
  <si>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</si>
  <si>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</si>
  <si>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</si>
  <si>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</si>
  <si>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</si>
  <si>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</si>
  <si>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</si>
  <si>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</si>
  <si>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</si>
  <si>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</si>
  <si>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</si>
  <si>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</si>
  <si>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</si>
  <si>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</si>
  <si>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</si>
  <si>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</si>
  <si>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</si>
  <si>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</si>
  <si>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</si>
  <si>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</si>
  <si>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</si>
  <si>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</si>
  <si>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</si>
  <si>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</si>
  <si>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</si>
  <si>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</si>
  <si>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</si>
  <si>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</si>
  <si>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</si>
  <si>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</si>
  <si>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</si>
  <si>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</si>
  <si>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</si>
  <si>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</si>
  <si>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</si>
  <si>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</si>
  <si>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</si>
  <si>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</si>
  <si>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</si>
  <si>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</si>
  <si>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</si>
  <si>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</si>
  <si>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</si>
  <si>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</si>
  <si>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</si>
  <si>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</si>
  <si>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</si>
  <si>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</si>
  <si>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</si>
  <si>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</si>
  <si>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</si>
  <si>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</si>
  <si>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</si>
  <si>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</si>
  <si>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</si>
  <si>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</si>
  <si>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</si>
  <si>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</si>
  <si>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</si>
  <si>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</si>
  <si>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</si>
  <si>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</si>
  <si>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</si>
  <si>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</si>
  <si>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</si>
  <si>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</si>
  <si>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</si>
  <si>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</si>
  <si>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</si>
  <si>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</si>
  <si>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</si>
  <si>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</si>
  <si>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</si>
  <si>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</si>
  <si>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</si>
  <si>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</si>
  <si>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</si>
  <si>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</si>
  <si>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</si>
  <si>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</si>
  <si>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</si>
  <si>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</si>
  <si>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</si>
  <si>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</si>
  <si>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</si>
  <si>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</si>
  <si>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</si>
  <si>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</si>
  <si>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</si>
  <si>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</si>
  <si>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</si>
  <si>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</si>
  <si>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</si>
  <si>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</si>
  <si>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</si>
  <si>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</si>
  <si>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</si>
  <si>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</si>
  <si>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</si>
  <si>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</si>
  <si>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</si>
  <si>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</si>
  <si>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</si>
  <si>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</si>
  <si>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</si>
  <si>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</si>
  <si>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</si>
  <si>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</si>
  <si>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</si>
  <si>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</si>
  <si>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</si>
  <si>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</si>
  <si>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</si>
  <si>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</si>
  <si>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</si>
  <si>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</si>
  <si>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</si>
  <si>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</si>
  <si>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</si>
  <si>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</si>
  <si>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</si>
  <si>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</si>
  <si>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</si>
  <si>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</si>
  <si>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</si>
  <si>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</si>
  <si>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</si>
  <si>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</si>
  <si>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</si>
  <si>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</si>
  <si>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</si>
  <si>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</si>
  <si>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</si>
  <si>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</si>
  <si>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</si>
  <si>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</si>
  <si>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</si>
  <si>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</si>
  <si>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</si>
  <si>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</si>
  <si>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</si>
  <si>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</si>
  <si>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</si>
  <si>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</si>
  <si>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</si>
  <si>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</si>
  <si>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</si>
  <si>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</si>
  <si>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</si>
  <si>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</si>
  <si>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</si>
  <si>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</si>
  <si>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</si>
  <si>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</si>
  <si>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</si>
  <si>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</si>
  <si>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</si>
  <si>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</si>
  <si>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</si>
  <si>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</si>
  <si>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</si>
  <si>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</si>
  <si>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</si>
  <si>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</si>
  <si>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</si>
  <si>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</si>
  <si>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</si>
  <si>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</si>
  <si>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</si>
  <si>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</si>
  <si>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</si>
  <si>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</si>
  <si>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</si>
  <si>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</si>
  <si>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</si>
  <si>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</si>
  <si>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</si>
  <si>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</si>
  <si>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</si>
  <si>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</si>
  <si>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</si>
  <si>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</si>
  <si>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</si>
  <si>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</si>
  <si>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</si>
  <si>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</si>
  <si>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</si>
  <si>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</si>
  <si>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</si>
  <si>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</si>
  <si>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</si>
  <si>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</si>
  <si>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</si>
  <si>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</si>
  <si>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</si>
  <si>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</si>
  <si>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</si>
  <si>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</si>
  <si>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</si>
  <si>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</si>
  <si>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</si>
  <si>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</si>
  <si>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</si>
  <si>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</si>
  <si>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</si>
  <si>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</si>
  <si>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</si>
  <si>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</si>
  <si>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</si>
  <si>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</si>
  <si>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</si>
  <si>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</si>
  <si>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</si>
  <si>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</si>
  <si>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</si>
  <si>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</si>
  <si>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</si>
  <si>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</si>
  <si>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</si>
  <si>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</si>
  <si>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</si>
  <si>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</si>
  <si>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</si>
  <si>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</si>
  <si>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</si>
  <si>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</si>
  <si>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</si>
  <si>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</si>
  <si>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</si>
  <si>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</si>
  <si>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</si>
  <si>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</si>
  <si>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</si>
  <si>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</si>
  <si>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</si>
  <si>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</si>
  <si>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</si>
  <si>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</si>
  <si>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</si>
  <si>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</si>
  <si>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</si>
  <si>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</si>
  <si>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</si>
  <si>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</si>
  <si>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</si>
  <si>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</si>
  <si>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</si>
  <si>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</si>
  <si>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</si>
  <si>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</si>
  <si>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</si>
  <si>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</si>
  <si>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</si>
  <si>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</si>
  <si>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</si>
  <si>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</si>
  <si>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</si>
  <si>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</si>
  <si>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</si>
  <si>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</si>
  <si>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</si>
  <si>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</si>
  <si>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</si>
  <si>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</si>
  <si>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</si>
  <si>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</si>
  <si>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</si>
  <si>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</si>
  <si>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</si>
  <si>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</si>
  <si>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</si>
  <si>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</si>
  <si>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</si>
  <si>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</si>
  <si>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</si>
  <si>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</si>
  <si>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</si>
  <si>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</si>
  <si>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</si>
  <si>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</si>
  <si>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</si>
  <si>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</si>
  <si>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</si>
  <si>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</si>
  <si>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</si>
  <si>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</si>
  <si>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</si>
  <si>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</si>
  <si>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</si>
  <si>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</si>
  <si>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</si>
  <si>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</si>
  <si>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</si>
  <si>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</si>
  <si>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</si>
  <si>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</si>
  <si>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</si>
  <si>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</si>
  <si>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</si>
  <si>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</si>
  <si>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</si>
  <si>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</si>
  <si>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</si>
  <si>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</si>
  <si>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</si>
  <si>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</si>
  <si>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</si>
  <si>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</si>
  <si>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</si>
  <si>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</si>
  <si>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</si>
  <si>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</si>
  <si>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</si>
  <si>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</si>
  <si>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</si>
  <si>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</si>
  <si>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</si>
  <si>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</si>
  <si>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</si>
  <si>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</si>
  <si>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</si>
  <si>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</si>
  <si>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</si>
  <si>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</si>
  <si>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</si>
  <si>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</si>
  <si>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</si>
  <si>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</si>
  <si>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</si>
  <si>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</si>
  <si>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</si>
  <si>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</si>
  <si>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</si>
  <si>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</si>
  <si>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</si>
  <si>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</si>
  <si>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</si>
  <si>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</si>
  <si>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</si>
  <si>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</si>
  <si>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</si>
  <si>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</si>
  <si>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</si>
  <si>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</si>
  <si>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</si>
  <si>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</si>
  <si>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</si>
  <si>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</si>
  <si>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</si>
  <si>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</si>
  <si>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</si>
  <si>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</si>
  <si>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</si>
  <si>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</si>
  <si>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</si>
  <si>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</si>
  <si>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</si>
  <si>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</si>
  <si>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</si>
  <si>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</si>
  <si>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</si>
  <si>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</si>
  <si>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</si>
  <si>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</si>
  <si>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</si>
  <si>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</si>
  <si>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</si>
  <si>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</si>
  <si>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</si>
  <si>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</si>
  <si>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</si>
  <si>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</si>
  <si>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</si>
  <si>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</si>
  <si>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</si>
  <si>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</si>
  <si>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</si>
  <si>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</si>
  <si>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</si>
  <si>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</si>
  <si>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</si>
  <si>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</si>
  <si>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</si>
  <si>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</si>
  <si>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</si>
  <si>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</si>
  <si>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</si>
  <si>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</si>
  <si>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</si>
  <si>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</si>
  <si>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</si>
  <si>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</si>
  <si>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</si>
  <si>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</si>
  <si>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</si>
  <si>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</si>
  <si>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</si>
  <si>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</si>
  <si>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</si>
  <si>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</si>
  <si>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</si>
  <si>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</si>
  <si>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</si>
  <si>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</si>
  <si>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</si>
  <si>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</si>
  <si>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</si>
  <si>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</si>
  <si>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</si>
  <si>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</si>
  <si>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</si>
  <si>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</si>
  <si>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</si>
  <si>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</si>
  <si>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</si>
  <si>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</si>
  <si>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</si>
  <si>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</si>
  <si>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</si>
  <si>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</si>
  <si>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</si>
  <si>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</si>
  <si>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</si>
  <si>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</si>
  <si>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</si>
  <si>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</si>
  <si>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</si>
  <si>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</si>
  <si>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</si>
  <si>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</si>
  <si>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</si>
  <si>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</si>
  <si>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</si>
  <si>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</si>
  <si>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</si>
  <si>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</si>
  <si>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</si>
  <si>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</si>
  <si>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</si>
  <si>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</si>
  <si>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</si>
  <si>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</si>
  <si>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</si>
  <si>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</si>
  <si>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</si>
  <si>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</si>
  <si>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</si>
  <si>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</si>
  <si>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</si>
  <si>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</si>
  <si>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</si>
  <si>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</si>
  <si>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</si>
  <si>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</si>
  <si>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</si>
  <si>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</si>
  <si>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</si>
  <si>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</si>
  <si>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</si>
  <si>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</si>
  <si>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</si>
  <si>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</si>
  <si>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</si>
  <si>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</si>
  <si>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</si>
  <si>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</si>
  <si>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</si>
  <si>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</si>
  <si>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</si>
  <si>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</si>
  <si>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</si>
  <si>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</si>
  <si>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</si>
  <si>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</si>
  <si>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</si>
  <si>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</si>
  <si>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</si>
  <si>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</si>
  <si>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</si>
  <si>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</si>
  <si>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</si>
  <si>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</si>
  <si>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</si>
  <si>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</si>
  <si>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</si>
  <si>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</si>
  <si>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</si>
  <si>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</si>
  <si>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</si>
  <si>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</si>
  <si>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</si>
  <si>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</si>
  <si>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</si>
  <si>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</si>
  <si>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</si>
  <si>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</si>
  <si>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</si>
  <si>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</si>
  <si>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</si>
  <si>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</si>
  <si>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</si>
  <si>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</si>
  <si>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</si>
  <si>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</si>
  <si>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</si>
  <si>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</si>
  <si>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</si>
  <si>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V16 </t>
    </r>
    <r>
      <rPr>
        <sz val="9"/>
        <color rgb="FF595959"/>
        <rFont val="Noto Sans CJK SC"/>
        <family val="2"/>
      </rPr>
      <t xml:space="preserve">亦為恆等式（非驗證），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欄為文字，不計入驗證項目數（驗證計數 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</si>
  <si>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</si>
  <si>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</si>
  <si>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</si>
  <si>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</si>
  <si>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</si>
  <si>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</si>
  <si>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</si>
  <si>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</si>
  <si>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</si>
  <si>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</si>
  <si>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</si>
  <si>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</si>
  <si>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</si>
  <si>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</si>
  <si>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</si>
  <si>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</si>
  <si>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</si>
  <si>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</si>
  <si>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</si>
  <si>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v15.0 </t>
    </r>
    <r>
      <rPr>
        <sz val="9"/>
        <color rgb="FF595959"/>
        <rFont val="Noto Sans CJK SC"/>
        <family val="2"/>
      </rPr>
      <t xml:space="preserve">更正：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已回查（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技術部落格表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結果；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自測未經驗證），上句『對照值未回查』結案；</t>
    </r>
    <r>
      <rPr>
        <sz val="9"/>
        <color rgb="FF595959"/>
        <rFont val="Arial"/>
        <family val="0"/>
        <charset val="1"/>
      </rPr>
      <t xml:space="preserve">V1 </t>
    </r>
    <r>
      <rPr>
        <sz val="9"/>
        <color rgb="FF595959"/>
        <rFont val="Noto Sans CJK SC"/>
        <family val="2"/>
      </rPr>
      <t xml:space="preserve">判定不變（</t>
    </r>
    <r>
      <rPr>
        <sz val="9"/>
        <color rgb="FF595959"/>
        <rFont val="Arial"/>
        <family val="0"/>
        <charset val="1"/>
      </rPr>
      <t xml:space="preserve">1.22</t>
    </r>
    <r>
      <rPr>
        <sz val="9"/>
        <color rgb="FF595959"/>
        <rFont val="Noto Sans CJK SC"/>
        <family val="2"/>
      </rPr>
      <t xml:space="preserve">，警示）；</t>
    </r>
    <r>
      <rPr>
        <sz val="9"/>
        <color rgb="FF595959"/>
        <rFont val="Arial"/>
        <family val="0"/>
        <charset val="1"/>
      </rPr>
      <t xml:space="preserve">Decisions SL46-23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</si>
  <si>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</si>
  <si>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</si>
  <si>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</si>
  <si>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</si>
  <si>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</si>
  <si>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</si>
  <si>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</si>
  <si>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</si>
  <si>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</si>
  <si>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</si>
  <si>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</si>
  <si>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</si>
  <si>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</si>
  <si>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</si>
  <si>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</si>
  <si>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</si>
  <si>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</si>
  <si>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</si>
  <si>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</si>
  <si>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</si>
  <si>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</si>
  <si>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</si>
  <si>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</si>
  <si>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</si>
  <si>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</si>
  <si>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</si>
  <si>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</si>
  <si>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</si>
  <si>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</si>
  <si>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</si>
  <si>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</si>
  <si>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</si>
  <si>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</si>
  <si>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</si>
  <si>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</si>
  <si>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</si>
  <si>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</si>
  <si>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</si>
  <si>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</si>
  <si>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</si>
  <si>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</si>
  <si>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</si>
  <si>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</si>
  <si>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v15.0 O9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</si>
  <si>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改回驗證計數｜</t>
    </r>
    <r>
      <rPr>
        <sz val="9"/>
        <color rgb="FF595959"/>
        <rFont val="Arial"/>
        <family val="0"/>
        <charset val="1"/>
      </rPr>
      <t xml:space="preserve">v15.0 O9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2026-10-17 13:39 </t>
    </r>
    <r>
      <rPr>
        <sz val="9"/>
        <color rgb="FF595959"/>
        <rFont val="Noto Sans CJK SC"/>
        <family val="2"/>
      </rPr>
      <t xml:space="preserve">照預設）：比照 </t>
    </r>
    <r>
      <rPr>
        <sz val="9"/>
        <color rgb="FF595959"/>
        <rFont val="Arial"/>
        <family val="0"/>
        <charset val="1"/>
      </rPr>
      <t xml:space="preserve">V23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標『恆等式（非驗證）』並移出驗證計數（</t>
    </r>
    <r>
      <rPr>
        <sz val="9"/>
        <color rgb="FF595959"/>
        <rFont val="Arial"/>
        <family val="0"/>
        <charset val="1"/>
      </rPr>
      <t xml:space="preserve">22 → 21</t>
    </r>
    <r>
      <rPr>
        <sz val="9"/>
        <color rgb="FF595959"/>
        <rFont val="Noto Sans CJK SC"/>
        <family val="2"/>
      </rPr>
      <t xml:space="preserve">）。理由：能量閉合比是物理下限功率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機架平均用電，基準 </t>
    </r>
    <r>
      <rPr>
        <sz val="9"/>
        <color rgb="FF595959"/>
        <rFont val="Arial"/>
        <family val="0"/>
        <charset val="1"/>
      </rPr>
      <t xml:space="preserve">0.085 </t>
    </r>
    <r>
      <rPr>
        <sz val="9"/>
        <color rgb="FF595959"/>
        <rFont val="Noto Sans CJK SC"/>
        <family val="2"/>
      </rPr>
      <t xml:space="preserve">距門檻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很遠，輸入在合理範圍內改變無法使其失敗（結構上近似恆成立），不符合 </t>
    </r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『驗證必須能失敗』；原 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『改回驗證計數』的判斷由本筆取代（原文保留在本欄前段）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</si>
  <si>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</si>
  <si>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</si>
  <si>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</si>
  <si>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</si>
  <si>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</si>
  <si>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</si>
  <si>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</si>
  <si>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</si>
  <si>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</si>
  <si>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</si>
  <si>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</si>
  <si>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</si>
  <si>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</si>
  <si>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</si>
  <si>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</si>
  <si>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</si>
  <si>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</si>
  <si>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</si>
  <si>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</si>
  <si>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</si>
  <si>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</si>
  <si>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</si>
  <si>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</si>
  <si>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</si>
  <si>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</si>
  <si>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</si>
  <si>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</si>
  <si>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</si>
  <si>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</si>
  <si>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</si>
  <si>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</si>
  <si>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</si>
  <si>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</si>
  <si>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</si>
  <si>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</si>
  <si>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</si>
  <si>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</si>
  <si>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</si>
  <si>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</si>
  <si>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</si>
  <si>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</si>
  <si>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t xml:space="preserve">RG4</t>
  </si>
  <si>
    <r>
      <rPr>
        <sz val="10"/>
        <color rgb="FF000000"/>
        <rFont val="Noto Sans CJK SC"/>
        <family val="2"/>
      </rPr>
      <t xml:space="preserve">推論支出區間（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任一基準落在 </t>
    </r>
    <r>
      <rPr>
        <sz val="10"/>
        <color rgb="FF000000"/>
        <rFont val="Arial"/>
        <family val="0"/>
        <charset val="1"/>
      </rPr>
      <t xml:space="preserve">RNG_Dem004_*_Lo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</si>
  <si>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RNG_Dem004_OutCount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Q </t>
    </r>
    <r>
      <rPr>
        <sz val="9"/>
        <color rgb="FF595959"/>
        <rFont val="Noto Sans CJK SC"/>
        <family val="2"/>
      </rPr>
      <t xml:space="preserve">節（公式區間，沒有指紋：來源區間改動時端點即時更新）</t>
    </r>
  </si>
  <si>
    <r>
      <rPr>
        <b val="true"/>
        <sz val="10"/>
        <rFont val="Arial"/>
        <family val="0"/>
        <charset val="1"/>
      </rPr>
      <t xml:space="preserve">KP. κ </t>
    </r>
    <r>
      <rPr>
        <b val="true"/>
        <sz val="10"/>
        <rFont val="Noto Sans CJK SC"/>
        <family val="2"/>
      </rPr>
      <t xml:space="preserve">重算對照（</t>
    </r>
    <r>
      <rPr>
        <b val="true"/>
        <sz val="10"/>
        <rFont val="Arial"/>
        <family val="0"/>
        <charset val="1"/>
      </rPr>
      <t xml:space="preserve">v15.0 O20</t>
    </r>
    <r>
      <rPr>
        <b val="true"/>
        <sz val="10"/>
        <rFont val="Noto Sans CJK SC"/>
        <family val="2"/>
      </rPr>
      <t xml:space="preserve">；顯示用，不計入 </t>
    </r>
    <r>
      <rPr>
        <b val="true"/>
        <sz val="10"/>
        <rFont val="Arial"/>
        <family val="0"/>
        <charset val="1"/>
      </rPr>
      <t xml:space="preserve">GOV_*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推導區塊重算值對 </t>
    </r>
    <r>
      <rPr>
        <b val="true"/>
        <sz val="10"/>
        <rFont val="Arial"/>
        <family val="0"/>
        <charset val="1"/>
      </rPr>
      <t xml:space="preserve">AL_Kappa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）與其區間</t>
    </r>
  </si>
  <si>
    <t xml:space="preserve">KP1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</si>
  <si>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 </t>
    </r>
    <r>
      <rPr>
        <sz val="10"/>
        <color rgb="FF000000"/>
        <rFont val="Arial"/>
        <family val="0"/>
        <charset val="1"/>
      </rPr>
      <t xml:space="preserve">÷ AL_Kappa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</si>
  <si>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Alloc_In κ </t>
    </r>
    <r>
      <rPr>
        <sz val="9"/>
        <color rgb="FF595959"/>
        <rFont val="Noto Sans CJK SC"/>
        <family val="2"/>
      </rPr>
      <t xml:space="preserve">推導區塊；不改 </t>
    </r>
    <r>
      <rPr>
        <sz val="9"/>
        <color rgb="FF595959"/>
        <rFont val="Arial"/>
        <family val="0"/>
        <charset val="1"/>
      </rPr>
      <t xml:space="preserve">AL_Kappa</t>
    </r>
  </si>
  <si>
    <t xml:space="preserve">KP2</t>
  </si>
  <si>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重算值落在 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區間內（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</si>
  <si>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＝重算值在 </t>
    </r>
    <r>
      <rPr>
        <sz val="9"/>
        <color rgb="FF595959"/>
        <rFont val="Arial"/>
        <family val="0"/>
        <charset val="1"/>
      </rPr>
      <t xml:space="preserve">0.65–1.2 </t>
    </r>
    <r>
      <rPr>
        <sz val="9"/>
        <color rgb="FF595959"/>
        <rFont val="Noto Sans CJK SC"/>
        <family val="2"/>
      </rPr>
      <t xml:space="preserve">之外，須由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判斷是否更新 </t>
    </r>
    <r>
      <rPr>
        <sz val="9"/>
        <color rgb="FF595959"/>
        <rFont val="Arial"/>
        <family val="0"/>
        <charset val="1"/>
      </rPr>
      <t xml:space="preserve">AL_Kappa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</si>
  <si>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</si>
  <si>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</si>
  <si>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</si>
  <si>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</si>
  <si>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</si>
  <si>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</si>
  <si>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</si>
  <si>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</si>
  <si>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</si>
  <si>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</si>
  <si>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</si>
  <si>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</si>
  <si>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</si>
  <si>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</si>
  <si>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</si>
  <si>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</si>
  <si>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</si>
  <si>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</si>
  <si>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</si>
  <si>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</si>
  <si>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</si>
  <si>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</si>
  <si>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</si>
  <si>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</si>
  <si>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</si>
  <si>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</si>
  <si>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</si>
  <si>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</si>
  <si>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</si>
  <si>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</si>
  <si>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</si>
  <si>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</si>
  <si>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</si>
  <si>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</si>
  <si>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</si>
  <si>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</si>
  <si>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</si>
  <si>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</si>
  <si>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</si>
  <si>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</si>
  <si>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</si>
  <si>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</si>
  <si>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</si>
  <si>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</si>
  <si>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</si>
  <si>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</si>
  <si>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</si>
  <si>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</si>
  <si>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</si>
  <si>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</si>
  <si>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</si>
  <si>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</si>
  <si>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</si>
  <si>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</si>
  <si>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</si>
  <si>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</si>
  <si>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</si>
  <si>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</si>
  <si>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</si>
  <si>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</si>
  <si>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</si>
  <si>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</si>
  <si>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</si>
  <si>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</si>
  <si>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</si>
  <si>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</si>
  <si>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</si>
  <si>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</si>
  <si>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</si>
  <si>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</si>
  <si>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</si>
  <si>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</si>
  <si>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</si>
  <si>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</si>
  <si>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</si>
  <si>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</si>
  <si>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</si>
  <si>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</si>
  <si>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</si>
  <si>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</si>
  <si>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</si>
  <si>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</si>
  <si>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</si>
  <si>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</si>
  <si>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</si>
  <si>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</si>
  <si>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</si>
  <si>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</si>
  <si>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</si>
  <si>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</si>
  <si>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</si>
  <si>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</si>
  <si>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</si>
  <si>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</si>
  <si>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</si>
  <si>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</si>
  <si>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</si>
  <si>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</si>
  <si>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</si>
  <si>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</si>
  <si>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</si>
  <si>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</si>
  <si>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</si>
  <si>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</si>
  <si>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</si>
  <si>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</si>
  <si>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</si>
  <si>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</si>
  <si>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</si>
  <si>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</si>
  <si>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</si>
  <si>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</si>
  <si>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</si>
  <si>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</si>
  <si>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</si>
  <si>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</si>
  <si>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</si>
  <si>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</si>
  <si>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</si>
  <si>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</si>
  <si>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</si>
  <si>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</si>
  <si>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</si>
  <si>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</si>
  <si>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</si>
  <si>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</si>
  <si>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</si>
  <si>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</si>
  <si>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</si>
  <si>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</si>
  <si>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</si>
  <si>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</si>
  <si>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</si>
  <si>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</si>
  <si>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</si>
  <si>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</si>
  <si>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</si>
  <si>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</si>
  <si>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</si>
  <si>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</si>
  <si>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</si>
  <si>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</si>
  <si>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</si>
  <si>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</si>
  <si>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</si>
  <si>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</si>
  <si>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</si>
  <si>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</si>
  <si>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</si>
  <si>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</si>
  <si>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</si>
  <si>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</si>
  <si>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</si>
  <si>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</si>
  <si>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</si>
  <si>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</si>
  <si>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</si>
  <si>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</si>
  <si>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</si>
  <si>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</si>
  <si>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</si>
  <si>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</si>
  <si>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</si>
  <si>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</si>
  <si>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</si>
  <si>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</si>
  <si>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</si>
  <si>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</si>
  <si>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</si>
  <si>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</si>
  <si>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</si>
  <si>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</si>
  <si>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</si>
  <si>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</si>
  <si>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</si>
  <si>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</si>
  <si>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</si>
  <si>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</si>
  <si>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</si>
  <si>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</si>
  <si>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</si>
  <si>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</si>
  <si>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</si>
  <si>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</si>
  <si>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</si>
  <si>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</si>
  <si>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</si>
  <si>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</si>
  <si>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</si>
  <si>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</si>
  <si>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</si>
  <si>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</si>
  <si>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</si>
  <si>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</si>
  <si>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</si>
  <si>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</si>
  <si>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</si>
  <si>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</si>
  <si>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</si>
  <si>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</si>
  <si>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</si>
  <si>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</si>
  <si>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</si>
  <si>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</si>
  <si>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</si>
  <si>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</si>
  <si>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</si>
  <si>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</si>
  <si>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</si>
  <si>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</si>
  <si>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</si>
  <si>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</si>
  <si>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</si>
  <si>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</si>
  <si>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</si>
  <si>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</si>
  <si>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</si>
  <si>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</si>
  <si>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</si>
  <si>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</si>
  <si>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</si>
  <si>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</si>
  <si>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</si>
  <si>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</si>
  <si>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</si>
  <si>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</si>
  <si>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</si>
  <si>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</si>
  <si>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</si>
  <si>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</si>
  <si>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</si>
  <si>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</si>
  <si>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</si>
  <si>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</si>
  <si>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</si>
  <si>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</si>
  <si>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</si>
  <si>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</si>
  <si>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</si>
  <si>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</si>
  <si>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</si>
  <si>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</si>
  <si>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</si>
  <si>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</si>
  <si>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</si>
  <si>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</si>
  <si>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</si>
  <si>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</si>
  <si>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</si>
  <si>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</si>
  <si>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</si>
  <si>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</si>
  <si>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</si>
  <si>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</si>
  <si>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</si>
  <si>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</si>
  <si>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</si>
  <si>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</si>
  <si>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</si>
  <si>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</si>
  <si>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</si>
  <si>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</si>
  <si>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</si>
  <si>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</si>
  <si>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</si>
  <si>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</si>
  <si>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</si>
  <si>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</si>
  <si>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</si>
  <si>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</si>
  <si>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</si>
  <si>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</si>
  <si>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</si>
  <si>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</si>
  <si>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</si>
  <si>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</si>
  <si>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</si>
  <si>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</si>
  <si>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</si>
  <si>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</si>
  <si>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</si>
  <si>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</si>
  <si>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</si>
  <si>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</si>
  <si>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</si>
  <si>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</si>
  <si>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</si>
  <si>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</si>
  <si>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</si>
  <si>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</si>
  <si>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</si>
  <si>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</si>
  <si>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</si>
  <si>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</si>
  <si>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</si>
  <si>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</si>
  <si>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</si>
  <si>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</si>
  <si>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</si>
  <si>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</si>
  <si>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</si>
  <si>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</si>
  <si>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</si>
  <si>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</si>
  <si>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</si>
  <si>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</si>
  <si>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</si>
  <si>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</si>
  <si>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</si>
  <si>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</si>
  <si>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</si>
  <si>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</si>
  <si>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</si>
  <si>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</si>
  <si>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</si>
  <si>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</si>
  <si>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</si>
  <si>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</si>
  <si>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</si>
  <si>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</si>
  <si>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</si>
  <si>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</si>
  <si>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</si>
  <si>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</si>
  <si>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</si>
  <si>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</si>
  <si>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</si>
  <si>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</si>
  <si>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</si>
  <si>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</si>
  <si>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</si>
  <si>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</si>
  <si>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</si>
  <si>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</si>
  <si>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</si>
  <si>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</si>
  <si>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</si>
  <si>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</si>
  <si>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</si>
  <si>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</si>
  <si>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</si>
  <si>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</si>
  <si>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</si>
  <si>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</si>
  <si>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</si>
  <si>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</si>
  <si>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</si>
  <si>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</si>
  <si>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</si>
  <si>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</si>
  <si>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</si>
  <si>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</si>
  <si>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</si>
  <si>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</si>
  <si>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</si>
  <si>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</si>
  <si>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</si>
  <si>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</si>
  <si>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</si>
  <si>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</si>
  <si>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</si>
  <si>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</si>
  <si>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</si>
  <si>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</si>
  <si>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</si>
  <si>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</si>
  <si>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</si>
  <si>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</si>
  <si>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</si>
  <si>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</si>
  <si>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</si>
  <si>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</si>
  <si>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</si>
  <si>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</si>
  <si>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</si>
  <si>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</si>
  <si>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</si>
  <si>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</si>
  <si>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</si>
  <si>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</si>
  <si>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</si>
  <si>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</si>
  <si>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</si>
  <si>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</si>
  <si>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</si>
  <si>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</si>
  <si>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</si>
  <si>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</si>
  <si>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</si>
  <si>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</si>
  <si>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</si>
  <si>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</si>
  <si>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</si>
  <si>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</si>
  <si>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</si>
  <si>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</si>
  <si>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</si>
  <si>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</si>
  <si>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</si>
  <si>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</si>
  <si>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</si>
  <si>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</si>
  <si>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</si>
  <si>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</si>
  <si>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</si>
  <si>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</si>
  <si>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</si>
  <si>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</si>
  <si>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</si>
  <si>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</si>
  <si>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</si>
  <si>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</si>
  <si>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</si>
  <si>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</si>
  <si>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</si>
  <si>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</si>
  <si>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</si>
  <si>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</si>
  <si>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</si>
  <si>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</si>
  <si>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</si>
  <si>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</si>
  <si>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</si>
  <si>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</si>
  <si>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</si>
  <si>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</si>
  <si>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</si>
  <si>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</si>
  <si>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</si>
  <si>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</si>
  <si>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</si>
  <si>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</si>
  <si>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</si>
  <si>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</si>
  <si>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</si>
  <si>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</si>
  <si>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</si>
  <si>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</si>
  <si>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</si>
  <si>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</si>
  <si>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</si>
  <si>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</si>
  <si>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</si>
  <si>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</si>
  <si>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</si>
  <si>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</si>
  <si>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</si>
  <si>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</si>
  <si>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</si>
  <si>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</si>
  <si>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</si>
  <si>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</si>
  <si>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</si>
  <si>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</si>
  <si>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</si>
  <si>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</si>
  <si>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</si>
  <si>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</si>
  <si>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</si>
  <si>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</si>
  <si>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</si>
  <si>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</si>
  <si>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</si>
  <si>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</si>
  <si>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</si>
  <si>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</si>
  <si>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</si>
  <si>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</si>
  <si>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</si>
  <si>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</si>
  <si>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</si>
  <si>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</si>
  <si>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</si>
  <si>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</si>
  <si>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</si>
  <si>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</si>
  <si>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</si>
  <si>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</si>
  <si>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</si>
  <si>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</si>
  <si>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</si>
  <si>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</si>
  <si>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</si>
  <si>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</si>
  <si>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</si>
  <si>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</si>
  <si>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</si>
  <si>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</si>
  <si>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</si>
  <si>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</si>
  <si>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</si>
  <si>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</si>
  <si>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</si>
  <si>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</si>
  <si>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</si>
  <si>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</si>
  <si>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</si>
  <si>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</si>
  <si>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</si>
  <si>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</si>
  <si>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</si>
  <si>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</si>
  <si>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</si>
  <si>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</si>
  <si>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</si>
  <si>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</si>
  <si>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</si>
  <si>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</si>
  <si>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</si>
  <si>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</si>
  <si>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</si>
  <si>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</si>
  <si>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</si>
  <si>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</si>
  <si>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</si>
  <si>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</si>
  <si>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</si>
  <si>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</si>
  <si>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</si>
  <si>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</si>
  <si>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</si>
  <si>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</si>
  <si>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</si>
  <si>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</si>
  <si>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</si>
  <si>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</si>
  <si>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</si>
  <si>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</si>
  <si>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</si>
  <si>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</si>
  <si>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</si>
  <si>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</si>
  <si>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</si>
  <si>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</si>
  <si>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</si>
  <si>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</si>
  <si>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</si>
  <si>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</si>
  <si>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</si>
  <si>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</si>
  <si>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</si>
  <si>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</si>
  <si>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</si>
  <si>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</si>
  <si>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</si>
  <si>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</si>
  <si>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</si>
  <si>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</si>
  <si>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</si>
  <si>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</si>
  <si>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</si>
  <si>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</si>
  <si>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</si>
  <si>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</si>
  <si>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</si>
  <si>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</si>
  <si>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</si>
  <si>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</si>
  <si>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</si>
  <si>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</si>
  <si>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</si>
  <si>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</si>
  <si>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</si>
  <si>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</si>
  <si>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</si>
  <si>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</si>
  <si>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</si>
  <si>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</si>
  <si>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</si>
  <si>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</si>
  <si>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</si>
  <si>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</si>
  <si>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</si>
  <si>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</si>
  <si>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</si>
  <si>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</si>
  <si>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</si>
  <si>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</si>
  <si>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</si>
  <si>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</si>
  <si>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</si>
  <si>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</si>
  <si>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</si>
  <si>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</si>
  <si>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</si>
  <si>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</si>
  <si>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</si>
  <si>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</si>
  <si>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</si>
  <si>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</si>
  <si>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</si>
  <si>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</si>
  <si>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</si>
  <si>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</si>
  <si>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</si>
  <si>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</si>
  <si>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</si>
  <si>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</si>
  <si>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</si>
  <si>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</si>
  <si>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</si>
  <si>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</si>
  <si>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</si>
  <si>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</si>
  <si>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</si>
  <si>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</si>
  <si>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</si>
  <si>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</si>
  <si>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</si>
  <si>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</si>
  <si>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</si>
  <si>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</si>
  <si>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</si>
  <si>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</si>
  <si>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</si>
  <si>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</si>
  <si>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</si>
  <si>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</si>
  <si>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</si>
  <si>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</si>
  <si>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</si>
  <si>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</si>
  <si>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</si>
  <si>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</si>
  <si>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</si>
  <si>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</si>
  <si>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</si>
  <si>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</si>
  <si>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</si>
  <si>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</si>
  <si>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</si>
  <si>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</si>
  <si>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</si>
  <si>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</si>
  <si>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</si>
  <si>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</si>
  <si>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</si>
  <si>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</si>
  <si>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</si>
  <si>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</si>
  <si>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</si>
  <si>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</si>
  <si>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</si>
  <si>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</si>
  <si>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</si>
  <si>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</si>
  <si>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</si>
  <si>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</si>
  <si>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</si>
  <si>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</si>
  <si>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</si>
  <si>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</si>
  <si>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</si>
  <si>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</si>
  <si>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</si>
  <si>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</si>
  <si>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</si>
  <si>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</si>
  <si>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</si>
  <si>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</si>
  <si>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</si>
  <si>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</si>
  <si>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</si>
  <si>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</si>
  <si>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</si>
  <si>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</si>
  <si>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</si>
  <si>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</si>
  <si>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</si>
  <si>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</si>
  <si>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</si>
  <si>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</si>
  <si>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</si>
  <si>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</si>
  <si>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</si>
  <si>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</si>
  <si>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</si>
  <si>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</si>
  <si>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</si>
  <si>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</si>
  <si>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</si>
  <si>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</si>
  <si>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</si>
  <si>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</si>
  <si>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</si>
  <si>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</si>
  <si>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</si>
  <si>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</si>
  <si>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</si>
  <si>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</si>
  <si>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</si>
  <si>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</si>
  <si>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</si>
  <si>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</si>
  <si>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</si>
  <si>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</si>
  <si>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</si>
  <si>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</si>
  <si>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</si>
  <si>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</si>
  <si>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</si>
  <si>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</si>
  <si>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</si>
  <si>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</si>
  <si>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</si>
  <si>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</si>
  <si>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</si>
  <si>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</si>
  <si>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</si>
  <si>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</si>
  <si>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</si>
  <si>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</si>
  <si>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</si>
  <si>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</si>
  <si>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</si>
  <si>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</si>
  <si>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</si>
  <si>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</si>
  <si>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</si>
  <si>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</si>
  <si>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</si>
  <si>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</si>
  <si>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</si>
  <si>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</si>
  <si>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</si>
  <si>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</si>
  <si>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</si>
  <si>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</si>
  <si>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</si>
  <si>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</si>
  <si>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</si>
  <si>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</si>
  <si>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</si>
  <si>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</si>
  <si>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</si>
  <si>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</si>
  <si>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</si>
  <si>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</si>
  <si>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</si>
  <si>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</si>
  <si>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</si>
  <si>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</si>
  <si>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</si>
  <si>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</si>
  <si>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</si>
  <si>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</si>
  <si>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</si>
  <si>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</si>
  <si>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</si>
  <si>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</si>
  <si>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</si>
  <si>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</si>
  <si>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</si>
  <si>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</si>
  <si>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</si>
  <si>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</si>
  <si>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</si>
  <si>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</si>
  <si>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</si>
  <si>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</si>
  <si>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</si>
  <si>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</si>
  <si>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</si>
  <si>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</si>
  <si>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</si>
  <si>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</si>
  <si>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</si>
  <si>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</si>
  <si>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</si>
  <si>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</si>
  <si>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</si>
  <si>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</si>
  <si>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</si>
  <si>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</si>
  <si>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</si>
  <si>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</si>
  <si>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</si>
  <si>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</si>
  <si>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</si>
  <si>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</si>
  <si>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</si>
  <si>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</si>
  <si>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</si>
  <si>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</si>
  <si>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</si>
  <si>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</si>
  <si>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</si>
  <si>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</si>
  <si>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</si>
  <si>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</si>
  <si>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</si>
  <si>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</si>
  <si>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</si>
  <si>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</si>
  <si>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</si>
  <si>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</si>
  <si>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</si>
  <si>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</si>
  <si>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</si>
  <si>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</si>
  <si>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</si>
  <si>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</si>
  <si>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</si>
  <si>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</si>
  <si>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</si>
  <si>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</si>
  <si>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</si>
  <si>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</si>
  <si>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</si>
  <si>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</si>
  <si>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</si>
  <si>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</si>
  <si>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</si>
  <si>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</si>
  <si>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</si>
  <si>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</si>
  <si>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</si>
  <si>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</si>
  <si>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</si>
  <si>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</si>
  <si>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</si>
  <si>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</si>
  <si>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</si>
  <si>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</si>
  <si>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</si>
  <si>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</si>
  <si>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</si>
  <si>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</si>
  <si>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</si>
  <si>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</si>
  <si>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</si>
  <si>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</si>
  <si>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</si>
  <si>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</si>
  <si>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</si>
  <si>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</si>
  <si>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</si>
  <si>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</si>
  <si>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</si>
  <si>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</si>
  <si>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</si>
  <si>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</si>
  <si>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</si>
  <si>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</si>
  <si>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</si>
  <si>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</si>
  <si>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</si>
  <si>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</si>
  <si>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</si>
  <si>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</si>
  <si>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</si>
  <si>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</si>
  <si>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</si>
  <si>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</si>
  <si>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</si>
  <si>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</si>
  <si>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</si>
  <si>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</si>
  <si>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</si>
  <si>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</si>
  <si>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</si>
  <si>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</si>
  <si>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</si>
  <si>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</si>
  <si>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</si>
  <si>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</si>
  <si>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</si>
  <si>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</si>
  <si>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</si>
  <si>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</si>
  <si>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</si>
  <si>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</si>
  <si>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</si>
  <si>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</si>
  <si>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</si>
  <si>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</si>
  <si>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</si>
  <si>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</si>
  <si>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</si>
  <si>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</si>
  <si>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</si>
  <si>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</si>
  <si>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</si>
  <si>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</si>
  <si>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</si>
  <si>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</si>
  <si>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</si>
  <si>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</si>
  <si>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</si>
  <si>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</si>
  <si>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</si>
  <si>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</si>
  <si>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</si>
  <si>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</si>
  <si>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</si>
  <si>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</si>
  <si>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</si>
  <si>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</si>
  <si>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</si>
  <si>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</si>
  <si>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</si>
  <si>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</si>
  <si>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</si>
  <si>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</si>
  <si>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</si>
  <si>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</si>
  <si>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</si>
  <si>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</si>
  <si>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</si>
  <si>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</si>
  <si>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</si>
  <si>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</si>
  <si>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</si>
  <si>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</si>
  <si>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</si>
  <si>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</si>
  <si>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</si>
  <si>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</si>
  <si>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</si>
  <si>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</si>
  <si>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</si>
  <si>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</si>
  <si>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</si>
  <si>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</si>
  <si>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</si>
  <si>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</si>
  <si>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</si>
  <si>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</si>
  <si>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</si>
  <si>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</si>
  <si>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</si>
  <si>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</si>
  <si>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</si>
  <si>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</si>
  <si>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</si>
  <si>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</si>
  <si>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</si>
  <si>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</si>
  <si>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</si>
  <si>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</si>
  <si>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</si>
  <si>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</si>
  <si>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</si>
  <si>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</si>
  <si>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</si>
  <si>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</si>
  <si>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</si>
  <si>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</si>
  <si>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</si>
  <si>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</si>
  <si>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</si>
  <si>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</si>
  <si>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</si>
  <si>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</si>
  <si>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</si>
  <si>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</si>
  <si>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</si>
  <si>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</si>
  <si>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</si>
  <si>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</si>
  <si>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</si>
  <si>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</si>
  <si>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</si>
  <si>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</si>
  <si>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</si>
  <si>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</si>
  <si>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</si>
  <si>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</si>
  <si>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</si>
  <si>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</si>
  <si>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</si>
  <si>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</si>
  <si>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</si>
  <si>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</si>
  <si>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</si>
  <si>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</si>
  <si>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</si>
  <si>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</si>
  <si>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</si>
  <si>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</si>
  <si>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</si>
  <si>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</si>
  <si>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</si>
  <si>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</si>
  <si>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</si>
  <si>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</si>
  <si>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</si>
  <si>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</si>
  <si>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</si>
  <si>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</si>
  <si>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</si>
  <si>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</si>
  <si>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</si>
  <si>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</si>
  <si>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</si>
  <si>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</si>
  <si>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</si>
  <si>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</si>
  <si>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</si>
  <si>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</si>
  <si>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</si>
  <si>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</si>
  <si>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</si>
  <si>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</si>
  <si>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</si>
  <si>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</si>
  <si>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</si>
  <si>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</si>
  <si>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</si>
  <si>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</si>
  <si>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</si>
  <si>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</si>
  <si>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</si>
  <si>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</si>
  <si>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</si>
  <si>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</si>
  <si>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</si>
  <si>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</si>
  <si>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</si>
  <si>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</si>
  <si>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</si>
  <si>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</si>
  <si>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</si>
  <si>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</si>
  <si>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</si>
  <si>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</si>
  <si>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</si>
  <si>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</si>
  <si>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</si>
  <si>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</si>
  <si>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</si>
  <si>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</si>
  <si>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</si>
  <si>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</si>
  <si>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</si>
  <si>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</si>
  <si>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</si>
  <si>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</si>
  <si>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</si>
  <si>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</si>
  <si>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</si>
  <si>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</si>
  <si>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</si>
  <si>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</si>
  <si>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</si>
  <si>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</si>
  <si>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</si>
  <si>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</si>
  <si>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</si>
  <si>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</si>
  <si>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</si>
  <si>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</si>
  <si>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</si>
  <si>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</si>
  <si>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</si>
  <si>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</si>
  <si>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</si>
  <si>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</si>
  <si>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</si>
  <si>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</si>
  <si>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</si>
  <si>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</si>
  <si>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</si>
  <si>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</si>
  <si>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</si>
  <si>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</si>
  <si>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</si>
  <si>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</si>
  <si>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</si>
  <si>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</si>
  <si>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</si>
  <si>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</si>
  <si>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</si>
  <si>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</si>
  <si>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</si>
  <si>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</si>
  <si>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</si>
  <si>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</si>
  <si>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</si>
  <si>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</si>
  <si>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</si>
  <si>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</si>
  <si>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</si>
  <si>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</si>
  <si>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</si>
  <si>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</si>
  <si>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</si>
  <si>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</si>
  <si>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</si>
  <si>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</si>
  <si>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</si>
  <si>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</si>
  <si>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</si>
  <si>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</si>
  <si>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</si>
  <si>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</si>
  <si>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</si>
  <si>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</si>
  <si>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</si>
  <si>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</si>
  <si>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</si>
  <si>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</si>
  <si>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</si>
  <si>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</si>
  <si>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</si>
  <si>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</si>
  <si>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</si>
  <si>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</si>
  <si>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</si>
  <si>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</si>
  <si>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</si>
  <si>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</si>
  <si>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</si>
  <si>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</si>
  <si>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</si>
  <si>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</si>
  <si>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</si>
  <si>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</si>
  <si>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</si>
  <si>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</si>
  <si>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</si>
  <si>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</si>
  <si>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</si>
  <si>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</si>
  <si>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</si>
  <si>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</si>
  <si>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</si>
  <si>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</si>
  <si>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</si>
  <si>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</si>
  <si>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</si>
  <si>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</si>
  <si>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</si>
  <si>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</si>
  <si>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</si>
  <si>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</si>
  <si>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</si>
  <si>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</si>
  <si>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</si>
  <si>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</si>
  <si>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</si>
  <si>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</si>
  <si>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</si>
  <si>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</si>
  <si>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</si>
  <si>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</si>
  <si>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</si>
  <si>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</si>
  <si>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</si>
  <si>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</si>
  <si>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</si>
  <si>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</si>
  <si>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</si>
  <si>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</si>
  <si>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</si>
  <si>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</si>
  <si>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</si>
  <si>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</si>
  <si>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</si>
  <si>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</si>
  <si>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</si>
  <si>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</si>
  <si>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</si>
  <si>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</si>
  <si>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</si>
  <si>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</si>
  <si>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</si>
  <si>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</si>
  <si>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</si>
  <si>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</si>
  <si>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</si>
  <si>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</si>
  <si>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</si>
  <si>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</si>
  <si>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</si>
  <si>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</si>
  <si>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</si>
  <si>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</si>
  <si>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</si>
  <si>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</si>
  <si>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</si>
  <si>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</si>
  <si>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</si>
  <si>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</si>
  <si>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</si>
  <si>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</si>
  <si>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</si>
  <si>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</si>
  <si>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</si>
  <si>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</si>
  <si>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</si>
  <si>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</si>
  <si>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</si>
  <si>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</si>
  <si>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</si>
  <si>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</si>
  <si>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</si>
  <si>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</si>
  <si>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</si>
  <si>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</si>
  <si>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</si>
  <si>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</si>
  <si>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</si>
  <si>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</si>
  <si>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</si>
  <si>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</si>
  <si>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</si>
  <si>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</si>
  <si>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</si>
  <si>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</si>
  <si>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</si>
  <si>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</si>
  <si>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</si>
  <si>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</si>
  <si>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</si>
  <si>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</si>
  <si>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</si>
  <si>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</si>
  <si>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</si>
  <si>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</si>
  <si>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</si>
  <si>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</si>
  <si>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</si>
  <si>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</si>
  <si>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</si>
  <si>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</si>
  <si>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</si>
  <si>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</si>
  <si>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</si>
  <si>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</si>
  <si>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</si>
  <si>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</si>
  <si>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</si>
  <si>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</si>
  <si>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</si>
  <si>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</si>
  <si>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</si>
  <si>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</si>
  <si>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</si>
  <si>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</si>
  <si>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</si>
  <si>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</si>
  <si>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</si>
  <si>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</si>
  <si>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</si>
  <si>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</si>
  <si>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</si>
  <si>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</si>
  <si>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</si>
  <si>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</si>
  <si>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</si>
  <si>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</si>
  <si>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</si>
  <si>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</si>
  <si>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</si>
  <si>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</si>
  <si>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</si>
  <si>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</si>
  <si>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</si>
  <si>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</si>
  <si>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</si>
  <si>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</si>
  <si>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</si>
  <si>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</si>
  <si>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</si>
  <si>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</si>
  <si>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</si>
  <si>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</si>
  <si>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</si>
  <si>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</si>
  <si>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</si>
  <si>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</si>
  <si>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</si>
  <si>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</si>
  <si>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</si>
  <si>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</si>
  <si>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</si>
  <si>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</si>
  <si>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</si>
  <si>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</si>
  <si>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</si>
  <si>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</si>
  <si>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</si>
  <si>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</si>
  <si>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</si>
  <si>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</si>
  <si>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</si>
  <si>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</si>
  <si>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</si>
  <si>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</si>
  <si>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</si>
  <si>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</si>
  <si>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</si>
  <si>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</si>
  <si>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</si>
  <si>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</si>
  <si>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</si>
  <si>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</si>
  <si>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</si>
  <si>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</si>
  <si>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</si>
  <si>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</si>
  <si>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</si>
  <si>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</si>
  <si>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</si>
  <si>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</si>
  <si>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</si>
  <si>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</si>
  <si>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</si>
  <si>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</si>
  <si>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</si>
  <si>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</si>
  <si>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</si>
  <si>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</si>
  <si>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</si>
  <si>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</si>
  <si>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</si>
  <si>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</si>
  <si>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</si>
  <si>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</si>
  <si>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</si>
  <si>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</si>
  <si>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</si>
  <si>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</si>
  <si>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</si>
  <si>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</si>
  <si>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</si>
  <si>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</si>
  <si>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</si>
  <si>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</si>
  <si>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</si>
  <si>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</si>
  <si>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</si>
  <si>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</si>
  <si>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</si>
  <si>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</si>
  <si>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</si>
  <si>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</si>
  <si>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</si>
  <si>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</si>
  <si>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</si>
  <si>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</si>
  <si>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</si>
  <si>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</si>
  <si>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</si>
  <si>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</si>
  <si>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</si>
  <si>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</si>
  <si>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</si>
  <si>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</si>
  <si>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</si>
  <si>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</si>
  <si>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</si>
  <si>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</si>
  <si>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</si>
  <si>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</si>
  <si>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</si>
  <si>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</si>
  <si>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</si>
  <si>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</si>
  <si>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</si>
  <si>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</si>
  <si>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</si>
  <si>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</si>
  <si>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</si>
  <si>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</si>
  <si>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</si>
  <si>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</si>
  <si>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</si>
  <si>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</si>
  <si>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</si>
  <si>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</si>
  <si>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</si>
  <si>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</si>
  <si>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</si>
  <si>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</si>
  <si>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</si>
  <si>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</si>
  <si>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</si>
  <si>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</si>
  <si>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</si>
  <si>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</si>
  <si>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</si>
  <si>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</si>
  <si>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</si>
  <si>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</si>
  <si>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</si>
  <si>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</si>
  <si>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</si>
  <si>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</si>
  <si>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</si>
  <si>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</si>
  <si>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</si>
  <si>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</si>
  <si>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</si>
  <si>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</si>
  <si>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</si>
  <si>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</si>
  <si>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</si>
  <si>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</si>
  <si>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</si>
  <si>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</si>
  <si>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</si>
  <si>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</si>
  <si>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</si>
  <si>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</si>
  <si>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</si>
  <si>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</si>
  <si>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</si>
  <si>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</si>
  <si>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</si>
  <si>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</si>
  <si>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</si>
  <si>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</si>
  <si>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</si>
  <si>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</si>
  <si>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</si>
  <si>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</si>
  <si>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</si>
  <si>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</si>
  <si>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</si>
  <si>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</si>
  <si>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</si>
  <si>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</si>
  <si>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</si>
  <si>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</si>
  <si>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</si>
  <si>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</si>
  <si>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</si>
  <si>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</si>
  <si>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</si>
  <si>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</si>
  <si>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</si>
  <si>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</si>
  <si>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</si>
  <si>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</si>
  <si>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</si>
  <si>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</si>
  <si>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</si>
  <si>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</si>
  <si>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</si>
  <si>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</si>
  <si>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</si>
  <si>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</si>
  <si>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</si>
  <si>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</si>
  <si>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</si>
  <si>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</si>
  <si>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</si>
  <si>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</si>
  <si>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</si>
  <si>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</si>
  <si>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</si>
  <si>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</si>
  <si>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</si>
  <si>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</si>
  <si>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</si>
  <si>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</si>
  <si>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</si>
  <si>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</si>
  <si>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</si>
  <si>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</si>
  <si>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</si>
  <si>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</si>
  <si>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</si>
  <si>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</si>
  <si>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</si>
  <si>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</si>
  <si>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</si>
  <si>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</si>
  <si>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</si>
  <si>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</si>
  <si>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</si>
  <si>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</si>
  <si>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</si>
  <si>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</si>
  <si>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</si>
  <si>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</si>
  <si>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</si>
  <si>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</si>
  <si>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</si>
  <si>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</si>
  <si>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</si>
  <si>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</si>
  <si>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</si>
  <si>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</si>
  <si>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</si>
  <si>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</si>
  <si>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</si>
  <si>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</si>
  <si>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</si>
  <si>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</si>
  <si>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</si>
  <si>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</si>
  <si>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</si>
  <si>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</si>
  <si>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</si>
  <si>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</si>
  <si>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</si>
  <si>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</si>
  <si>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</si>
  <si>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</si>
  <si>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</si>
  <si>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</si>
  <si>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</si>
  <si>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</si>
  <si>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</si>
  <si>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</si>
  <si>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</si>
  <si>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</si>
  <si>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</si>
  <si>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</si>
  <si>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</si>
  <si>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</si>
  <si>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</si>
  <si>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</si>
  <si>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</si>
  <si>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</si>
  <si>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</si>
  <si>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</si>
  <si>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</si>
  <si>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</si>
  <si>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</si>
  <si>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</si>
  <si>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</si>
  <si>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</si>
  <si>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</si>
  <si>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</si>
  <si>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</si>
  <si>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</si>
  <si>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</si>
  <si>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</si>
  <si>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</si>
  <si>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</si>
  <si>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</si>
  <si>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</si>
  <si>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</si>
  <si>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</si>
  <si>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</si>
  <si>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</si>
  <si>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</si>
  <si>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</si>
  <si>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</si>
  <si>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</si>
  <si>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</si>
  <si>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</si>
  <si>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</si>
  <si>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</si>
  <si>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</si>
  <si>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</si>
  <si>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</si>
  <si>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</si>
  <si>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</si>
  <si>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</si>
  <si>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</si>
  <si>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</si>
  <si>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</si>
  <si>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</si>
  <si>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</si>
  <si>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</si>
  <si>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</si>
  <si>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</si>
  <si>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</si>
  <si>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</si>
  <si>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</si>
  <si>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</si>
  <si>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</si>
  <si>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</si>
  <si>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</si>
  <si>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</si>
  <si>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</si>
  <si>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</si>
  <si>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</si>
  <si>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</si>
  <si>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</si>
  <si>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</si>
  <si>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</si>
  <si>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</si>
  <si>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</si>
  <si>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</si>
  <si>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</si>
  <si>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</si>
  <si>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</si>
  <si>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</si>
  <si>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</si>
  <si>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</si>
  <si>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</si>
  <si>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</si>
  <si>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</si>
  <si>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</si>
  <si>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</si>
  <si>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</si>
  <si>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</si>
  <si>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</si>
  <si>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</si>
  <si>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</si>
  <si>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</si>
  <si>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</si>
  <si>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</si>
  <si>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</si>
  <si>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</si>
  <si>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</si>
  <si>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</si>
  <si>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</si>
  <si>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</si>
  <si>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</si>
  <si>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</si>
  <si>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</si>
  <si>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</si>
  <si>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</si>
  <si>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</si>
  <si>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</si>
  <si>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</si>
  <si>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</si>
  <si>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</si>
  <si>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</si>
  <si>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</si>
  <si>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</si>
  <si>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</si>
  <si>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</si>
  <si>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</si>
  <si>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</si>
  <si>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</si>
  <si>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</si>
  <si>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</si>
  <si>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</si>
  <si>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</si>
  <si>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</si>
  <si>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</si>
  <si>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</si>
  <si>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</si>
  <si>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</si>
  <si>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</si>
  <si>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</si>
  <si>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</si>
  <si>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</si>
  <si>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</si>
  <si>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</si>
  <si>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</si>
  <si>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</si>
  <si>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</si>
  <si>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</si>
  <si>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</si>
  <si>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</si>
  <si>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</si>
  <si>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</si>
  <si>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</si>
  <si>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</si>
  <si>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</si>
  <si>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</si>
  <si>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</si>
  <si>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</si>
  <si>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</si>
  <si>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</si>
  <si>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</si>
  <si>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</si>
  <si>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</si>
  <si>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</si>
  <si>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</si>
  <si>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</si>
  <si>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</si>
  <si>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</si>
  <si>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</si>
  <si>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</si>
  <si>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</si>
  <si>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</si>
  <si>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</si>
  <si>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</si>
  <si>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</si>
  <si>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</si>
  <si>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</si>
  <si>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</si>
  <si>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</si>
  <si>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</si>
  <si>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</si>
  <si>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</si>
  <si>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</si>
  <si>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</si>
  <si>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</si>
  <si>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</si>
  <si>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</si>
  <si>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</si>
  <si>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</si>
  <si>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</si>
  <si>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</si>
  <si>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</si>
  <si>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</si>
  <si>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</si>
  <si>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</si>
  <si>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</si>
  <si>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</si>
  <si>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</si>
  <si>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</si>
  <si>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</si>
  <si>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</si>
  <si>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</si>
  <si>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</si>
  <si>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</si>
  <si>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</si>
  <si>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</si>
  <si>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</si>
  <si>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</si>
  <si>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</si>
  <si>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</si>
  <si>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</si>
  <si>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</si>
  <si>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</si>
  <si>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</si>
  <si>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</si>
  <si>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</si>
  <si>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</si>
  <si>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</si>
  <si>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</si>
  <si>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</si>
  <si>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</si>
  <si>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</si>
  <si>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</si>
  <si>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</si>
  <si>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</si>
  <si>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</si>
  <si>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</si>
  <si>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</si>
  <si>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</si>
  <si>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</si>
  <si>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</si>
  <si>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</si>
  <si>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</si>
  <si>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</si>
  <si>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</si>
  <si>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</si>
  <si>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</si>
  <si>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</si>
  <si>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</si>
  <si>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</si>
  <si>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</si>
  <si>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</si>
  <si>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</si>
  <si>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</si>
  <si>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</si>
  <si>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</si>
  <si>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</si>
  <si>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</si>
  <si>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</si>
  <si>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</si>
  <si>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</si>
  <si>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</si>
  <si>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</si>
  <si>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</si>
  <si>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</si>
  <si>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</si>
  <si>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</si>
  <si>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</si>
  <si>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</si>
  <si>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</si>
  <si>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</si>
  <si>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</si>
  <si>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</si>
  <si>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</si>
  <si>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</si>
  <si>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</si>
  <si>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</si>
  <si>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</si>
  <si>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</si>
  <si>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</si>
  <si>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</si>
  <si>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</si>
  <si>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</si>
  <si>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</si>
  <si>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</si>
  <si>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</si>
  <si>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</si>
  <si>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</si>
  <si>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</si>
  <si>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</si>
  <si>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</si>
  <si>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</si>
  <si>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</si>
  <si>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</si>
  <si>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</si>
  <si>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</si>
  <si>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</si>
  <si>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</si>
  <si>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</si>
  <si>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</si>
  <si>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</si>
  <si>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</si>
  <si>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</si>
  <si>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</si>
  <si>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</si>
  <si>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</si>
  <si>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</si>
  <si>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</si>
  <si>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</si>
  <si>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</si>
  <si>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</si>
  <si>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</si>
  <si>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</si>
  <si>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</si>
  <si>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</si>
  <si>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</si>
  <si>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</si>
  <si>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</si>
  <si>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</si>
  <si>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</si>
  <si>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</si>
  <si>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</si>
  <si>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</si>
  <si>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</si>
  <si>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</si>
  <si>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</si>
  <si>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</si>
  <si>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</si>
  <si>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</si>
  <si>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</si>
  <si>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</si>
  <si>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</si>
  <si>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</si>
  <si>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</si>
  <si>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</si>
  <si>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</si>
  <si>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</si>
  <si>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</si>
  <si>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</si>
  <si>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</si>
  <si>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</si>
  <si>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</si>
  <si>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</si>
  <si>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</si>
  <si>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</si>
  <si>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</si>
  <si>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</si>
  <si>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</si>
  <si>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</si>
  <si>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</si>
  <si>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</si>
  <si>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</si>
  <si>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</si>
  <si>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</si>
  <si>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</si>
  <si>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</si>
  <si>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</si>
  <si>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</si>
  <si>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</si>
  <si>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</si>
  <si>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</si>
  <si>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</si>
  <si>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</si>
  <si>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</si>
  <si>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</si>
  <si>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</si>
  <si>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</si>
  <si>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</si>
  <si>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</si>
  <si>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</si>
  <si>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</si>
  <si>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</si>
  <si>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</si>
  <si>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</si>
  <si>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</si>
  <si>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</si>
  <si>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</si>
  <si>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</si>
  <si>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</si>
  <si>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</si>
  <si>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</si>
  <si>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</si>
  <si>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</si>
  <si>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</si>
  <si>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</si>
  <si>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</si>
  <si>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</si>
  <si>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</si>
  <si>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</si>
  <si>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</si>
  <si>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</si>
  <si>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</si>
  <si>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</si>
  <si>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</si>
  <si>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</si>
  <si>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</si>
  <si>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</si>
  <si>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</si>
  <si>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</si>
  <si>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</si>
  <si>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</si>
  <si>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</si>
  <si>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</si>
  <si>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</si>
  <si>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</si>
  <si>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</si>
  <si>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</si>
  <si>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</si>
  <si>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</si>
  <si>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</si>
  <si>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</si>
  <si>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</si>
  <si>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</si>
  <si>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</si>
  <si>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</si>
  <si>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</si>
  <si>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</si>
  <si>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</si>
  <si>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</si>
  <si>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</si>
  <si>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</si>
  <si>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</si>
  <si>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</si>
  <si>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</si>
  <si>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</si>
  <si>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</si>
  <si>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</si>
  <si>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</si>
  <si>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</si>
  <si>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</si>
  <si>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</si>
  <si>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</si>
  <si>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</si>
  <si>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</si>
  <si>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</si>
  <si>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</si>
  <si>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</si>
  <si>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</si>
  <si>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</si>
  <si>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</si>
  <si>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</si>
  <si>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</si>
  <si>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</si>
  <si>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</si>
  <si>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</si>
  <si>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</si>
  <si>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</si>
  <si>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</si>
  <si>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</si>
  <si>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</si>
  <si>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</si>
  <si>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</si>
  <si>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</si>
  <si>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</si>
  <si>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</si>
  <si>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</si>
  <si>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</si>
  <si>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</si>
  <si>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</si>
  <si>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</si>
  <si>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</si>
  <si>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</si>
  <si>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</si>
  <si>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</si>
  <si>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</si>
  <si>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</si>
  <si>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</si>
  <si>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</si>
  <si>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</si>
  <si>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</si>
  <si>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</si>
  <si>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</si>
  <si>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</si>
  <si>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</si>
  <si>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</si>
  <si>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</si>
  <si>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</si>
  <si>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</si>
  <si>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</si>
  <si>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</si>
  <si>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</si>
  <si>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</si>
  <si>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</si>
  <si>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</si>
  <si>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</si>
  <si>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</si>
  <si>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</si>
  <si>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</si>
  <si>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</si>
  <si>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</si>
  <si>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</si>
  <si>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</si>
  <si>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</si>
  <si>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</si>
  <si>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</si>
  <si>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</si>
  <si>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</si>
  <si>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</si>
  <si>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</si>
  <si>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</si>
  <si>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</si>
  <si>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</si>
  <si>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</si>
  <si>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</si>
  <si>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</si>
  <si>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</si>
  <si>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</si>
  <si>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</si>
  <si>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</si>
  <si>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</si>
  <si>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</si>
  <si>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</si>
  <si>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</si>
  <si>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</si>
  <si>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</si>
  <si>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</si>
  <si>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</si>
  <si>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</si>
  <si>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</si>
  <si>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</si>
  <si>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</si>
  <si>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</si>
  <si>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</si>
  <si>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</si>
  <si>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</si>
  <si>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</si>
  <si>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</si>
  <si>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</si>
  <si>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</si>
  <si>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</si>
  <si>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</si>
  <si>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</si>
  <si>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</si>
  <si>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</si>
  <si>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</si>
  <si>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</si>
  <si>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</si>
  <si>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</si>
  <si>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</si>
  <si>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</si>
  <si>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</si>
  <si>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</si>
  <si>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</si>
  <si>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</si>
  <si>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</si>
  <si>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</si>
  <si>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</si>
  <si>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</si>
  <si>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</si>
  <si>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</si>
  <si>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</si>
  <si>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</si>
  <si>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</si>
  <si>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</si>
  <si>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</si>
  <si>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</si>
  <si>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</si>
  <si>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</si>
  <si>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</si>
  <si>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</si>
  <si>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</si>
  <si>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</si>
  <si>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</si>
  <si>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</si>
  <si>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</si>
  <si>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</si>
  <si>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</si>
  <si>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</si>
  <si>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</si>
  <si>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</si>
  <si>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</si>
  <si>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</si>
  <si>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</si>
  <si>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</si>
  <si>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</si>
  <si>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</si>
  <si>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</si>
  <si>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</si>
  <si>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</si>
  <si>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</si>
  <si>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</si>
  <si>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</si>
  <si>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</si>
  <si>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</si>
  <si>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</si>
  <si>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</si>
  <si>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</si>
  <si>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</si>
  <si>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</si>
  <si>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</si>
  <si>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</si>
  <si>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</si>
  <si>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</si>
  <si>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</si>
  <si>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</si>
  <si>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</si>
  <si>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</si>
  <si>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</si>
  <si>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</si>
  <si>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</si>
  <si>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</si>
  <si>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</si>
  <si>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</si>
  <si>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</si>
  <si>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</si>
  <si>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</si>
  <si>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</si>
  <si>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</si>
  <si>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</si>
  <si>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</si>
  <si>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</si>
  <si>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</si>
  <si>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</si>
  <si>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</si>
  <si>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</si>
  <si>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</si>
  <si>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</si>
  <si>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</si>
  <si>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</si>
  <si>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</si>
  <si>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</si>
  <si>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</si>
  <si>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</si>
  <si>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</si>
  <si>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</si>
  <si>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</si>
  <si>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</si>
  <si>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</si>
  <si>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</si>
  <si>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</si>
  <si>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</si>
  <si>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</si>
  <si>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</si>
  <si>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</si>
  <si>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</si>
  <si>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</si>
  <si>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</si>
  <si>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</si>
  <si>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</si>
  <si>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</si>
  <si>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</si>
  <si>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</si>
  <si>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</si>
  <si>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</si>
  <si>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</si>
  <si>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</si>
  <si>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</si>
  <si>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</si>
  <si>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</si>
  <si>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</si>
  <si>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</si>
  <si>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</si>
  <si>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</si>
  <si>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</si>
  <si>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</si>
  <si>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</si>
  <si>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</si>
  <si>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</si>
  <si>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</si>
  <si>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</si>
  <si>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</si>
  <si>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</si>
  <si>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</si>
  <si>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</si>
  <si>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</si>
  <si>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</si>
  <si>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</si>
  <si>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</si>
  <si>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</si>
  <si>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</si>
  <si>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</si>
  <si>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</si>
  <si>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</si>
  <si>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</si>
  <si>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</si>
  <si>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</si>
  <si>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</si>
  <si>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</si>
  <si>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</si>
  <si>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</si>
  <si>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</si>
  <si>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</si>
  <si>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</si>
  <si>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</si>
  <si>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</si>
  <si>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</si>
  <si>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</si>
  <si>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</si>
  <si>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</si>
  <si>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</si>
  <si>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</si>
  <si>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</si>
  <si>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</si>
  <si>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</si>
  <si>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</si>
  <si>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</si>
  <si>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</si>
  <si>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</si>
  <si>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</si>
  <si>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</si>
  <si>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</si>
  <si>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</si>
  <si>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</si>
  <si>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</si>
  <si>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</si>
  <si>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</si>
  <si>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</si>
  <si>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</si>
  <si>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</si>
  <si>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</si>
  <si>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</si>
  <si>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</si>
  <si>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</si>
  <si>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</si>
  <si>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</si>
  <si>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</si>
  <si>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</si>
  <si>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</si>
  <si>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</si>
  <si>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</si>
  <si>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</si>
  <si>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</si>
  <si>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</si>
  <si>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</si>
  <si>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</si>
  <si>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</si>
  <si>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</si>
  <si>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</si>
  <si>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</si>
  <si>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</si>
  <si>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</si>
  <si>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</si>
  <si>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</si>
  <si>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</si>
  <si>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</si>
  <si>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</si>
  <si>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</si>
  <si>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</si>
  <si>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</si>
  <si>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</si>
  <si>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</si>
  <si>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</si>
  <si>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</si>
  <si>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</si>
  <si>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</si>
  <si>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</si>
  <si>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</si>
  <si>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</si>
  <si>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</si>
  <si>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</si>
  <si>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</si>
  <si>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</si>
  <si>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</si>
  <si>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</si>
  <si>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</si>
  <si>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</si>
  <si>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</si>
  <si>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</si>
  <si>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</si>
  <si>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</si>
  <si>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</si>
  <si>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</si>
  <si>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</si>
  <si>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</si>
  <si>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</si>
  <si>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</si>
  <si>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</si>
  <si>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</si>
  <si>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</si>
  <si>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</si>
  <si>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</si>
  <si>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</si>
  <si>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</si>
  <si>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</si>
  <si>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</si>
  <si>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</si>
  <si>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</si>
  <si>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</si>
  <si>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</si>
  <si>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</si>
  <si>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</si>
  <si>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</si>
  <si>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</si>
  <si>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</si>
  <si>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</si>
  <si>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</si>
  <si>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</si>
  <si>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</si>
  <si>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</si>
  <si>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</si>
  <si>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</si>
  <si>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</si>
  <si>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</si>
  <si>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</si>
  <si>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</si>
  <si>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</si>
  <si>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</si>
  <si>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</si>
  <si>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</si>
  <si>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</si>
  <si>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</si>
  <si>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</si>
  <si>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</si>
  <si>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</si>
  <si>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</si>
  <si>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</si>
  <si>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</si>
  <si>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</si>
  <si>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</si>
  <si>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</si>
  <si>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</si>
  <si>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</si>
  <si>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</si>
  <si>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</si>
  <si>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</si>
  <si>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</si>
  <si>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</si>
  <si>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</si>
  <si>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</si>
  <si>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</si>
  <si>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</si>
  <si>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</si>
  <si>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</si>
  <si>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</si>
  <si>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</si>
  <si>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</si>
  <si>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</si>
  <si>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</si>
  <si>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</si>
  <si>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</si>
  <si>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</si>
  <si>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</si>
  <si>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</si>
  <si>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</si>
  <si>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</si>
  <si>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</si>
  <si>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</si>
  <si>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</si>
  <si>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</si>
  <si>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</si>
  <si>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</si>
  <si>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</si>
  <si>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</si>
  <si>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</si>
  <si>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</si>
  <si>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</si>
  <si>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</si>
  <si>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</si>
  <si>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</si>
  <si>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</si>
  <si>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</si>
  <si>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</si>
  <si>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</si>
  <si>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</si>
  <si>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</si>
  <si>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</si>
  <si>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</si>
  <si>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</si>
  <si>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</si>
  <si>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</si>
  <si>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</si>
  <si>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</si>
  <si>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</si>
  <si>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</si>
  <si>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</si>
  <si>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</si>
  <si>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</si>
  <si>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</si>
  <si>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</si>
  <si>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</si>
  <si>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</si>
  <si>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</si>
  <si>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</si>
  <si>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</si>
  <si>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</si>
  <si>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</si>
  <si>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</si>
  <si>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</si>
  <si>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</si>
  <si>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</si>
  <si>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</si>
  <si>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</si>
  <si>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</si>
  <si>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</si>
  <si>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</si>
  <si>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</si>
  <si>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</si>
  <si>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</si>
  <si>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</si>
  <si>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</si>
  <si>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</si>
  <si>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</si>
  <si>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</si>
  <si>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</si>
  <si>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</si>
  <si>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</si>
  <si>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</si>
  <si>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</si>
  <si>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</si>
  <si>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</si>
  <si>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</si>
  <si>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</si>
  <si>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</si>
  <si>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</si>
  <si>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</si>
  <si>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</si>
  <si>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</si>
  <si>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</si>
  <si>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</si>
  <si>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</si>
  <si>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</si>
  <si>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</si>
  <si>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</si>
  <si>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</si>
  <si>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</si>
  <si>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</si>
  <si>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</si>
  <si>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</si>
  <si>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</si>
  <si>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</si>
  <si>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</si>
  <si>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</si>
  <si>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</si>
  <si>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</si>
  <si>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</si>
  <si>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</si>
  <si>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</si>
  <si>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</si>
  <si>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</si>
  <si>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</si>
  <si>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</si>
  <si>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</si>
  <si>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</si>
  <si>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</si>
  <si>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</si>
  <si>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</si>
  <si>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</si>
  <si>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</si>
  <si>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</si>
  <si>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</si>
  <si>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</si>
  <si>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</si>
  <si>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</si>
  <si>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</si>
  <si>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</si>
  <si>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</si>
  <si>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</si>
  <si>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</si>
  <si>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</si>
  <si>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</si>
  <si>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</si>
  <si>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</si>
  <si>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</si>
  <si>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</si>
  <si>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</si>
  <si>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</si>
  <si>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</si>
  <si>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</si>
  <si>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</si>
  <si>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</si>
  <si>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</si>
  <si>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</si>
  <si>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</si>
  <si>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</si>
  <si>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</si>
  <si>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</si>
  <si>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</si>
  <si>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</si>
  <si>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</si>
  <si>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</si>
  <si>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</si>
  <si>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</si>
  <si>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</si>
  <si>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</si>
  <si>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</si>
  <si>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</si>
  <si>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</si>
  <si>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</si>
  <si>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</si>
  <si>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</si>
  <si>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</si>
  <si>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</si>
  <si>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</si>
  <si>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</si>
  <si>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</si>
  <si>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</si>
  <si>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</si>
  <si>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</si>
  <si>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</si>
  <si>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</si>
  <si>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</si>
  <si>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</si>
  <si>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</si>
  <si>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</si>
  <si>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</si>
  <si>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</si>
  <si>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</si>
  <si>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</si>
  <si>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</si>
  <si>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</si>
  <si>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</si>
  <si>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</si>
  <si>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</si>
  <si>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</si>
  <si>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</si>
  <si>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</si>
  <si>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</si>
  <si>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</si>
  <si>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</si>
  <si>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</si>
  <si>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</si>
  <si>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</si>
  <si>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</si>
  <si>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</si>
  <si>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</si>
  <si>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</si>
  <si>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</si>
  <si>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</si>
  <si>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</si>
  <si>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</si>
  <si>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</si>
  <si>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</si>
  <si>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</si>
  <si>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</si>
  <si>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</si>
  <si>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</si>
  <si>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</si>
  <si>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</si>
  <si>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</si>
  <si>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</si>
  <si>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</si>
  <si>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</si>
  <si>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</si>
  <si>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</si>
  <si>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</si>
  <si>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</si>
  <si>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</si>
  <si>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</si>
  <si>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</si>
  <si>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</si>
  <si>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</si>
  <si>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</si>
  <si>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</si>
  <si>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</si>
  <si>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</si>
  <si>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</si>
  <si>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</si>
  <si>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</si>
  <si>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</si>
  <si>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</si>
  <si>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</si>
  <si>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</si>
  <si>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</si>
  <si>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</si>
  <si>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</si>
  <si>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</si>
  <si>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</si>
  <si>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</si>
  <si>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</si>
  <si>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</si>
  <si>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</si>
  <si>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</si>
  <si>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</si>
  <si>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</si>
  <si>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</si>
  <si>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</si>
  <si>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</si>
  <si>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</si>
  <si>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</si>
  <si>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</si>
  <si>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</si>
  <si>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</si>
  <si>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</si>
  <si>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</si>
  <si>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</si>
  <si>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</si>
  <si>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</si>
  <si>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</si>
  <si>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</si>
  <si>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</si>
  <si>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</si>
  <si>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</si>
  <si>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</si>
  <si>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</si>
  <si>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</si>
  <si>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</si>
  <si>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</si>
  <si>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</si>
  <si>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</si>
  <si>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</si>
  <si>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</si>
  <si>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</si>
  <si>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</si>
  <si>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</si>
  <si>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</si>
  <si>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</si>
  <si>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</si>
  <si>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</si>
  <si>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</si>
  <si>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</si>
  <si>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</si>
  <si>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</si>
  <si>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</si>
  <si>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</si>
  <si>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</si>
  <si>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</si>
  <si>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</si>
  <si>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</si>
  <si>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</si>
  <si>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</si>
  <si>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</si>
  <si>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</si>
  <si>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</si>
  <si>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</si>
  <si>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</si>
  <si>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</si>
  <si>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</si>
  <si>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</si>
  <si>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</si>
  <si>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</si>
  <si>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</si>
  <si>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</si>
  <si>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</si>
  <si>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</si>
  <si>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</si>
  <si>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</si>
  <si>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</si>
  <si>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</si>
  <si>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</si>
  <si>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</si>
  <si>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</si>
  <si>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</si>
  <si>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</si>
  <si>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</si>
  <si>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</si>
  <si>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</si>
  <si>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</si>
  <si>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</si>
  <si>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</si>
  <si>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</si>
  <si>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</si>
  <si>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</si>
  <si>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</si>
  <si>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</si>
  <si>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</si>
  <si>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</si>
  <si>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</si>
  <si>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</si>
  <si>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</si>
  <si>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</si>
  <si>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</si>
  <si>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</si>
  <si>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</si>
  <si>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</si>
  <si>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</si>
  <si>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</si>
  <si>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</si>
  <si>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</si>
  <si>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</si>
  <si>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</si>
  <si>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</si>
  <si>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</si>
  <si>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</si>
  <si>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</si>
  <si>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</si>
  <si>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</si>
  <si>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</si>
  <si>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</si>
  <si>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</si>
  <si>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</si>
  <si>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</si>
  <si>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</si>
  <si>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</si>
  <si>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</si>
  <si>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</si>
  <si>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</si>
  <si>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</si>
  <si>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</si>
  <si>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</si>
  <si>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</si>
  <si>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</si>
  <si>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</si>
  <si>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</si>
  <si>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</si>
  <si>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</si>
  <si>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</si>
  <si>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</si>
  <si>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</si>
  <si>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</si>
  <si>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</si>
  <si>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</si>
  <si>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</si>
  <si>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</si>
  <si>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</si>
  <si>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</si>
  <si>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</si>
  <si>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</si>
  <si>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</si>
  <si>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</si>
  <si>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</si>
  <si>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</si>
  <si>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</si>
  <si>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</si>
  <si>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</si>
  <si>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</si>
  <si>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</si>
  <si>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</si>
  <si>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</si>
  <si>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</si>
  <si>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</si>
  <si>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</si>
  <si>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</si>
  <si>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</si>
  <si>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</si>
  <si>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</si>
  <si>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</si>
  <si>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</si>
  <si>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</si>
  <si>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</si>
  <si>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</si>
  <si>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</si>
  <si>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</si>
  <si>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</si>
  <si>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</si>
  <si>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</si>
  <si>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</si>
  <si>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</si>
  <si>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</si>
  <si>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</si>
  <si>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</si>
  <si>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</si>
  <si>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</si>
  <si>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</si>
  <si>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</si>
  <si>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</si>
  <si>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</si>
  <si>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</si>
  <si>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</si>
  <si>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</si>
  <si>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</si>
  <si>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</si>
  <si>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</si>
  <si>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</si>
  <si>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</si>
  <si>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</si>
  <si>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</si>
  <si>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</si>
  <si>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</si>
  <si>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</si>
  <si>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</si>
  <si>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</si>
  <si>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</si>
  <si>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</si>
  <si>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</si>
  <si>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</si>
  <si>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</si>
  <si>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</si>
  <si>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</si>
  <si>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</si>
  <si>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</si>
  <si>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</si>
  <si>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</si>
  <si>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</si>
  <si>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</si>
  <si>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</si>
  <si>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</si>
  <si>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</si>
  <si>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</si>
  <si>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</si>
  <si>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</si>
  <si>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</si>
  <si>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</si>
  <si>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</si>
  <si>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</si>
  <si>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</si>
  <si>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</si>
  <si>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</si>
  <si>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</si>
  <si>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</si>
  <si>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</si>
  <si>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</si>
  <si>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</si>
  <si>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</si>
  <si>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</si>
  <si>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</si>
  <si>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</si>
  <si>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</si>
  <si>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</si>
  <si>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</si>
  <si>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</si>
  <si>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</si>
  <si>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</si>
  <si>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</si>
  <si>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</si>
  <si>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</si>
  <si>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</si>
  <si>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</si>
  <si>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</si>
  <si>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</si>
  <si>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</si>
  <si>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</si>
  <si>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</si>
  <si>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</si>
  <si>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</si>
  <si>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</si>
  <si>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</si>
  <si>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</si>
  <si>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</si>
  <si>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</si>
  <si>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</si>
  <si>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</si>
  <si>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</si>
  <si>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</si>
  <si>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</si>
  <si>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</si>
  <si>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</si>
  <si>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</si>
  <si>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</si>
  <si>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</si>
  <si>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</si>
  <si>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</si>
  <si>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</si>
  <si>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</si>
  <si>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</si>
  <si>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</si>
  <si>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</si>
  <si>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</si>
  <si>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</si>
  <si>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</si>
  <si>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</si>
  <si>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</si>
  <si>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</si>
  <si>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</si>
  <si>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</si>
  <si>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</si>
  <si>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</si>
  <si>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</si>
  <si>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</si>
  <si>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</si>
  <si>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</si>
  <si>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</si>
  <si>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</si>
  <si>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</si>
  <si>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</si>
  <si>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</si>
  <si>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</si>
  <si>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</si>
  <si>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</si>
  <si>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</si>
  <si>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</si>
  <si>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</si>
  <si>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</si>
  <si>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</si>
  <si>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</si>
  <si>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</si>
  <si>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</si>
  <si>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</si>
  <si>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</si>
  <si>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</si>
  <si>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</si>
  <si>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</si>
  <si>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</si>
  <si>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</si>
  <si>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</si>
  <si>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</si>
  <si>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</si>
  <si>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</si>
  <si>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</si>
  <si>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</si>
  <si>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</si>
  <si>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</si>
  <si>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</si>
  <si>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</si>
  <si>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</si>
  <si>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</si>
  <si>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</si>
  <si>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</si>
  <si>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</si>
  <si>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</si>
  <si>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</si>
  <si>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</si>
  <si>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</si>
  <si>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</si>
  <si>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</si>
  <si>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</si>
  <si>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</si>
  <si>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</si>
  <si>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</si>
  <si>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</si>
  <si>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</si>
  <si>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</si>
  <si>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</si>
  <si>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</si>
  <si>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</si>
  <si>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</si>
  <si>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</si>
  <si>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</si>
  <si>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</si>
  <si>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</si>
  <si>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</si>
  <si>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</si>
  <si>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</si>
  <si>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</si>
  <si>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</si>
  <si>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</si>
  <si>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</si>
  <si>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</si>
  <si>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</si>
  <si>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</si>
  <si>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</si>
  <si>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</si>
  <si>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</si>
  <si>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</si>
  <si>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</si>
  <si>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</si>
  <si>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</si>
  <si>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</si>
  <si>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</si>
  <si>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</si>
  <si>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</si>
  <si>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</si>
  <si>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</si>
  <si>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</si>
  <si>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</si>
  <si>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</si>
  <si>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</si>
  <si>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</si>
  <si>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</si>
  <si>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</si>
  <si>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</si>
  <si>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</si>
  <si>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</si>
  <si>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</si>
  <si>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</si>
  <si>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</si>
  <si>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</si>
  <si>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</si>
  <si>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</si>
  <si>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</si>
  <si>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</si>
  <si>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</si>
  <si>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</si>
  <si>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</si>
  <si>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</si>
  <si>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</si>
  <si>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</si>
  <si>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</si>
  <si>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</si>
  <si>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</si>
  <si>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</si>
  <si>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</si>
  <si>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</si>
  <si>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</si>
  <si>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</si>
  <si>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</si>
  <si>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</si>
  <si>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</si>
  <si>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</si>
  <si>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</si>
  <si>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</si>
  <si>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</si>
  <si>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</si>
  <si>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</si>
  <si>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</si>
  <si>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</si>
  <si>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</si>
  <si>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</si>
  <si>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</si>
  <si>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</si>
  <si>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</si>
  <si>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</si>
  <si>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</si>
  <si>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</si>
  <si>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</si>
  <si>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</si>
  <si>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</si>
  <si>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</si>
  <si>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</si>
  <si>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</si>
  <si>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</si>
  <si>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</si>
  <si>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</si>
  <si>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</si>
  <si>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</si>
  <si>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</si>
  <si>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</si>
  <si>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</si>
  <si>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</si>
  <si>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</si>
  <si>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</si>
  <si>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</si>
  <si>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</si>
  <si>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</si>
  <si>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</si>
  <si>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</si>
  <si>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</si>
  <si>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</si>
  <si>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</si>
  <si>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</si>
  <si>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</si>
  <si>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</si>
  <si>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</si>
  <si>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</si>
  <si>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</si>
  <si>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</si>
  <si>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</si>
  <si>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</si>
  <si>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</si>
  <si>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</si>
  <si>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</si>
  <si>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</si>
  <si>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</si>
  <si>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</si>
  <si>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</si>
  <si>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</si>
  <si>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</si>
  <si>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</si>
  <si>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</si>
  <si>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</si>
  <si>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</si>
  <si>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</si>
  <si>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</si>
  <si>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</si>
  <si>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</si>
  <si>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</si>
  <si>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</si>
  <si>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</si>
  <si>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</si>
  <si>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</si>
  <si>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</si>
  <si>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</si>
  <si>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</si>
  <si>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</si>
  <si>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</si>
  <si>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</si>
  <si>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</si>
  <si>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</si>
  <si>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</si>
  <si>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</si>
  <si>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</si>
  <si>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</si>
  <si>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</si>
  <si>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</si>
  <si>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</si>
  <si>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</si>
  <si>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</si>
  <si>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</si>
  <si>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</si>
  <si>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</si>
  <si>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</si>
  <si>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</si>
  <si>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</si>
  <si>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</si>
  <si>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</si>
  <si>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</si>
  <si>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</si>
  <si>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</si>
  <si>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</si>
  <si>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</si>
  <si>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</si>
  <si>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</si>
  <si>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</si>
  <si>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</si>
  <si>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</si>
  <si>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</si>
  <si>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</si>
  <si>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</si>
  <si>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</si>
  <si>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</si>
  <si>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</si>
  <si>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</si>
  <si>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</si>
  <si>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</si>
  <si>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</si>
  <si>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</si>
  <si>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</si>
  <si>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</si>
  <si>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</si>
  <si>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</si>
  <si>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</si>
  <si>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</si>
  <si>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</si>
  <si>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</si>
  <si>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</si>
  <si>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</si>
  <si>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</si>
  <si>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</si>
  <si>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</si>
  <si>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</si>
  <si>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</si>
  <si>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</si>
  <si>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</si>
  <si>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</si>
  <si>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</si>
  <si>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</si>
  <si>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</si>
  <si>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</si>
  <si>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</si>
  <si>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</si>
  <si>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</si>
  <si>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</si>
  <si>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</si>
  <si>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</si>
  <si>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</si>
  <si>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</si>
  <si>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</si>
  <si>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</si>
  <si>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</si>
  <si>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</si>
  <si>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</si>
  <si>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</si>
  <si>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</si>
  <si>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</si>
  <si>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</si>
  <si>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</si>
  <si>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</si>
  <si>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</si>
  <si>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</si>
  <si>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</si>
  <si>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</si>
  <si>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</si>
  <si>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</si>
  <si>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</si>
  <si>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</si>
  <si>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</si>
  <si>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</si>
  <si>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</si>
  <si>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</si>
  <si>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</si>
  <si>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</si>
  <si>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</si>
  <si>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</si>
  <si>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t xml:space="preserve">工作單 docs/workorders/20261017_v14.1修補.md R1</t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</si>
  <si>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</si>
  <si>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</si>
  <si>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</si>
  <si>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</si>
  <si>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t xml:space="preserve">工作單 docs/workorders/20261017_v14.1修補.md R2</t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</si>
  <si>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</si>
  <si>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</si>
  <si>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t xml:space="preserve">供應商專屬旗標（Har_In 第 20、32 列 C:G）自第 44 列於 v14.0 刪除後已無任何公式讀取，v14.1 清空。原值：第 20 列 1／1／1／1／1；第 32 列 0／0／0／0／0。H 欄（來源與標記）與 I 欄（說明）原文保留；Gov_Map 該兩列（列 493、501）加註『v14.1 已移除』，原文保留（修訂九）。需要時再接線。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</si>
  <si>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</si>
  <si>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docs/workorders/20261017_v14.1修補.md R3</t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</si>
  <si>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</si>
  <si>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</si>
  <si>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</si>
  <si>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</si>
  <si>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t xml:space="preserve">工作單 docs/workorders/20261017_v14.1修補.md R4</t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</si>
  <si>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</si>
  <si>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</si>
  <si>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</si>
  <si>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</si>
  <si>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t xml:space="preserve">工作單 docs/workorders/20261017_v14.1修補.md R5</t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</si>
  <si>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</si>
  <si>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</si>
  <si>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</si>
  <si>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</si>
  <si>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t xml:space="preserve">工作單 docs/workorders/20261017_v14.1修補.md R6</t>
  </si>
  <si>
    <t xml:space="preserve">SL45-1</t>
  </si>
  <si>
    <t xml:space="preserve">v14.2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</si>
  <si>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S1 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P25Hi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截在同欄下限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</si>
  <si>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 </t>
    </r>
    <r>
      <rPr>
        <sz val="10"/>
        <color rgb="FF000000"/>
        <rFont val="Arial"/>
        <family val="0"/>
        <charset val="1"/>
      </rPr>
      <t xml:space="preserve">AL_PriceFleet25_Lo</t>
    </r>
    <r>
      <rPr>
        <sz val="10"/>
        <color rgb="FF000000"/>
        <rFont val="Noto Sans CJK SC"/>
        <family val="2"/>
      </rPr>
      <t xml:space="preserve">）與第 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L1_MFleet_P25Hi</t>
    </r>
    <r>
      <rPr>
        <sz val="10"/>
        <color rgb="FF000000"/>
        <rFont val="Noto Sans CJK SC"/>
        <family val="2"/>
      </rPr>
      <t xml:space="preserve">，單價取高端 </t>
    </r>
    <r>
      <rPr>
        <sz val="10"/>
        <color rgb="FF000000"/>
        <rFont val="Arial"/>
        <family val="0"/>
        <charset val="1"/>
      </rPr>
      <t xml:space="preserve">AL_PriceFleet25_Hi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各欄，改為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；下限＝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（該欄機隊付費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該列自己的單價）。機制與 </t>
    </r>
    <r>
      <rPr>
        <sz val="10"/>
        <color rgb="FF000000"/>
        <rFont val="Arial"/>
        <family val="0"/>
        <charset val="1"/>
      </rPr>
      <t xml:space="preserve">v14.1 R1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）相同，全部是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公式。下限用『該列自己的單價』，因為第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列的下限是在基準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）下算的，套用到不同單價的列會不一致。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#108</t>
    </r>
    <r>
      <rPr>
        <sz val="10"/>
        <color rgb="FF000000"/>
        <rFont val="Noto Sans CJK SC"/>
        <family val="2"/>
      </rPr>
      <t xml:space="preserve">）發現：低端欄（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取高）兩列都低於各自的同欄下限（</t>
    </r>
    <r>
      <rPr>
        <sz val="10"/>
        <color rgb="FF000000"/>
        <rFont val="Arial"/>
        <family val="0"/>
        <charset val="1"/>
      </rPr>
      <t xml:space="preserve">P25Lo 0.3535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0.4141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P25Hi 0.1066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0.1249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（低端／基準／高端）、</t>
    </r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不在依賴鏈上，不變。這兩個名稱仍是顯示用區間，不乘入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（下游契約第 </t>
    </r>
    <r>
      <rPr>
        <sz val="10"/>
        <color rgb="FF000000"/>
        <rFont val="Arial"/>
        <family val="0"/>
        <charset val="1"/>
      </rPr>
      <t xml:space="preserve">92 </t>
    </r>
    <r>
      <rPr>
        <sz val="10"/>
        <color rgb="FF000000"/>
        <rFont val="Noto Sans CJK SC"/>
        <family val="2"/>
      </rPr>
      <t xml:space="preserve">行）。新舊值見 </t>
    </r>
    <r>
      <rPr>
        <sz val="10"/>
        <color rgb="FF000000"/>
        <rFont val="Arial"/>
        <family val="0"/>
        <charset val="1"/>
      </rPr>
      <t xml:space="preserve">docs/reports/20261017_v14.2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</si>
  <si>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13:04</t>
    </r>
    <r>
      <rPr>
        <sz val="10"/>
        <color rgb="FF000000"/>
        <rFont val="Noto Sans CJK SC"/>
        <family val="2"/>
      </rPr>
      <t xml:space="preserve">（回覆『全部依照你的建議』，同意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的預設）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</si>
  <si>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</si>
  <si>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</si>
  <si>
    <t xml:space="preserve">工作單 docs/workorders/20261017_v14.2修補.md S1</t>
  </si>
  <si>
    <t xml:space="preserve">SL45-2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</si>
  <si>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S2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</t>
    </r>
  </si>
  <si>
    <t xml:space="preserve">比照 v14.1 R4：供應商專屬旗標（Har_In 第 20、32 列 C:G）已於 v14.1 清空且無任何公式讀取，A、B 欄標籤一併清空。原文（工作表!列：原 A 欄｜原 B 欄）：Har_In!20：供應商專屬（1＝是）｜旗標；Har_In!32：供應商專屬（1＝是）｜旗標。H 欄（來源與標記：Verified／Assumed）與 I 欄（說明）依 CLAUDE.md 第 6 節保留原文。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</si>
  <si>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</t>
    </r>
  </si>
  <si>
    <t xml:space="preserve">工作單 docs/workorders/20261017_v14.2修補.md S2</t>
  </si>
  <si>
    <t xml:space="preserve">SL45-3</t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</si>
  <si>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工程類小項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</si>
  <si>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測試 </t>
    </r>
    <r>
      <rPr>
        <sz val="10"/>
        <color rgb="FF000000"/>
        <rFont val="Arial"/>
        <family val="0"/>
        <charset val="1"/>
      </rPr>
      <t xml:space="preserve">test_v1400_q3_floor_and_mfleet_lo_values_unchanged </t>
    </r>
    <r>
      <rPr>
        <sz val="10"/>
        <color rgb="FF000000"/>
        <rFont val="Noto Sans CJK SC"/>
        <family val="2"/>
      </rPr>
      <t xml:space="preserve">改名為 </t>
    </r>
    <r>
      <rPr>
        <sz val="10"/>
        <color rgb="FF000000"/>
        <rFont val="Arial"/>
        <family val="0"/>
        <charset val="1"/>
      </rPr>
      <t xml:space="preserve">test_v1400_q3_floor_row121_unchanged_and_mfleet_lo_is_v141_floor</t>
    </r>
    <r>
      <rPr>
        <sz val="10"/>
        <color rgb="FF000000"/>
        <rFont val="Noto Sans CJK SC"/>
        <family val="2"/>
      </rPr>
      <t xml:space="preserve">（內容不變）。</t>
    </r>
    <r>
      <rPr>
        <sz val="10"/>
        <color rgb="FF000000"/>
        <rFont val="Arial"/>
        <family val="0"/>
        <charset val="1"/>
      </rPr>
      <t xml:space="preserve">(2) v14.1 </t>
    </r>
    <r>
      <rPr>
        <sz val="10"/>
        <color rgb="FF000000"/>
        <rFont val="Noto Sans CJK SC"/>
        <family val="2"/>
      </rPr>
      <t xml:space="preserve">報告表頭補最新提交 </t>
    </r>
    <r>
      <rPr>
        <sz val="10"/>
        <color rgb="FF000000"/>
        <rFont val="Arial"/>
        <family val="0"/>
        <charset val="1"/>
      </rPr>
      <t xml:space="preserve">SHA c888b0c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SHA ee5ccf7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 </t>
    </r>
    <r>
      <rPr>
        <sz val="10"/>
        <color rgb="FF000000"/>
        <rFont val="Noto Sans CJK SC"/>
        <family val="2"/>
      </rPr>
      <t xml:space="preserve">補記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合併 </t>
    </r>
    <r>
      <rPr>
        <sz val="10"/>
        <color rgb="FF000000"/>
        <rFont val="Arial"/>
        <family val="0"/>
        <charset val="1"/>
      </rPr>
      <t xml:space="preserve">SHA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(3) v14.1 </t>
    </r>
    <r>
      <rPr>
        <sz val="10"/>
        <color rgb="FF000000"/>
        <rFont val="Noto Sans CJK SC"/>
        <family val="2"/>
      </rPr>
      <t xml:space="preserve">獨立查核報告第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項：查核者對其餘項目無異議，沒有需補做的文字或標籤項；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項目即 </t>
    </r>
    <r>
      <rPr>
        <sz val="10"/>
        <color rgb="FF000000"/>
        <rFont val="Arial"/>
        <family val="0"/>
        <charset val="1"/>
      </rPr>
      <t xml:space="preserve">S1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</si>
  <si>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外）</t>
    </r>
  </si>
  <si>
    <r>
      <rPr>
        <sz val="10"/>
        <color rgb="FF000000"/>
        <rFont val="Arial"/>
        <family val="0"/>
        <charset val="1"/>
      </rPr>
      <t xml:space="preserve">tests/parity/test_v1400.py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docs/reports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CHANGELOG.md</t>
    </r>
  </si>
  <si>
    <t xml:space="preserve">工作單 docs/workorders/20261017_v14.2修補.md S3</t>
  </si>
  <si>
    <t xml:space="preserve">SL46-01</t>
  </si>
  <si>
    <t xml:space="preserve">v15.0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</si>
  <si>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O13 </t>
    </r>
    <r>
      <rPr>
        <sz val="10"/>
        <color rgb="FF000000"/>
        <rFont val="Noto Sans CJK SC"/>
        <family val="2"/>
      </rPr>
      <t xml:space="preserve">推論支出區間 </t>
    </r>
    <r>
      <rPr>
        <sz val="10"/>
        <color rgb="FF000000"/>
        <rFont val="Arial"/>
        <family val="0"/>
        <charset val="1"/>
      </rPr>
      <t xml:space="preserve">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接進支出路線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</si>
  <si>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節（全部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公式）：服務 </t>
    </r>
    <r>
      <rPr>
        <sz val="10"/>
        <color rgb="FF000000"/>
        <rFont val="Arial"/>
        <family val="0"/>
        <charset val="1"/>
      </rPr>
      <t xml:space="preserve">GW @ SRC_DEM_004_Lo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各兩端；新契約名稱 </t>
    </r>
    <r>
      <rPr>
        <sz val="10"/>
        <color rgb="FF000000"/>
        <rFont val="Arial"/>
        <family val="0"/>
        <charset val="1"/>
      </rPr>
      <t xml:space="preserve">RNG_Dem004_IF_AllocServeGW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IF_AllocQ2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（取兩端每格較小／較大者）與 </t>
    </r>
    <r>
      <rPr>
        <sz val="10"/>
        <color rgb="FF000000"/>
        <rFont val="Arial"/>
        <family val="0"/>
        <charset val="1"/>
      </rPr>
      <t xml:space="preserve">RNG_Dem004_OutCount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，基準為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）。基準值、既有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端點不變。這是『推論支出』一條軸；與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節批次倍數區間是不同的軸，未合併。未納入：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（需另定免費占比隨支出的處理）與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的支出敏感度 </t>
    </r>
    <r>
      <rPr>
        <sz val="10"/>
        <color rgb="FF000000"/>
        <rFont val="Arial"/>
        <family val="0"/>
        <charset val="1"/>
      </rPr>
      <t xml:space="preserve">+12%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4.5% </t>
    </r>
    <r>
      <rPr>
        <sz val="10"/>
        <color rgb="FF000000"/>
        <rFont val="Noto Sans CJK SC"/>
        <family val="2"/>
      </rPr>
      <t xml:space="preserve">仍在區間外），列待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判斷。新舊值見 </t>
    </r>
    <r>
      <rPr>
        <sz val="10"/>
        <color rgb="FF000000"/>
        <rFont val="Arial"/>
        <family val="0"/>
        <charset val="1"/>
      </rPr>
      <t xml:space="preserve">docs/reports/20261017_v14.3_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</si>
  <si>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Andy 2026-10-17 13:39</t>
    </r>
    <r>
      <rPr>
        <sz val="10"/>
        <color rgb="FF000000"/>
        <rFont val="Noto Sans CJK SC"/>
        <family val="2"/>
      </rPr>
      <t xml:space="preserve">（回覆『照預設』：對帳報告 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O1–O22 </t>
    </r>
    <r>
      <rPr>
        <sz val="10"/>
        <color rgb="FF000000"/>
        <rFont val="Noto Sans CJK SC"/>
        <family val="2"/>
      </rPr>
      <t xml:space="preserve">全部採建議預設）；</t>
    </r>
    <r>
      <rPr>
        <sz val="10"/>
        <color rgb="FF000000"/>
        <rFont val="Arial"/>
        <family val="0"/>
        <charset val="1"/>
      </rPr>
      <t xml:space="preserve">O4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</si>
  <si>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</si>
  <si>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Q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RNG_Dem004_*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</si>
  <si>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O13</t>
    </r>
  </si>
  <si>
    <t xml:space="preserve">SL46-02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</si>
  <si>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O14 L1 </t>
    </r>
    <r>
      <rPr>
        <sz val="10"/>
        <color rgb="FF000000"/>
        <rFont val="Noto Sans CJK SC"/>
        <family val="2"/>
      </rPr>
      <t xml:space="preserve">外部對照換算為同一單位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</si>
  <si>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O14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列外部租金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新紀錄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時數口徑；第 </t>
    </r>
    <r>
      <rPr>
        <sz val="10"/>
        <color rgb="FF000000"/>
        <rFont val="Arial"/>
        <family val="0"/>
        <charset val="1"/>
      </rPr>
      <t xml:space="preserve">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列外部整架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比乘每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機架數比（</t>
    </r>
    <r>
      <rPr>
        <sz val="10"/>
        <color rgb="FF000000"/>
        <rFont val="Arial"/>
        <family val="0"/>
        <charset val="1"/>
      </rPr>
      <t xml:space="preserve">IF_RacksPerGW</t>
    </r>
    <r>
      <rPr>
        <sz val="10"/>
        <color rgb="FF000000"/>
        <rFont val="Noto Sans CJK SC"/>
        <family val="2"/>
      </rPr>
      <t xml:space="preserve">）換成每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比；第 </t>
    </r>
    <r>
      <rPr>
        <sz val="10"/>
        <color rgb="FF000000"/>
        <rFont val="Arial"/>
        <family val="0"/>
        <charset val="1"/>
      </rPr>
      <t xml:space="preserve">61–65 </t>
    </r>
    <r>
      <rPr>
        <sz val="10"/>
        <color rgb="FF000000"/>
        <rFont val="Noto Sans CJK SC"/>
        <family val="2"/>
      </rPr>
      <t xml:space="preserve">列外部 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成本比除以世代比，與模型『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世代比』同單位；第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列單位本來一致（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年），只加註剩餘差異是定義差（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0.57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、理論上限對實際營收），不改。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欄基準不變；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欄說明隨之更新。新增 </t>
    </r>
    <r>
      <rPr>
        <sz val="10"/>
        <color rgb="FF000000"/>
        <rFont val="Arial"/>
        <family val="0"/>
        <charset val="1"/>
      </rPr>
      <t xml:space="preserve">SRC_PRC_047</t>
    </r>
    <r>
      <rPr>
        <sz val="10"/>
        <color rgb="FF000000"/>
        <rFont val="Noto Sans CJK SC"/>
        <family val="2"/>
      </rPr>
      <t xml:space="preserve">（把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拆成數值紀錄，無新證據，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</si>
  <si>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59–65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SRC_Price SRC_PRC_047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</si>
  <si>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O14</t>
    </r>
  </si>
  <si>
    <t xml:space="preserve">SL46-03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</si>
  <si>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B11 </t>
    </r>
    <r>
      <rPr>
        <sz val="10"/>
        <color rgb="FF000000"/>
        <rFont val="Noto Sans CJK SC"/>
        <family val="2"/>
      </rPr>
      <t xml:space="preserve">前緣可靠度門檻守衛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</si>
  <si>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列新增 </t>
    </r>
    <r>
      <rPr>
        <sz val="10"/>
        <color rgb="FF000000"/>
        <rFont val="Arial"/>
        <family val="0"/>
        <charset val="1"/>
      </rPr>
      <t xml:space="preserve">IF_FrontSuccVRQual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前緣有合格組合，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＝無合格；</t>
    </r>
    <r>
      <rPr>
        <sz val="10"/>
        <color rgb="FF000000"/>
        <rFont val="Arial"/>
        <family val="0"/>
        <charset val="1"/>
      </rPr>
      <t xml:space="preserve">IF_FrontSuccVR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Name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時仍回『無合格』文字，原行為不變），下游讀前緣前先看此旗標。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132 </t>
    </r>
    <r>
      <rPr>
        <sz val="10"/>
        <color rgb="FF000000"/>
        <rFont val="Noto Sans CJK SC"/>
        <family val="2"/>
      </rPr>
      <t xml:space="preserve">列（中嚴重度，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時每成功任務營收回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）維持：沒有任何成功的任務其營收為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是定義，成本列回文字是因成本無定義，兩者語意不同，刻意保留。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</si>
  <si>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151–153 </t>
    </r>
    <r>
      <rPr>
        <sz val="10"/>
        <color rgb="FF000000"/>
        <rFont val="Noto Sans CJK SC"/>
        <family val="2"/>
      </rPr>
      <t xml:space="preserve">列說明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</si>
  <si>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O15</t>
    </r>
  </si>
  <si>
    <t xml:space="preserve">SL46-04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</si>
  <si>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B20 </t>
    </r>
    <r>
      <rPr>
        <sz val="10"/>
        <color rgb="FF000000"/>
        <rFont val="Noto Sans CJK SC"/>
        <family val="2"/>
      </rPr>
      <t xml:space="preserve">合成資料、評測與參考模型前向的計價口徑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</si>
  <si>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列（合成資料、評測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小時）以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計價，只含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列（參考模型前向，基準關閉＝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）以訓練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折回前向計價。改為含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或統一計價會改變數值，故只標註口徑、不改機制；是否改列待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</si>
  <si>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</t>
    </r>
  </si>
  <si>
    <t xml:space="preserve">SL46-05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</si>
  <si>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Y9 </t>
    </r>
    <r>
      <rPr>
        <sz val="10"/>
        <color rgb="FF000000"/>
        <rFont val="Noto Sans CJK SC"/>
        <family val="2"/>
      </rPr>
      <t xml:space="preserve">敏感度端點跟隨輸入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</si>
  <si>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折扣兩列改連結 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）：原『折扣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）→ 現隨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；標籤改為公式。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基準』低／高端 </t>
    </r>
    <r>
      <rPr>
        <sz val="10"/>
        <color rgb="FF000000"/>
        <rFont val="Arial"/>
        <family val="0"/>
        <charset val="1"/>
      </rPr>
      <t xml:space="preserve">E–H </t>
    </r>
    <r>
      <rPr>
        <sz val="10"/>
        <color rgb="FF000000"/>
        <rFont val="Noto Sans CJK SC"/>
        <family val="2"/>
      </rPr>
      <t xml:space="preserve">欄由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GM519 </t>
    </r>
    <r>
      <rPr>
        <sz val="10"/>
        <color rgb="FF000000"/>
        <rFont val="Noto Sans CJK SC"/>
        <family val="2"/>
      </rPr>
      <t xml:space="preserve">區間，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提議、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確認；原值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，標籤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』、</t>
    </r>
    <r>
      <rPr>
        <sz val="10"/>
        <color rgb="FF000000"/>
        <rFont val="Arial"/>
        <family val="0"/>
        <charset val="1"/>
      </rPr>
      <t xml:space="preserve">G3</t>
    </r>
    <r>
      <rPr>
        <sz val="10"/>
        <color rgb="FF000000"/>
        <rFont val="Noto Sans CJK SC"/>
        <family val="2"/>
      </rPr>
      <t xml:space="preserve">『預訓練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0.40</t>
    </r>
    <r>
      <rPr>
        <sz val="10"/>
        <color rgb="FF000000"/>
        <rFont val="Noto Sans CJK SC"/>
        <family val="2"/>
      </rPr>
      <t xml:space="preserve">』）。</t>
    </r>
    <r>
      <rPr>
        <sz val="10"/>
        <color rgb="FF000000"/>
        <rFont val="Arial"/>
        <family val="0"/>
        <charset val="1"/>
      </rPr>
      <t xml:space="preserve">Train_In H6 </t>
    </r>
    <r>
      <rPr>
        <sz val="10"/>
        <color rgb="FF000000"/>
        <rFont val="Noto Sans CJK SC"/>
        <family val="2"/>
      </rPr>
      <t xml:space="preserve">說明仍寫『區間 </t>
    </r>
    <r>
      <rPr>
        <sz val="10"/>
        <color rgb="FF000000"/>
        <rFont val="Arial"/>
        <family val="0"/>
        <charset val="1"/>
      </rPr>
      <t xml:space="preserve">0.15–0.40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擁有，未改），與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不一致，列待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判斷。這些是敏感度頁的情境端點，不在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基準路徑上（依賴圖：下游契約名稱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個）。</t>
    </r>
  </si>
  <si>
    <r>
      <rPr>
        <sz val="10"/>
        <color rgb="FF000000"/>
        <rFont val="Arial"/>
        <family val="0"/>
        <charset val="1"/>
      </rPr>
      <t xml:space="preserve">Sens_Rev B8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E13:H13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G3</t>
    </r>
  </si>
  <si>
    <t xml:space="preserve">SL46-06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</si>
  <si>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F16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列角落組合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</si>
  <si>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）。第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列低／高欄是『每則提示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免費占比同向取端點』的角落組合（包絡，非機率區間）。標註於 </t>
    </r>
    <r>
      <rPr>
        <sz val="10"/>
        <color rgb="FF000000"/>
        <rFont val="Arial"/>
        <family val="0"/>
        <charset val="1"/>
      </rPr>
      <t xml:space="preserve">Cap_In G81</t>
    </r>
    <r>
      <rPr>
        <sz val="10"/>
        <color rgb="FF000000"/>
        <rFont val="Noto Sans CJK SC"/>
        <family val="2"/>
      </rPr>
      <t xml:space="preserve">；改成獨立加總會改數值，列待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</si>
  <si>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Cap_In G81</t>
  </si>
  <si>
    <t xml:space="preserve">SL46-07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</si>
  <si>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O15 </t>
    </r>
    <r>
      <rPr>
        <sz val="10"/>
        <color rgb="FF000000"/>
        <rFont val="Noto Sans CJK SC"/>
        <family val="2"/>
      </rPr>
      <t xml:space="preserve">其餘小項記為刻意保留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</si>
  <si>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O15</t>
    </r>
    <r>
      <rPr>
        <sz val="10"/>
        <color rgb="FF000000"/>
        <rFont val="Noto Sans CJK SC"/>
        <family val="2"/>
      </rPr>
      <t xml:space="preserve">，建議：其餘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）。逐項理由——</t>
    </r>
    <r>
      <rPr>
        <sz val="10"/>
        <color rgb="FF000000"/>
        <rFont val="Arial"/>
        <family val="0"/>
        <charset val="1"/>
      </rPr>
      <t xml:space="preserve">G10 Cache_Store </t>
    </r>
    <r>
      <rPr>
        <sz val="10"/>
        <color rgb="FF000000"/>
        <rFont val="Noto Sans CJK SC"/>
        <family val="2"/>
      </rPr>
      <t xml:space="preserve">不套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：基準影響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，啟用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壓縮技術時才有差；</t>
    </r>
    <r>
      <rPr>
        <sz val="10"/>
        <color rgb="FF000000"/>
        <rFont val="Arial"/>
        <family val="0"/>
        <charset val="1"/>
      </rPr>
      <t xml:space="preserve">G12 tok/J </t>
    </r>
    <r>
      <rPr>
        <sz val="10"/>
        <color rgb="FF000000"/>
        <rFont val="Noto Sans CJK SC"/>
        <family val="2"/>
      </rPr>
      <t xml:space="preserve">以平均用電口徑：影響 </t>
    </r>
    <r>
      <rPr>
        <sz val="10"/>
        <color rgb="FF000000"/>
        <rFont val="Arial"/>
        <family val="0"/>
        <charset val="1"/>
      </rPr>
      <t xml:space="preserve">IF_TokPerJ_* +14%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11%</t>
    </r>
    <r>
      <rPr>
        <sz val="10"/>
        <color rgb="FF000000"/>
        <rFont val="Noto Sans CJK SC"/>
        <family val="2"/>
      </rPr>
      <t xml:space="preserve">，口徑已於 </t>
    </r>
    <r>
      <rPr>
        <sz val="10"/>
        <color rgb="FF000000"/>
        <rFont val="Arial"/>
        <family val="0"/>
        <charset val="1"/>
      </rPr>
      <t xml:space="preserve">Perf!A117 </t>
    </r>
    <r>
      <rPr>
        <sz val="10"/>
        <color rgb="FF000000"/>
        <rFont val="Noto Sans CJK SC"/>
        <family val="2"/>
      </rPr>
      <t xml:space="preserve">標示；</t>
    </r>
    <r>
      <rPr>
        <sz val="10"/>
        <color rgb="FF000000"/>
        <rFont val="Arial"/>
        <family val="0"/>
        <charset val="1"/>
      </rPr>
      <t xml:space="preserve">G16 </t>
    </r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與參考請求兩套定義：兩者用途不同（任務成本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容量），換算需新機制；</t>
    </r>
    <r>
      <rPr>
        <sz val="10"/>
        <color rgb="FF000000"/>
        <rFont val="Arial"/>
        <family val="0"/>
        <charset val="1"/>
      </rPr>
      <t xml:space="preserve">G18 Price_Frontier!C24 </t>
    </r>
    <r>
      <rPr>
        <sz val="10"/>
        <color rgb="FF000000"/>
        <rFont val="Noto Sans CJK SC"/>
        <family val="2"/>
      </rPr>
      <t xml:space="preserve">以位置取列：目前列序固定，改列序時測試會抓到；</t>
    </r>
    <r>
      <rPr>
        <sz val="10"/>
        <color rgb="FF000000"/>
        <rFont val="Arial"/>
        <family val="0"/>
        <charset val="1"/>
      </rPr>
      <t xml:space="preserve">G19 IF_MaintIT </t>
    </r>
    <r>
      <rPr>
        <sz val="10"/>
        <color rgb="FF000000"/>
        <rFont val="Noto Sans CJK SC"/>
        <family val="2"/>
      </rPr>
      <t xml:space="preserve">同時進會計口徑：註記性，不影響數值；</t>
    </r>
    <r>
      <rPr>
        <sz val="10"/>
        <color rgb="FF000000"/>
        <rFont val="Arial"/>
        <family val="0"/>
        <charset val="1"/>
      </rPr>
      <t xml:space="preserve">G21 </t>
    </r>
    <r>
      <rPr>
        <sz val="10"/>
        <color rgb="FF000000"/>
        <rFont val="Noto Sans CJK SC"/>
        <family val="2"/>
      </rPr>
      <t xml:space="preserve">每專家參數假設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層全 </t>
    </r>
    <r>
      <rPr>
        <sz val="10"/>
        <color rgb="FF000000"/>
        <rFont val="Arial"/>
        <family val="0"/>
        <charset val="1"/>
      </rPr>
      <t xml:space="preserve">MoE</t>
    </r>
    <r>
      <rPr>
        <sz val="10"/>
        <color rgb="FF000000"/>
        <rFont val="Noto Sans CJK SC"/>
        <family val="2"/>
      </rPr>
      <t xml:space="preserve">：只影響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G22 Tech_Registry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P≤0 </t>
    </r>
    <r>
      <rPr>
        <sz val="10"/>
        <color rgb="FF000000"/>
        <rFont val="Noto Sans CJK SC"/>
        <family val="2"/>
      </rPr>
      <t xml:space="preserve">守衛：基準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全為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時才有差；</t>
    </r>
    <r>
      <rPr>
        <sz val="10"/>
        <color rgb="FF000000"/>
        <rFont val="Arial"/>
        <family val="0"/>
        <charset val="1"/>
      </rPr>
      <t xml:space="preserve">G23 RU </t>
    </r>
    <r>
      <rPr>
        <sz val="10"/>
        <color rgb="FF000000"/>
        <rFont val="Noto Sans CJK SC"/>
        <family val="2"/>
      </rPr>
      <t xml:space="preserve">封裝功率為推估：只進能量下限；</t>
    </r>
    <r>
      <rPr>
        <sz val="10"/>
        <color rgb="FF000000"/>
        <rFont val="Arial"/>
        <family val="0"/>
        <charset val="1"/>
      </rPr>
      <t xml:space="preserve">B13 ρ </t>
    </r>
    <r>
      <rPr>
        <sz val="10"/>
        <color rgb="FF000000"/>
        <rFont val="Noto Sans CJK SC"/>
        <family val="2"/>
      </rPr>
      <t xml:space="preserve">低端取每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單價比：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0.342→0.358</t>
    </r>
    <r>
      <rPr>
        <sz val="10"/>
        <color rgb="FF000000"/>
        <rFont val="Noto Sans CJK SC"/>
        <family val="2"/>
      </rPr>
      <t xml:space="preserve">，屬判斷；</t>
    </r>
    <r>
      <rPr>
        <sz val="10"/>
        <color rgb="FF000000"/>
        <rFont val="Arial"/>
        <family val="0"/>
        <charset val="1"/>
      </rPr>
      <t xml:space="preserve">B14 </t>
    </r>
    <r>
      <rPr>
        <sz val="10"/>
        <color rgb="FF000000"/>
        <rFont val="Noto Sans CJK SC"/>
        <family val="2"/>
      </rPr>
      <t xml:space="preserve">最終訓練占比同源：屬判斷；</t>
    </r>
    <r>
      <rPr>
        <sz val="10"/>
        <color rgb="FF000000"/>
        <rFont val="Arial"/>
        <family val="0"/>
        <charset val="1"/>
      </rPr>
      <t xml:space="preserve">B19 </t>
    </r>
    <r>
      <rPr>
        <sz val="10"/>
        <color rgb="FF000000"/>
        <rFont val="Noto Sans CJK SC"/>
        <family val="2"/>
      </rPr>
      <t xml:space="preserve">程式代理實收時點：只作對照；</t>
    </r>
    <r>
      <rPr>
        <sz val="10"/>
        <color rgb="FF000000"/>
        <rFont val="Arial"/>
        <family val="0"/>
        <charset val="1"/>
      </rPr>
      <t xml:space="preserve">B22 </t>
    </r>
    <r>
      <rPr>
        <sz val="10"/>
        <color rgb="FF000000"/>
        <rFont val="Noto Sans CJK SC"/>
        <family val="2"/>
      </rPr>
      <t xml:space="preserve">時間範圍倍數無法換算：說明已自述；</t>
    </r>
    <r>
      <rPr>
        <sz val="10"/>
        <color rgb="FF000000"/>
        <rFont val="Arial"/>
        <family val="0"/>
        <charset val="1"/>
      </rPr>
      <t xml:space="preserve">S0 </t>
    </r>
    <r>
      <rPr>
        <sz val="10"/>
        <color rgb="FF000000"/>
        <rFont val="Noto Sans CJK SC"/>
        <family val="2"/>
      </rPr>
      <t xml:space="preserve">機械項（藍字文字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格與非藍字常數 </t>
    </r>
    <r>
      <rPr>
        <sz val="10"/>
        <color rgb="FF000000"/>
        <rFont val="Arial"/>
        <family val="0"/>
        <charset val="1"/>
      </rPr>
      <t xml:space="preserve">370 </t>
    </r>
    <r>
      <rPr>
        <sz val="10"/>
        <color rgb="FF000000"/>
        <rFont val="Noto Sans CJK SC"/>
        <family val="2"/>
      </rPr>
      <t xml:space="preserve">格未登錄、日期過舊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項、單位欄空白等）：不影響數值，由後續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維護逐步補。以上多數基準影響為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，修了也不改數字。</t>
    </r>
  </si>
  <si>
    <t xml:space="preserve">（全簿）</t>
  </si>
  <si>
    <t xml:space="preserve">SL46-08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</si>
  <si>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O9 V16 </t>
    </r>
    <r>
      <rPr>
        <sz val="10"/>
        <color rgb="FF000000"/>
        <rFont val="Noto Sans CJK SC"/>
        <family val="2"/>
      </rPr>
      <t xml:space="preserve">能量閉合改標恆等式（非驗證）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</si>
  <si>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V16 </t>
    </r>
    <r>
      <rPr>
        <sz val="10"/>
        <color rgb="FF000000"/>
        <rFont val="Noto Sans CJK SC"/>
        <family val="2"/>
      </rPr>
      <t xml:space="preserve">比照 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標『恆等式（非驗證）』並移出驗證計數：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 → 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Fail 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Warn 1 </t>
    </r>
    <r>
      <rPr>
        <sz val="10"/>
        <color rgb="FF000000"/>
        <rFont val="Noto Sans CJK SC"/>
        <family val="2"/>
      </rPr>
      <t xml:space="preserve">不變）。對帳報告所稱『</t>
    </r>
    <r>
      <rPr>
        <sz val="10"/>
        <color rgb="FF000000"/>
        <rFont val="Arial"/>
        <family val="0"/>
        <charset val="1"/>
      </rPr>
      <t xml:space="preserve">22 → 19</t>
    </r>
    <r>
      <rPr>
        <sz val="10"/>
        <color rgb="FF000000"/>
        <rFont val="Noto Sans CJK SC"/>
        <family val="2"/>
      </rPr>
      <t xml:space="preserve">』是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三項，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移出（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），本版只剩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『改回驗證計數』的判斷（原文保留於 </t>
    </r>
    <r>
      <rPr>
        <sz val="10"/>
        <color rgb="FF000000"/>
        <rFont val="Arial"/>
        <family val="0"/>
        <charset val="1"/>
      </rPr>
      <t xml:space="preserve">Checks J164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列（長期）：另找能由輸入失敗的獨立量。</t>
    </r>
  </si>
  <si>
    <r>
      <rPr>
        <sz val="10"/>
        <color rgb="FF000000"/>
        <rFont val="Arial"/>
        <family val="0"/>
        <charset val="1"/>
      </rPr>
      <t xml:space="preserve">Checks V16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CHK_Verify*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</si>
  <si>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O9 </t>
    </r>
  </si>
  <si>
    <t xml:space="preserve">SL46-09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</si>
  <si>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O6 SRC_Index </t>
    </r>
    <r>
      <rPr>
        <sz val="10"/>
        <color rgb="FF000000"/>
        <rFont val="Noto Sans CJK SC"/>
        <family val="2"/>
      </rPr>
      <t xml:space="preserve">哨兵列整理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</si>
  <si>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，工程類）。哨兵列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欄由常數『（哨兵）』改為公式，標示該列的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是否已在上方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頁（『查詢不會命中本列』）；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MATCH </t>
    </r>
    <r>
      <rPr>
        <sz val="10"/>
        <color rgb="FF000000"/>
        <rFont val="Noto Sans CJK SC"/>
        <family val="2"/>
      </rPr>
      <t xml:space="preserve">結果不變，無數值影響。</t>
    </r>
  </si>
  <si>
    <r>
      <rPr>
        <sz val="10"/>
        <color rgb="FF000000"/>
        <rFont val="Arial"/>
        <family val="0"/>
        <charset val="1"/>
      </rPr>
      <t xml:space="preserve">SRC_Index B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</si>
  <si>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O6 </t>
    </r>
  </si>
  <si>
    <t xml:space="preserve">SL46-10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</si>
  <si>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O20 κ </t>
    </r>
    <r>
      <rPr>
        <sz val="10"/>
        <color rgb="FF000000"/>
        <rFont val="Noto Sans CJK SC"/>
        <family val="2"/>
      </rPr>
      <t xml:space="preserve">的推導搬進活頁簿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</si>
  <si>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，不改值）。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新增『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推導』區塊（公式：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101–103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欄、需求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權重）與 </t>
    </r>
    <r>
      <rPr>
        <sz val="10"/>
        <color rgb="FF000000"/>
        <rFont val="Arial"/>
        <family val="0"/>
        <charset val="1"/>
      </rPr>
      <t xml:space="preserve">Checks KP1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KP2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，不計入 </t>
    </r>
    <r>
      <rPr>
        <sz val="10"/>
        <color rgb="FF000000"/>
        <rFont val="Arial"/>
        <family val="0"/>
        <charset val="1"/>
      </rPr>
      <t xml:space="preserve">GOV_*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AL_Kappa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）。限制：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兩個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欄內插，簿內已無 </t>
    </r>
    <r>
      <rPr>
        <sz val="10"/>
        <color rgb="FF000000"/>
        <rFont val="Arial"/>
        <family val="0"/>
        <charset val="1"/>
      </rPr>
      <t xml:space="preserve">4K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權重未存簿內，改用需求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權重。重算值與 </t>
    </r>
    <r>
      <rPr>
        <sz val="10"/>
        <color rgb="FF000000"/>
        <rFont val="Arial"/>
        <family val="0"/>
        <charset val="1"/>
      </rPr>
      <t xml:space="preserve">1.035 </t>
    </r>
    <r>
      <rPr>
        <sz val="10"/>
        <color rgb="FF000000"/>
        <rFont val="Noto Sans CJK SC"/>
        <family val="2"/>
      </rPr>
      <t xml:space="preserve">的差異見報告。</t>
    </r>
  </si>
  <si>
    <r>
      <rPr>
        <sz val="10"/>
        <color rgb="FF000000"/>
        <rFont val="Arial"/>
        <family val="0"/>
        <charset val="1"/>
      </rPr>
      <t xml:space="preserve">Alloc_In κ </t>
    </r>
    <r>
      <rPr>
        <sz val="10"/>
        <color rgb="FF000000"/>
        <rFont val="Noto Sans CJK SC"/>
        <family val="2"/>
      </rPr>
      <t xml:space="preserve">推導區塊；</t>
    </r>
    <r>
      <rPr>
        <sz val="10"/>
        <color rgb="FF000000"/>
        <rFont val="Arial"/>
        <family val="0"/>
        <charset val="1"/>
      </rPr>
      <t xml:space="preserve">Checks KP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</si>
  <si>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O20</t>
    </r>
  </si>
  <si>
    <t xml:space="preserve">SL46-11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</si>
  <si>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 J1 </t>
    </r>
    <r>
      <rPr>
        <sz val="10"/>
        <color rgb="FF000000"/>
        <rFont val="Noto Sans CJK SC"/>
        <family val="2"/>
      </rPr>
      <t xml:space="preserve">模型規模倍數維持現狀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</si>
  <si>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）。維持每世代一個倍數（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）、基準一律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、只作情境（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）；分層級三列與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年度錨點留作後續。基準名稱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變動。</t>
    </r>
  </si>
  <si>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Spec_Rack ARCH_ScaleGen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</si>
  <si>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 </t>
    </r>
  </si>
  <si>
    <t xml:space="preserve">SL46-12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</si>
  <si>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O3 RNG_* </t>
    </r>
    <r>
      <rPr>
        <sz val="10"/>
        <color rgb="FF000000"/>
        <rFont val="Noto Sans CJK SC"/>
        <family val="2"/>
      </rPr>
      <t xml:space="preserve">全部接受為契約名稱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</si>
  <si>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O3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110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連帶升級的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IF_GMDefault_*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IF_TrainInferShare_*</t>
    </r>
    <r>
      <rPr>
        <sz val="10"/>
        <color rgb="FF000000"/>
        <rFont val="Noto Sans CJK SC"/>
        <family val="2"/>
      </rPr>
      <t xml:space="preserve">）全部接受為契約名稱；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維持『最多算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』，格數見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。下游須知它們是靜態端點（改上游後須重跑 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</si>
  <si>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Noto Sans CJK SC"/>
        <family val="2"/>
      </rPr>
      <t xml:space="preserve">下游契約文件；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</si>
  <si>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O3 </t>
    </r>
  </si>
  <si>
    <t xml:space="preserve">SL46-13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</si>
  <si>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O8 Hopper </t>
    </r>
    <r>
      <rPr>
        <sz val="10"/>
        <color rgb="FF000000"/>
        <rFont val="Noto Sans CJK SC"/>
        <family val="2"/>
      </rPr>
      <t xml:space="preserve">對外標『保守下界』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</si>
  <si>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排在證據有進展時）。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）與獨立驗證失敗（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  <r>
      <rPr>
        <sz val="10"/>
        <color rgb="FF000000"/>
        <rFont val="Noto Sans CJK SC"/>
        <family val="2"/>
      </rPr>
      <t xml:space="preserve">）已被揭露與計數；對外引用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吞吐標『保守下界』，另找獨立依據（外部搜尋待辦）。標籤加註：</t>
    </r>
    <r>
      <rPr>
        <sz val="10"/>
        <color rgb="FF000000"/>
        <rFont val="Arial"/>
        <family val="0"/>
        <charset val="1"/>
      </rPr>
      <t xml:space="preserve">Calib J5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</t>
    </r>
    <r>
      <rPr>
        <sz val="10"/>
        <color rgb="FF000000"/>
        <rFont val="Noto Sans CJK SC"/>
        <family val="2"/>
      </rPr>
      <t xml:space="preserve">。數值不改。</t>
    </r>
  </si>
  <si>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A2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</si>
  <si>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O8 </t>
    </r>
  </si>
  <si>
    <t xml:space="preserve">SL46-14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</si>
  <si>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O10 </t>
    </r>
    <r>
      <rPr>
        <sz val="10"/>
        <color rgb="FF000000"/>
        <rFont val="Noto Sans CJK SC"/>
        <family val="2"/>
      </rPr>
      <t xml:space="preserve">回本兩種讀法並列，對外引用採機隊實收單價讀法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</si>
  <si>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O10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；對外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（恆等式讀法 </t>
    </r>
    <r>
      <rPr>
        <sz val="10"/>
        <color rgb="FF000000"/>
        <rFont val="Arial"/>
        <family val="0"/>
        <charset val="1"/>
      </rPr>
      <t xml:space="preserve">0.756</t>
    </r>
    <r>
      <rPr>
        <sz val="10"/>
        <color rgb="FF000000"/>
        <rFont val="Noto Sans CJK SC"/>
        <family val="2"/>
      </rPr>
      <t xml:space="preserve">、字面讀法 </t>
    </r>
    <r>
      <rPr>
        <sz val="10"/>
        <color rgb="FF000000"/>
        <rFont val="Arial"/>
        <family val="0"/>
        <charset val="1"/>
      </rPr>
      <t xml:space="preserve">2.01</t>
    </r>
    <r>
      <rPr>
        <sz val="10"/>
        <color rgb="FF000000"/>
        <rFont val="Noto Sans CJK SC"/>
        <family val="2"/>
      </rPr>
      <t xml:space="preserve">）兩種讀法維持並列；對外引用以機隊實收單價（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）讀法為準。口徑是定義問題，契約已要求下游註明讀法。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</si>
  <si>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</si>
  <si>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O10</t>
    </r>
  </si>
  <si>
    <t xml:space="preserve">SL46-15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</si>
  <si>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O11 v14.1 </t>
    </r>
    <r>
      <rPr>
        <sz val="10"/>
        <color rgb="FF000000"/>
        <rFont val="Noto Sans CJK SC"/>
        <family val="2"/>
      </rPr>
      <t xml:space="preserve">修補餘下事項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</si>
  <si>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）。接受 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報告餘下的顯示與登錄細節；</t>
    </r>
    <r>
      <rPr>
        <sz val="10"/>
        <color rgb="FF000000"/>
        <rFont val="Arial"/>
        <family val="0"/>
        <charset val="1"/>
      </rPr>
      <t xml:space="preserve">P25 </t>
    </r>
    <r>
      <rPr>
        <sz val="10"/>
        <color rgb="FF000000"/>
        <rFont val="Noto Sans CJK SC"/>
        <family val="2"/>
      </rPr>
      <t xml:space="preserve">顯示區間已於 </t>
    </r>
    <r>
      <rPr>
        <sz val="10"/>
        <color rgb="FF000000"/>
        <rFont val="Arial"/>
        <family val="0"/>
        <charset val="1"/>
      </rPr>
      <t xml:space="preserve">v14.2 </t>
    </r>
    <r>
      <rPr>
        <sz val="10"/>
        <color rgb="FF000000"/>
        <rFont val="Noto Sans CJK SC"/>
        <family val="2"/>
      </rPr>
      <t xml:space="preserve">比照截斷（</t>
    </r>
    <r>
      <rPr>
        <sz val="10"/>
        <color rgb="FF000000"/>
        <rFont val="Arial"/>
        <family val="0"/>
        <charset val="1"/>
      </rPr>
      <t xml:space="preserve">SL45-1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</si>
  <si>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docs/reports/20261017_v14.1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</si>
  <si>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O11</t>
    </r>
  </si>
  <si>
    <t xml:space="preserve">SL46-16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</si>
  <si>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O12 </t>
    </r>
    <r>
      <rPr>
        <sz val="10"/>
        <color rgb="FF000000"/>
        <rFont val="Noto Sans CJK SC"/>
        <family val="2"/>
      </rPr>
      <t xml:space="preserve">縮放倍數、家族計畫數、機隊占比接受為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</si>
  <si>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加標籤口徑）。縮放倍數 </t>
    </r>
    <r>
      <rPr>
        <sz val="10"/>
        <color rgb="FF000000"/>
        <rFont val="Arial"/>
        <family val="0"/>
        <charset val="1"/>
      </rPr>
      <t xml:space="preserve">2.42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）、隱含家族計畫 </t>
    </r>
    <r>
      <rPr>
        <sz val="10"/>
        <color rgb="FF000000"/>
        <rFont val="Arial"/>
        <family val="0"/>
        <charset val="1"/>
      </rPr>
      <t xml:space="preserve">3.07 </t>
    </r>
    <r>
      <rPr>
        <sz val="10"/>
        <color rgb="FF000000"/>
        <rFont val="Noto Sans CJK SC"/>
        <family val="2"/>
      </rPr>
      <t xml:space="preserve">個、機隊占比取 </t>
    </r>
    <r>
      <rPr>
        <sz val="10"/>
        <color rgb="FF000000"/>
        <rFont val="Arial"/>
        <family val="0"/>
        <charset val="1"/>
      </rPr>
      <t xml:space="preserve">2025 OpenAI </t>
    </r>
    <r>
      <rPr>
        <sz val="10"/>
        <color rgb="FF000000"/>
        <rFont val="Noto Sans CJK SC"/>
        <family val="2"/>
      </rPr>
      <t xml:space="preserve">支出比（</t>
    </r>
    <r>
      <rPr>
        <sz val="10"/>
        <color rgb="FF000000"/>
        <rFont val="Arial"/>
        <family val="0"/>
        <charset val="1"/>
      </rPr>
      <t xml:space="preserve">B4_Serve×(1−B4_Free)</t>
    </r>
    <r>
      <rPr>
        <sz val="10"/>
        <color rgb="FF000000"/>
        <rFont val="Noto Sans CJK SC"/>
        <family val="2"/>
      </rPr>
      <t xml:space="preserve">，全部世代同值），接受為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；公式不改。相關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Fleet_1GW 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Amortize 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Interface 15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）標籤已寫明口徑（訓練成本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利用率、服務 </t>
    </r>
    <r>
      <rPr>
        <sz val="10"/>
        <color rgb="FF000000"/>
        <rFont val="Arial"/>
        <family val="0"/>
        <charset val="1"/>
      </rPr>
      <t xml:space="preserve">÷IF_Util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</si>
  <si>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標籤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</si>
  <si>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O12</t>
    </r>
  </si>
  <si>
    <t xml:space="preserve">SL46-17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</si>
  <si>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O16 DB_Evidence </t>
    </r>
    <r>
      <rPr>
        <sz val="10"/>
        <color rgb="FF000000"/>
        <rFont val="Noto Sans CJK SC"/>
        <family val="2"/>
      </rPr>
      <t xml:space="preserve">積壓規則與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列待查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</si>
  <si>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O16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）。採排除遷移列規則並接受建議處置（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E015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E278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E338 </t>
    </r>
    <r>
      <rPr>
        <sz val="10"/>
        <color rgb="FF000000"/>
        <rFont val="Noto Sans CJK SC"/>
        <family val="2"/>
      </rPr>
      <t xml:space="preserve">六列維持待查。</t>
    </r>
  </si>
  <si>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</si>
  <si>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O16</t>
    </r>
  </si>
  <si>
    <t xml:space="preserve">SL46-18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</si>
  <si>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O17 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基準維持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區間並列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</si>
  <si>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O17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E25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60T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先前決定）；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估計並列為 </t>
    </r>
    <r>
      <rPr>
        <sz val="10"/>
        <color rgb="FF000000"/>
        <rFont val="Arial"/>
        <family val="0"/>
        <charset val="1"/>
      </rPr>
      <t xml:space="preserve">L1_AstraExtTok_*</t>
    </r>
    <r>
      <rPr>
        <sz val="10"/>
        <color rgb="FF000000"/>
        <rFont val="Noto Sans CJK SC"/>
        <family val="2"/>
      </rPr>
      <t xml:space="preserve">，差距顯示為『未解釋』。</t>
    </r>
  </si>
  <si>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L1_AstraExtTok_*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</si>
  <si>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O17</t>
    </r>
  </si>
  <si>
    <t xml:space="preserve">SL46-19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</si>
  <si>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O18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接受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</si>
  <si>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O18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C13 </t>
    </r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最終訓練）接受 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；支出口徑換成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小時口徑時單位成本差異的方向不明、沒有證據，不補換算列。</t>
    </r>
  </si>
  <si>
    <t xml:space="preserve">Train_In C13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</si>
  <si>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O18</t>
    </r>
  </si>
  <si>
    <t xml:space="preserve">SL46-20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</si>
  <si>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O19 </t>
    </r>
    <r>
      <rPr>
        <sz val="10"/>
        <color rgb="FF000000"/>
        <rFont val="Noto Sans CJK SC"/>
        <family val="2"/>
      </rPr>
      <t xml:space="preserve">無來源高敏感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輸入的總決策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</si>
  <si>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O19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）。以下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輸入接受為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、區間已涵蓋：</t>
    </r>
    <r>
      <rPr>
        <sz val="10"/>
        <color rgb="FF000000"/>
        <rFont val="Arial"/>
        <family val="0"/>
        <charset val="1"/>
      </rPr>
      <t xml:space="preserve">Train_In C6</t>
    </r>
    <r>
      <rPr>
        <sz val="10"/>
        <color rgb="FF000000"/>
        <rFont val="Noto Sans CJK SC"/>
        <family val="2"/>
      </rPr>
      <t xml:space="preserve">（預訓練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C36:E36</t>
    </r>
    <r>
      <rPr>
        <sz val="10"/>
        <color rgb="FF000000"/>
        <rFont val="Noto Sans CJK SC"/>
        <family val="2"/>
      </rPr>
      <t xml:space="preserve">（儲存層）、</t>
    </r>
    <r>
      <rPr>
        <sz val="10"/>
        <color rgb="FF000000"/>
        <rFont val="Arial"/>
        <family val="0"/>
        <charset val="1"/>
      </rPr>
      <t xml:space="preserve">C131:E131</t>
    </r>
    <r>
      <rPr>
        <sz val="10"/>
        <color rgb="FF000000"/>
        <rFont val="Noto Sans CJK SC"/>
        <family val="2"/>
      </rPr>
      <t xml:space="preserve">（商用席次占比）、</t>
    </r>
    <r>
      <rPr>
        <sz val="10"/>
        <color rgb="FF000000"/>
        <rFont val="Arial"/>
        <family val="0"/>
        <charset val="1"/>
      </rPr>
      <t xml:space="preserve">C132:E132</t>
    </r>
    <r>
      <rPr>
        <sz val="10"/>
        <color rgb="FF000000"/>
        <rFont val="Noto Sans CJK SC"/>
        <family val="2"/>
      </rPr>
      <t xml:space="preserve">（消費訂閱占付費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份額）；</t>
    </r>
    <r>
      <rPr>
        <sz val="10"/>
        <color rgb="FF000000"/>
        <rFont val="Arial"/>
        <family val="0"/>
        <charset val="1"/>
      </rPr>
      <t xml:space="preserve">Alloc_In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全年平均比例）、</t>
    </r>
    <r>
      <rPr>
        <sz val="10"/>
        <color rgb="FF000000"/>
        <rFont val="Arial"/>
        <family val="0"/>
        <charset val="1"/>
      </rPr>
      <t xml:space="preserve">C15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C16</t>
    </r>
    <r>
      <rPr>
        <sz val="10"/>
        <color rgb="FF000000"/>
        <rFont val="Noto Sans CJK SC"/>
        <family val="2"/>
      </rPr>
      <t xml:space="preserve">（免費用戶占比）、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（實際利用率）。沒有新證據就不改值；席次占比（</t>
    </r>
    <r>
      <rPr>
        <sz val="10"/>
        <color rgb="FF000000"/>
        <rFont val="Arial"/>
        <family val="0"/>
        <charset val="1"/>
      </rPr>
      <t xml:space="preserve">Cap_In C131</t>
    </r>
    <r>
      <rPr>
        <sz val="10"/>
        <color rgb="FF000000"/>
        <rFont val="Noto Sans CJK SC"/>
        <family val="2"/>
      </rPr>
      <t xml:space="preserve">）與每則提示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）列入下一輪外部搜尋待辦（不另發工作單，記在報告『後續』）。</t>
    </r>
  </si>
  <si>
    <r>
      <rPr>
        <sz val="10"/>
        <color rgb="FF000000"/>
        <rFont val="Noto Sans CJK SC"/>
        <family val="2"/>
      </rPr>
      <t xml:space="preserve">上列各格（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已有決策編號）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</si>
  <si>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O19</t>
    </r>
  </si>
  <si>
    <t xml:space="preserve">SL46-21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</si>
  <si>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O21 Hopper </t>
    </r>
    <r>
      <rPr>
        <sz val="10"/>
        <color rgb="FF000000"/>
        <rFont val="Noto Sans CJK SC"/>
        <family val="2"/>
      </rPr>
      <t xml:space="preserve">氣冷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與機架價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</si>
  <si>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O21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）。維持現狀並記錄：液冷設施參數套到氣冷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的影響小於 </t>
    </r>
    <r>
      <rPr>
        <sz val="10"/>
        <color rgb="FF000000"/>
        <rFont val="Arial"/>
        <family val="0"/>
        <charset val="1"/>
      </rPr>
      <t xml:space="preserve">1.3%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）；機架價稽核誤讀已更正。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</si>
  <si>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O21</t>
    </r>
  </si>
  <si>
    <t xml:space="preserve">SL46-22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</si>
  <si>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O22 2Q </t>
    </r>
    <r>
      <rPr>
        <sz val="10"/>
        <color rgb="FF000000"/>
        <rFont val="Noto Sans CJK SC"/>
        <family val="2"/>
      </rPr>
      <t xml:space="preserve">查證的層級對應與單價口徑追認</t>
    </r>
  </si>
  <si>
    <r>
      <rPr>
        <sz val="10"/>
        <color rgb="FF000000"/>
        <rFont val="Arial"/>
        <family val="0"/>
        <charset val="1"/>
      </rPr>
      <t xml:space="preserve">Andy 2026-10-17 13:39 </t>
    </r>
    <r>
      <rPr>
        <sz val="10"/>
        <color rgb="FF000000"/>
        <rFont val="Noto Sans CJK SC"/>
        <family val="2"/>
      </rPr>
      <t xml:space="preserve">照預設（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稽核結案對帳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O22</t>
    </r>
    <r>
      <rPr>
        <sz val="10"/>
        <color rgb="FF000000"/>
        <rFont val="Noto Sans CJK SC"/>
        <family val="2"/>
      </rPr>
      <t xml:space="preserve">，建議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）。追認：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線（基準）、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對應推理旗艦序列（基準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單價用牌價（唯一不使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的選擇）；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採用的 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節基準值寫入決策。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</si>
  <si>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</si>
  <si>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O22</t>
    </r>
  </si>
  <si>
    <t xml:space="preserve">SL46-23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</si>
  <si>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O5 SRC_PERF_060 </t>
    </r>
    <r>
      <rPr>
        <sz val="10"/>
        <color rgb="FF000000"/>
        <rFont val="Noto Sans CJK SC"/>
        <family val="2"/>
      </rPr>
      <t xml:space="preserve">來源登錄更正（修訂九）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</si>
  <si>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556 tok/s/GPU </t>
    </r>
    <r>
      <rPr>
        <sz val="10"/>
        <color rgb="FF000000"/>
        <rFont val="Noto Sans CJK SC"/>
        <family val="2"/>
      </rPr>
      <t xml:space="preserve">出自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規則下自測），不是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正式結果（表下註明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）。更正：出處改為 </t>
    </r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；一手／二手改『一手（已讀）』；立場說明與口徑欄改寫；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提交』改『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驗證）』。依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節修訂九：原字樣逐字保留於 </t>
    </r>
    <r>
      <rPr>
        <sz val="10"/>
        <color rgb="FF000000"/>
        <rFont val="Arial"/>
        <family val="0"/>
        <charset val="1"/>
      </rPr>
      <t xml:space="preserve">SRC_Perf W64</t>
    </r>
    <r>
      <rPr>
        <sz val="10"/>
        <color rgb="FF000000"/>
        <rFont val="Noto Sans CJK SC"/>
        <family val="2"/>
      </rPr>
      <t xml:space="preserve">（備註）與 </t>
    </r>
    <r>
      <rPr>
        <sz val="10"/>
        <color rgb="FF000000"/>
        <rFont val="Arial"/>
        <family val="0"/>
        <charset val="1"/>
      </rPr>
      <t xml:space="preserve">Calib J121</t>
    </r>
    <r>
      <rPr>
        <sz val="10"/>
        <color rgb="FF000000"/>
        <rFont val="Noto Sans CJK SC"/>
        <family val="2"/>
      </rPr>
      <t xml:space="preserve">。數值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判定不變（</t>
    </r>
    <r>
      <rPr>
        <sz val="10"/>
        <color rgb="FF000000"/>
        <rFont val="Arial"/>
        <family val="0"/>
        <charset val="1"/>
      </rPr>
      <t xml:space="preserve">1.22</t>
    </r>
    <r>
      <rPr>
        <sz val="10"/>
        <color rgb="FF000000"/>
        <rFont val="Noto Sans CJK SC"/>
        <family val="2"/>
      </rPr>
      <t xml:space="preserve">，警示）；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是否接受『未經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驗證』的對照值列待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</si>
  <si>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Andy 2026-10-17 13:52</t>
    </r>
    <r>
      <rPr>
        <sz val="10"/>
        <color rgb="FF000000"/>
        <rFont val="Noto Sans CJK SC"/>
        <family val="2"/>
      </rPr>
      <t xml:space="preserve">（回覆『照建議』：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</si>
  <si>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G121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J149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</si>
  <si>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O5 </t>
    </r>
  </si>
  <si>
    <t xml:space="preserve">SL46-24</t>
  </si>
  <si>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稽核結案：</t>
    </r>
    <r>
      <rPr>
        <sz val="10"/>
        <color rgb="FF000000"/>
        <rFont val="Arial"/>
        <family val="0"/>
        <charset val="1"/>
      </rPr>
      <t xml:space="preserve">O4 VR200 </t>
    </r>
    <r>
      <rPr>
        <sz val="10"/>
        <color rgb="FF000000"/>
        <rFont val="Noto Sans CJK SC"/>
        <family val="2"/>
      </rPr>
      <t xml:space="preserve">批次倍數區間</t>
    </r>
  </si>
  <si>
    <r>
      <rPr>
        <sz val="10"/>
        <color rgb="FF000000"/>
        <rFont val="Arial"/>
        <family val="0"/>
        <charset val="1"/>
      </rPr>
      <t xml:space="preserve">Andy 2026-10-17 13:52 </t>
    </r>
    <r>
      <rPr>
        <sz val="10"/>
        <color rgb="FF000000"/>
        <rFont val="Noto Sans CJK SC"/>
        <family val="2"/>
      </rPr>
      <t xml:space="preserve">照建議（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節）。基準 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不變；區間採 </t>
    </r>
    <r>
      <rPr>
        <sz val="10"/>
        <color rgb="FF000000"/>
        <rFont val="Arial"/>
        <family val="0"/>
        <charset val="1"/>
      </rPr>
      <t xml:space="preserve">Gov_Map GM595 </t>
    </r>
    <r>
      <rPr>
        <sz val="10"/>
        <color rgb="FF000000"/>
        <rFont val="Noto Sans CJK SC"/>
        <family val="2"/>
      </rPr>
      <t xml:space="preserve">既有的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（下端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MLPerf v6.1 offline NVIDIA 0.76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0.70 </t>
    </r>
    <r>
      <rPr>
        <sz val="10"/>
        <color rgb="FF000000"/>
        <rFont val="Noto Sans CJK SC"/>
        <family val="2"/>
      </rPr>
      <t xml:space="preserve">支持，皆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；上端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Andy 2026-10-07 </t>
    </r>
    <r>
      <rPr>
        <sz val="10"/>
        <color rgb="FF000000"/>
        <rFont val="Noto Sans CJK SC"/>
        <family val="2"/>
      </rPr>
      <t xml:space="preserve">的假設，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batch_vr200_lo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batch_vr200_hi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）；只經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個名稱（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L1_RLshare_Astra_VR200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L1_RLshare_Sol_VR200 </t>
    </r>
    <r>
      <rPr>
        <sz val="10"/>
        <color rgb="FF000000"/>
        <rFont val="Noto Sans CJK SC"/>
        <family val="2"/>
      </rPr>
      <t xml:space="preserve">及各自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）新增 </t>
    </r>
    <r>
      <rPr>
        <sz val="10"/>
        <color rgb="FF000000"/>
        <rFont val="Arial"/>
        <family val="0"/>
        <charset val="1"/>
      </rPr>
      <t xml:space="preserve">RNG_* </t>
    </r>
    <r>
      <rPr>
        <sz val="10"/>
        <color rgb="FF000000"/>
        <rFont val="Noto Sans CJK SC"/>
        <family val="2"/>
      </rPr>
      <t xml:space="preserve">端點（規則同既有區間，納入指紋與快照）。既有 </t>
    </r>
    <r>
      <rPr>
        <sz val="10"/>
        <color rgb="FF000000"/>
        <rFont val="Arial"/>
        <family val="0"/>
        <charset val="1"/>
      </rPr>
      <t xml:space="preserve">59 </t>
    </r>
    <r>
      <rPr>
        <sz val="10"/>
        <color rgb="FF000000"/>
        <rFont val="Noto Sans CJK SC"/>
        <family val="2"/>
      </rPr>
      <t xml:space="preserve">個名稱的端點與其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108 </t>
    </r>
    <r>
      <rPr>
        <sz val="10"/>
        <color rgb="FF000000"/>
        <rFont val="Noto Sans CJK SC"/>
        <family val="2"/>
      </rPr>
      <t xml:space="preserve">格點值）不變，列待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判斷。更正『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批次倍數無證據』字樣（原字樣保留於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說明列與契約文件，更正附後）。結構風險：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是相對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，未校準）之值；若日後校準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須改絕對口徑（約 </t>
    </r>
    <r>
      <rPr>
        <sz val="10"/>
        <color rgb="FF000000"/>
        <rFont val="Arial"/>
        <family val="0"/>
        <charset val="1"/>
      </rPr>
      <t xml:space="preserve">1.20–1.28</t>
    </r>
    <r>
      <rPr>
        <sz val="10"/>
        <color rgb="FF000000"/>
        <rFont val="Noto Sans CJK SC"/>
        <family val="2"/>
      </rPr>
      <t xml:space="preserve">），避免重複折減。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</si>
  <si>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</si>
  <si>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docs/workorders/20261017_v14.3_</t>
    </r>
    <r>
      <rPr>
        <sz val="10"/>
        <color rgb="FF000000"/>
        <rFont val="Noto Sans CJK SC"/>
        <family val="2"/>
      </rPr>
      <t xml:space="preserve">稽核結案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O4 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</si>
  <si>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</si>
  <si>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</si>
  <si>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</si>
  <si>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</si>
  <si>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</si>
  <si>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</si>
  <si>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</si>
  <si>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</si>
  <si>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</si>
  <si>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</si>
  <si>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</si>
  <si>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</si>
  <si>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</si>
  <si>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</si>
  <si>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</si>
  <si>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</si>
  <si>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</si>
  <si>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</si>
  <si>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</si>
  <si>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</si>
  <si>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</si>
  <si>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</si>
  <si>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</si>
  <si>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</si>
  <si>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</si>
  <si>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</si>
  <si>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</si>
  <si>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</si>
  <si>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</si>
  <si>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</si>
  <si>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</si>
  <si>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</si>
  <si>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</si>
  <si>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</si>
  <si>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</si>
  <si>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</si>
  <si>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</si>
  <si>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</si>
  <si>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</si>
  <si>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</si>
  <si>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</si>
  <si>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</si>
  <si>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</si>
  <si>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</si>
  <si>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</si>
  <si>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</si>
  <si>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</si>
  <si>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</si>
  <si>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</si>
  <si>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</si>
  <si>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</si>
  <si>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</si>
  <si>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</si>
  <si>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</si>
  <si>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</si>
  <si>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</si>
  <si>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</si>
  <si>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</si>
  <si>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</si>
  <si>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</si>
  <si>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</si>
  <si>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</si>
  <si>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</si>
  <si>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</si>
  <si>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</si>
  <si>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</si>
  <si>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</si>
  <si>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</si>
  <si>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</si>
  <si>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</si>
  <si>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</si>
  <si>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</si>
  <si>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</si>
  <si>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</si>
  <si>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</si>
  <si>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</si>
  <si>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</si>
  <si>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</si>
  <si>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</si>
  <si>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</si>
  <si>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</si>
  <si>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</si>
  <si>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</si>
  <si>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</si>
  <si>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</si>
  <si>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</si>
  <si>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</si>
  <si>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</si>
  <si>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</si>
  <si>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</si>
  <si>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</si>
  <si>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</si>
  <si>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</si>
  <si>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</si>
  <si>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</si>
  <si>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</si>
  <si>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</si>
  <si>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</si>
  <si>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</si>
  <si>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</si>
  <si>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</si>
  <si>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</si>
  <si>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</si>
  <si>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</si>
  <si>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</si>
  <si>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</si>
  <si>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</si>
  <si>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</si>
  <si>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</si>
  <si>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</si>
  <si>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</si>
  <si>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</si>
  <si>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</si>
  <si>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</si>
  <si>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</si>
  <si>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</si>
  <si>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</si>
  <si>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</si>
  <si>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</si>
  <si>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</si>
  <si>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</si>
  <si>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</si>
  <si>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</si>
  <si>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</si>
  <si>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</si>
  <si>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</si>
  <si>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</si>
  <si>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</si>
  <si>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</si>
  <si>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</si>
  <si>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</si>
  <si>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</si>
  <si>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</si>
  <si>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</si>
  <si>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</si>
  <si>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</si>
  <si>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</si>
  <si>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</si>
  <si>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</si>
  <si>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</si>
  <si>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</si>
  <si>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</si>
  <si>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</si>
  <si>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</si>
  <si>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</si>
  <si>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</si>
  <si>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</si>
  <si>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</si>
  <si>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</si>
  <si>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</si>
  <si>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</si>
  <si>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</si>
  <si>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</si>
  <si>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</si>
  <si>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</si>
  <si>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</si>
  <si>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</si>
  <si>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</si>
  <si>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</si>
  <si>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</si>
  <si>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</si>
  <si>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</si>
  <si>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</si>
  <si>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</si>
  <si>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</si>
  <si>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</si>
  <si>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</si>
  <si>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</si>
  <si>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</si>
  <si>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</si>
  <si>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</si>
  <si>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</si>
  <si>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</si>
  <si>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</si>
  <si>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</si>
  <si>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</si>
  <si>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</si>
  <si>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</si>
  <si>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</si>
  <si>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</si>
  <si>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</si>
  <si>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</si>
  <si>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</si>
  <si>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</si>
  <si>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</si>
  <si>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</si>
  <si>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</si>
  <si>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</si>
  <si>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</si>
  <si>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</si>
  <si>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</si>
  <si>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</si>
  <si>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</si>
  <si>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</si>
  <si>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</si>
  <si>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</si>
  <si>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</si>
  <si>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</si>
  <si>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</si>
  <si>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</si>
  <si>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</si>
  <si>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</si>
  <si>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</si>
  <si>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</si>
  <si>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</si>
  <si>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</si>
  <si>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</si>
  <si>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</si>
  <si>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</si>
  <si>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</si>
  <si>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</si>
  <si>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</si>
  <si>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</si>
  <si>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</si>
  <si>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</si>
  <si>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</si>
  <si>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</si>
  <si>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</si>
  <si>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</si>
  <si>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</si>
  <si>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</si>
  <si>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</si>
  <si>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</si>
  <si>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</si>
  <si>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</si>
  <si>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</si>
  <si>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</si>
  <si>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</si>
  <si>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</si>
  <si>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</si>
  <si>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</si>
  <si>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</si>
  <si>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</si>
  <si>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</si>
  <si>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</si>
  <si>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</si>
  <si>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</si>
  <si>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</si>
  <si>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</si>
  <si>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</si>
  <si>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</si>
  <si>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</si>
  <si>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</si>
  <si>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</si>
  <si>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</si>
  <si>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</si>
  <si>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</si>
  <si>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</si>
  <si>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</si>
  <si>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</si>
  <si>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</si>
  <si>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</si>
  <si>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</si>
  <si>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</si>
  <si>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</si>
  <si>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</si>
  <si>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</si>
  <si>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</si>
  <si>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</si>
  <si>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</si>
  <si>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</si>
  <si>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</si>
  <si>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</si>
  <si>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</si>
  <si>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</si>
  <si>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</si>
  <si>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</si>
  <si>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</si>
  <si>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</si>
  <si>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</si>
  <si>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</si>
  <si>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</si>
  <si>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</si>
  <si>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</si>
  <si>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</si>
  <si>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</si>
  <si>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</si>
  <si>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</si>
  <si>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</si>
  <si>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</si>
  <si>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</si>
  <si>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</si>
  <si>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</si>
  <si>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</si>
  <si>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</si>
  <si>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</si>
  <si>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</si>
  <si>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</si>
  <si>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</si>
  <si>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</si>
  <si>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</si>
  <si>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</si>
  <si>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</si>
  <si>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</si>
  <si>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</si>
  <si>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</si>
  <si>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</si>
  <si>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</si>
  <si>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</si>
  <si>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</si>
  <si>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</si>
  <si>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</si>
  <si>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</si>
  <si>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</si>
  <si>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</si>
  <si>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</si>
  <si>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</si>
  <si>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</si>
  <si>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</si>
  <si>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</si>
  <si>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</si>
  <si>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</si>
  <si>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</si>
  <si>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</si>
  <si>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</si>
  <si>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</si>
  <si>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</si>
  <si>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</si>
  <si>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</si>
  <si>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</si>
  <si>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</si>
  <si>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</si>
  <si>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</si>
  <si>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</si>
  <si>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</si>
  <si>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</si>
  <si>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</si>
  <si>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</si>
  <si>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</si>
  <si>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</si>
  <si>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</si>
  <si>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</si>
  <si>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</si>
  <si>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</si>
  <si>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</si>
  <si>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</si>
  <si>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</si>
  <si>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</si>
  <si>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</si>
  <si>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</si>
  <si>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</si>
  <si>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</si>
  <si>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</si>
  <si>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</si>
  <si>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</si>
  <si>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</si>
  <si>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</si>
  <si>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</si>
  <si>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</si>
  <si>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</si>
  <si>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</si>
  <si>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</si>
  <si>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</si>
  <si>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</si>
  <si>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</si>
  <si>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</si>
  <si>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</si>
  <si>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</si>
  <si>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</si>
  <si>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</si>
  <si>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</si>
  <si>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</si>
  <si>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</si>
  <si>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</si>
  <si>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</si>
  <si>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</si>
  <si>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</si>
  <si>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</si>
  <si>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</si>
  <si>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</si>
  <si>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</si>
  <si>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</si>
  <si>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</si>
  <si>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</si>
  <si>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</si>
  <si>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</si>
  <si>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</si>
  <si>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</si>
  <si>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</si>
  <si>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</si>
  <si>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</si>
  <si>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</si>
  <si>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</si>
  <si>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</si>
  <si>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</si>
  <si>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</si>
  <si>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</si>
  <si>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</si>
  <si>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</si>
  <si>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</si>
  <si>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</si>
  <si>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</si>
  <si>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</si>
  <si>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</si>
  <si>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</si>
  <si>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</si>
  <si>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</si>
  <si>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</si>
  <si>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</si>
  <si>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</si>
  <si>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</si>
  <si>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</si>
  <si>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</si>
  <si>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</si>
  <si>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</si>
  <si>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</si>
  <si>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</si>
  <si>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</si>
  <si>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</si>
  <si>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</si>
  <si>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</si>
  <si>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</si>
  <si>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</si>
  <si>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</si>
  <si>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</si>
  <si>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</si>
  <si>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</si>
  <si>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</si>
  <si>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</si>
  <si>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</si>
  <si>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</si>
  <si>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</si>
  <si>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</si>
  <si>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</si>
  <si>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</si>
  <si>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</si>
  <si>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</si>
  <si>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</si>
  <si>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</si>
  <si>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</si>
  <si>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</si>
  <si>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</si>
  <si>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</si>
  <si>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</si>
  <si>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</si>
  <si>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</si>
  <si>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</si>
  <si>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</si>
  <si>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</si>
  <si>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</si>
  <si>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</si>
  <si>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</si>
  <si>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</si>
  <si>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</si>
  <si>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</si>
  <si>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</si>
  <si>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</si>
  <si>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</si>
  <si>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</si>
  <si>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</si>
  <si>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</si>
  <si>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</si>
  <si>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</si>
  <si>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</si>
  <si>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</si>
  <si>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</si>
  <si>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</si>
  <si>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</si>
  <si>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</si>
  <si>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</si>
  <si>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</si>
  <si>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</si>
  <si>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</si>
  <si>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</si>
  <si>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</si>
  <si>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</si>
  <si>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</si>
  <si>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</si>
  <si>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</si>
  <si>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</si>
  <si>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</si>
  <si>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</si>
  <si>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</si>
  <si>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</si>
  <si>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</si>
  <si>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</si>
  <si>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</si>
  <si>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</si>
  <si>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</si>
  <si>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</si>
  <si>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</si>
  <si>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</si>
  <si>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</si>
  <si>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</si>
  <si>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</si>
  <si>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</si>
  <si>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</si>
  <si>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</si>
  <si>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</si>
  <si>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</si>
  <si>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</si>
  <si>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</si>
  <si>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</si>
  <si>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</si>
  <si>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</si>
  <si>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</si>
  <si>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</si>
  <si>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</si>
  <si>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</si>
  <si>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</si>
  <si>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</si>
  <si>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</si>
  <si>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</si>
  <si>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</si>
  <si>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</si>
  <si>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</si>
  <si>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</si>
  <si>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</si>
  <si>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</si>
  <si>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</si>
  <si>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</si>
  <si>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</si>
  <si>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</si>
  <si>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</si>
  <si>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</si>
  <si>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</si>
  <si>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</si>
  <si>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</si>
  <si>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</si>
  <si>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</si>
  <si>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</si>
  <si>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</si>
  <si>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</si>
  <si>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</si>
  <si>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</si>
  <si>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</si>
  <si>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</si>
  <si>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</si>
  <si>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</si>
  <si>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</si>
  <si>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</si>
  <si>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</si>
  <si>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</si>
  <si>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</si>
  <si>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</si>
  <si>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</si>
  <si>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</si>
  <si>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</si>
  <si>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</si>
  <si>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</si>
  <si>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</si>
  <si>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</si>
  <si>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</si>
  <si>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</si>
  <si>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</si>
  <si>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</si>
  <si>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</si>
  <si>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</si>
  <si>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</si>
  <si>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</si>
  <si>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</si>
  <si>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</si>
  <si>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</si>
  <si>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</si>
  <si>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</si>
  <si>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</si>
  <si>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</si>
  <si>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</si>
  <si>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</si>
  <si>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</si>
  <si>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</si>
  <si>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</si>
  <si>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</si>
  <si>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</si>
  <si>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</si>
  <si>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</si>
  <si>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</si>
  <si>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</si>
  <si>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</si>
  <si>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</si>
  <si>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</si>
  <si>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</si>
  <si>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</si>
  <si>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</si>
  <si>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</si>
  <si>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</si>
  <si>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</si>
  <si>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</si>
  <si>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</si>
  <si>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</si>
  <si>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</si>
  <si>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</si>
  <si>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</si>
  <si>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</si>
  <si>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</si>
  <si>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</si>
  <si>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</si>
  <si>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</si>
  <si>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</si>
  <si>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</si>
  <si>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</si>
  <si>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</si>
  <si>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</si>
  <si>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</si>
  <si>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</si>
  <si>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</si>
  <si>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</si>
  <si>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</si>
  <si>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</si>
  <si>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</si>
  <si>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</si>
  <si>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</si>
  <si>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</si>
  <si>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</si>
  <si>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</si>
  <si>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</si>
  <si>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</si>
  <si>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</si>
  <si>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</si>
  <si>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</si>
  <si>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</si>
  <si>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</si>
  <si>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</si>
  <si>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</si>
  <si>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</si>
  <si>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</si>
  <si>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</si>
  <si>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</si>
  <si>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</si>
  <si>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</si>
  <si>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</si>
  <si>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</si>
  <si>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</si>
  <si>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</si>
  <si>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</si>
  <si>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</si>
  <si>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</si>
  <si>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</si>
  <si>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</si>
  <si>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</si>
  <si>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</si>
  <si>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</si>
  <si>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</si>
  <si>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</si>
  <si>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</si>
  <si>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</si>
  <si>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</si>
  <si>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</si>
  <si>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</si>
  <si>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</si>
  <si>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</si>
  <si>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</si>
  <si>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</si>
  <si>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</si>
  <si>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</si>
  <si>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</si>
  <si>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</si>
  <si>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</si>
  <si>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</si>
  <si>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</si>
  <si>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</si>
  <si>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</si>
  <si>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</si>
  <si>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</si>
  <si>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</si>
  <si>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</si>
  <si>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</si>
  <si>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</si>
  <si>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</si>
  <si>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</si>
  <si>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</si>
  <si>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</si>
  <si>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</si>
  <si>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</si>
  <si>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</si>
  <si>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</si>
  <si>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</si>
  <si>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</si>
  <si>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</si>
  <si>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</si>
  <si>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</si>
  <si>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</si>
  <si>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</si>
  <si>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</si>
  <si>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</si>
  <si>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</si>
  <si>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</si>
  <si>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</si>
  <si>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</si>
  <si>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</si>
  <si>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</si>
  <si>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</si>
  <si>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</si>
  <si>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</si>
  <si>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</si>
  <si>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</si>
  <si>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</si>
  <si>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</si>
  <si>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</si>
  <si>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</si>
  <si>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</si>
  <si>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</si>
  <si>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</si>
  <si>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</si>
  <si>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</si>
  <si>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</si>
  <si>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</si>
  <si>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</si>
  <si>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</si>
  <si>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</si>
  <si>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</si>
  <si>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</si>
  <si>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</si>
  <si>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</si>
  <si>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</si>
  <si>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</si>
  <si>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</si>
  <si>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</si>
  <si>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</si>
  <si>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</si>
  <si>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</si>
  <si>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</si>
  <si>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</si>
  <si>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</si>
  <si>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</si>
  <si>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</si>
  <si>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</si>
  <si>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</si>
  <si>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</si>
  <si>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</si>
  <si>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</si>
  <si>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</si>
  <si>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</si>
  <si>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</si>
  <si>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</si>
  <si>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</si>
  <si>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</si>
  <si>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</si>
  <si>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</si>
  <si>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</si>
  <si>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</si>
  <si>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</si>
  <si>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</si>
  <si>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</si>
  <si>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</si>
  <si>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</si>
  <si>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</si>
  <si>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</si>
  <si>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</si>
  <si>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</si>
  <si>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</si>
  <si>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</si>
  <si>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</si>
  <si>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</si>
  <si>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</si>
  <si>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</si>
  <si>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</si>
  <si>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</si>
  <si>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</si>
  <si>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</si>
  <si>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</si>
  <si>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</si>
  <si>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</si>
  <si>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</si>
  <si>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</si>
  <si>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</si>
  <si>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</si>
  <si>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</si>
  <si>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</si>
  <si>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</si>
  <si>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</si>
  <si>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</si>
  <si>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</si>
  <si>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</si>
  <si>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</si>
  <si>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</si>
  <si>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</si>
  <si>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</si>
  <si>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</si>
  <si>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</si>
  <si>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</si>
  <si>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</si>
  <si>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</si>
  <si>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</si>
  <si>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</si>
  <si>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</si>
  <si>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</si>
  <si>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</si>
  <si>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</si>
  <si>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</si>
  <si>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</si>
  <si>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</si>
  <si>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</si>
  <si>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</si>
  <si>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</si>
  <si>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</si>
  <si>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</si>
  <si>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</si>
  <si>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</si>
  <si>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</si>
  <si>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</si>
  <si>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</si>
  <si>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</si>
  <si>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</si>
  <si>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</si>
  <si>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</si>
  <si>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</si>
  <si>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</si>
  <si>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</si>
  <si>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</si>
  <si>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</si>
  <si>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</si>
  <si>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</si>
  <si>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</si>
  <si>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</si>
  <si>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</si>
  <si>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</si>
  <si>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</si>
  <si>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</si>
  <si>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</si>
  <si>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</si>
  <si>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</si>
  <si>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</si>
  <si>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</si>
  <si>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</si>
  <si>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</si>
  <si>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</si>
  <si>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</si>
  <si>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</si>
  <si>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</si>
  <si>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</si>
  <si>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</si>
  <si>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</si>
  <si>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</si>
  <si>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</si>
  <si>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</si>
  <si>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</si>
  <si>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</si>
  <si>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</si>
  <si>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</si>
  <si>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</si>
  <si>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</si>
  <si>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</si>
  <si>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</si>
  <si>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</si>
  <si>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</si>
  <si>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</si>
  <si>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</si>
  <si>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</si>
  <si>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</si>
  <si>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</si>
  <si>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</si>
  <si>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</si>
  <si>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</si>
  <si>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</si>
  <si>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</si>
  <si>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</si>
  <si>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</si>
  <si>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</si>
  <si>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</si>
  <si>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</si>
  <si>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</si>
  <si>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</si>
  <si>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</si>
  <si>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</si>
  <si>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</si>
  <si>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</si>
  <si>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</si>
  <si>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</si>
  <si>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</si>
  <si>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</si>
  <si>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</si>
  <si>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</si>
  <si>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</si>
  <si>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</si>
  <si>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</si>
  <si>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</si>
  <si>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</si>
  <si>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</si>
  <si>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</si>
  <si>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</si>
  <si>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</si>
  <si>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</si>
  <si>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</si>
  <si>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</si>
  <si>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</si>
  <si>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</si>
  <si>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</si>
  <si>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</si>
  <si>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</si>
  <si>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</si>
  <si>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</si>
  <si>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</si>
  <si>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</si>
  <si>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</si>
  <si>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</si>
  <si>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</si>
  <si>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</si>
  <si>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</si>
  <si>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</si>
  <si>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</si>
  <si>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</si>
  <si>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</si>
  <si>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</si>
  <si>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</si>
  <si>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</si>
  <si>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</si>
  <si>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</si>
  <si>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</si>
  <si>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</si>
  <si>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</si>
  <si>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</si>
  <si>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</si>
  <si>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</si>
  <si>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</si>
  <si>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</si>
  <si>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</si>
  <si>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</si>
  <si>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</si>
  <si>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</si>
  <si>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</si>
  <si>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</si>
  <si>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</si>
  <si>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</si>
  <si>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</si>
  <si>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</si>
  <si>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</si>
  <si>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</si>
  <si>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</si>
  <si>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</si>
  <si>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</si>
  <si>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</si>
  <si>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</si>
  <si>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</si>
  <si>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</si>
  <si>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</si>
  <si>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</si>
  <si>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</si>
  <si>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</si>
  <si>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</si>
  <si>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</si>
  <si>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</si>
  <si>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</si>
  <si>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</si>
  <si>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</si>
  <si>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</si>
  <si>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</si>
  <si>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</si>
  <si>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</si>
  <si>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</si>
  <si>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</si>
  <si>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</si>
  <si>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</si>
  <si>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</si>
  <si>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</si>
  <si>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</si>
  <si>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</si>
  <si>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</si>
  <si>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</si>
  <si>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</si>
  <si>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</si>
  <si>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</si>
  <si>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</si>
  <si>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</si>
  <si>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</si>
  <si>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</si>
  <si>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</si>
  <si>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</si>
  <si>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</si>
  <si>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</si>
  <si>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</si>
  <si>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</si>
  <si>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</si>
  <si>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</si>
  <si>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</si>
  <si>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</si>
  <si>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</si>
  <si>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</si>
  <si>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</si>
  <si>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</si>
  <si>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</si>
  <si>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</si>
  <si>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</si>
  <si>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</si>
  <si>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</si>
  <si>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</si>
  <si>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</si>
  <si>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</si>
  <si>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</si>
  <si>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</si>
  <si>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</si>
  <si>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</si>
  <si>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</si>
  <si>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</si>
  <si>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</si>
  <si>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</si>
  <si>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</si>
  <si>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</si>
  <si>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</si>
  <si>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</si>
  <si>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</si>
  <si>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</si>
  <si>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</si>
  <si>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</si>
  <si>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</si>
  <si>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</si>
  <si>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</si>
  <si>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</si>
  <si>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</si>
  <si>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</si>
  <si>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</si>
  <si>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</si>
  <si>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</si>
  <si>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</si>
  <si>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</si>
  <si>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</si>
  <si>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</si>
  <si>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</si>
  <si>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</si>
  <si>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</si>
  <si>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</si>
  <si>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</si>
  <si>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</si>
  <si>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</si>
  <si>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</si>
  <si>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</si>
  <si>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</si>
  <si>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</si>
  <si>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</si>
  <si>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</si>
  <si>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</si>
  <si>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</si>
  <si>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</si>
  <si>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</si>
  <si>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</si>
  <si>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</si>
  <si>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</si>
  <si>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</si>
  <si>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</si>
  <si>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</si>
  <si>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</si>
  <si>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</si>
  <si>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</si>
  <si>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</si>
  <si>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</si>
  <si>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</si>
  <si>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</si>
  <si>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</si>
  <si>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</si>
  <si>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</si>
  <si>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</si>
  <si>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</si>
  <si>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</si>
  <si>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</si>
  <si>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</si>
  <si>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</si>
  <si>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</si>
  <si>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</si>
  <si>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</si>
  <si>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</si>
  <si>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</si>
  <si>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</si>
  <si>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</si>
  <si>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</si>
  <si>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</si>
  <si>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</si>
  <si>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</si>
  <si>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</si>
  <si>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</si>
  <si>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</si>
  <si>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</si>
  <si>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</si>
  <si>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</si>
  <si>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</si>
  <si>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</si>
  <si>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</si>
  <si>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</si>
  <si>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</si>
  <si>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</si>
  <si>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</si>
  <si>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</si>
  <si>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</si>
  <si>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</si>
  <si>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</si>
  <si>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</si>
  <si>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</si>
  <si>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</si>
  <si>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</si>
  <si>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</si>
  <si>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</si>
  <si>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</si>
  <si>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</si>
  <si>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</si>
  <si>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</si>
  <si>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</si>
  <si>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</si>
  <si>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</si>
  <si>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</si>
  <si>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</si>
  <si>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</si>
  <si>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</si>
  <si>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</si>
  <si>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</si>
  <si>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</si>
  <si>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</si>
  <si>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</si>
  <si>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</si>
  <si>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</si>
  <si>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</si>
  <si>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</si>
  <si>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</si>
  <si>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</si>
  <si>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</si>
  <si>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</si>
  <si>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</si>
  <si>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</si>
  <si>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</si>
  <si>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</si>
  <si>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</si>
  <si>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</si>
  <si>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</si>
  <si>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驗證（非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稽核結果）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</si>
  <si>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</si>
  <si>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https://developer.nvidia.com/blog/nvidia-blackwell-ultra-sets-new-inference-records-in-mlperf-debut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556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v5.1 Closed </t>
    </r>
    <r>
      <rPr>
        <sz val="10"/>
        <color rgb="FF000000"/>
        <rFont val="Noto Sans CJK SC"/>
        <family val="2"/>
      </rPr>
      <t xml:space="preserve">規則下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自測；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已讀原文）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</si>
  <si>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自測，未經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的賣方，此表用途是凸顯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的倍數，誘因偏向壓低舊世代數字（若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偏低，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比值偏高）</t>
    </r>
  </si>
  <si>
    <t xml:space="preserve">一手（已讀；NVIDIA 技術部落格；非 MLCommons 提交）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</si>
  <si>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</si>
  <si>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</si>
  <si>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</si>
  <si>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v15.0 </t>
    </r>
    <r>
      <rPr>
        <sz val="10"/>
        <color rgb="FF000000"/>
        <rFont val="Noto Sans CJK SC"/>
        <family val="2"/>
      </rPr>
      <t xml:space="preserve">更正（修訂九，</t>
    </r>
    <r>
      <rPr>
        <sz val="10"/>
        <color rgb="FF000000"/>
        <rFont val="Arial"/>
        <family val="0"/>
        <charset val="1"/>
      </rPr>
      <t xml:space="preserve">Decisions SL46-23</t>
    </r>
    <r>
      <rPr>
        <sz val="10"/>
        <color rgb="FF000000"/>
        <rFont val="Noto Sans CJK SC"/>
        <family val="2"/>
      </rPr>
      <t xml:space="preserve">）：原出處欄＝『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查證；原始出處見該表；本欄值轉引，未逐一回到原文重讀）』；原一手／二手欄＝『二手（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查證轉引）』；原立場說明＝『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驗證』；原口徑欄＝『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驗證』。回查結果（</t>
    </r>
    <r>
      <rPr>
        <sz val="10"/>
        <color rgb="FF000000"/>
        <rFont val="Arial"/>
        <family val="0"/>
        <charset val="1"/>
      </rPr>
      <t xml:space="preserve">docs/reports/20261017_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_O4O5.md</t>
    </r>
    <r>
      <rPr>
        <sz val="10"/>
        <color rgb="FF000000"/>
        <rFont val="Noto Sans CJK SC"/>
        <family val="2"/>
      </rPr>
      <t xml:space="preserve">）：數字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技術部落格表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）找到，非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正式結果，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表下註明 </t>
    </r>
    <r>
      <rPr>
        <sz val="10"/>
        <color rgb="FF000000"/>
        <rFont val="Arial"/>
        <family val="0"/>
        <charset val="1"/>
      </rPr>
      <t xml:space="preserve">Hopper results not verified by MLCommons Association</t>
    </r>
    <r>
      <rPr>
        <sz val="10"/>
        <color rgb="FF000000"/>
        <rFont val="Noto Sans CJK SC"/>
        <family val="2"/>
      </rPr>
      <t xml:space="preserve">；『待回查』結案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</si>
  <si>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</si>
  <si>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</si>
  <si>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</si>
  <si>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</si>
  <si>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</si>
  <si>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</si>
  <si>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t xml:space="preserve">二手（3A 查證轉引）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</si>
  <si>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</si>
  <si>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</si>
  <si>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</si>
  <si>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</si>
  <si>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</si>
  <si>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</si>
  <si>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</si>
  <si>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</si>
  <si>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</si>
  <si>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</si>
  <si>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</si>
  <si>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</si>
  <si>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</si>
  <si>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</si>
  <si>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</si>
  <si>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</si>
  <si>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</si>
  <si>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</si>
  <si>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</si>
  <si>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</si>
  <si>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</si>
  <si>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</si>
  <si>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</si>
  <si>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</si>
  <si>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</si>
  <si>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</si>
  <si>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</si>
  <si>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</si>
  <si>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</si>
  <si>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</si>
  <si>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</si>
  <si>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</si>
  <si>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</si>
  <si>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</si>
  <si>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</si>
  <si>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</si>
  <si>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</si>
  <si>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</si>
  <si>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</si>
  <si>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</si>
  <si>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</si>
  <si>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</si>
  <si>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</si>
  <si>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</si>
  <si>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</si>
  <si>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</si>
  <si>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</si>
  <si>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</si>
  <si>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</si>
  <si>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</si>
  <si>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</si>
  <si>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</si>
  <si>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</si>
  <si>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</si>
  <si>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</si>
  <si>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</si>
  <si>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</si>
  <si>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</si>
  <si>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</si>
  <si>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</si>
  <si>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</si>
  <si>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</si>
  <si>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</si>
  <si>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</si>
  <si>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</si>
  <si>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</si>
  <si>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</si>
  <si>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</si>
  <si>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</si>
  <si>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</si>
  <si>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</si>
  <si>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</si>
  <si>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</si>
  <si>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</si>
  <si>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</si>
  <si>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</si>
  <si>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</si>
  <si>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</si>
  <si>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</si>
  <si>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</si>
  <si>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</si>
  <si>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</si>
  <si>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</si>
  <si>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</si>
  <si>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</si>
  <si>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</si>
  <si>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</si>
  <si>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</si>
  <si>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</si>
  <si>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</si>
  <si>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</si>
  <si>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</si>
  <si>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</si>
  <si>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</si>
  <si>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</si>
  <si>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</si>
  <si>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</si>
  <si>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</si>
  <si>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</si>
  <si>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</si>
  <si>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</si>
  <si>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</si>
  <si>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</si>
  <si>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</si>
  <si>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</si>
  <si>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</si>
  <si>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</si>
  <si>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</si>
  <si>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</si>
  <si>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</si>
  <si>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</si>
  <si>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</si>
  <si>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</si>
  <si>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</si>
  <si>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</si>
  <si>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</si>
  <si>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</si>
  <si>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</si>
  <si>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</si>
  <si>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</si>
  <si>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</si>
  <si>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</si>
  <si>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</si>
  <si>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</si>
  <si>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</si>
  <si>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</si>
  <si>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</si>
  <si>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</si>
  <si>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</si>
  <si>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</si>
  <si>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</si>
  <si>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</si>
  <si>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</si>
  <si>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</si>
  <si>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</si>
  <si>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</si>
  <si>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</si>
  <si>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</si>
  <si>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</si>
  <si>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</si>
  <si>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</si>
  <si>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</si>
  <si>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</si>
  <si>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</si>
  <si>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</si>
  <si>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</si>
  <si>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</si>
  <si>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</si>
  <si>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</si>
  <si>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</si>
  <si>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</si>
  <si>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</si>
  <si>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</si>
  <si>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</si>
  <si>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</si>
  <si>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</si>
  <si>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</si>
  <si>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</si>
  <si>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</si>
  <si>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</si>
  <si>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</si>
  <si>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</si>
  <si>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</si>
  <si>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</si>
  <si>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</si>
  <si>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</si>
  <si>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</si>
  <si>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</si>
  <si>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</si>
  <si>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</si>
  <si>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</si>
  <si>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</si>
  <si>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</si>
  <si>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</si>
  <si>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</si>
  <si>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</si>
  <si>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</si>
  <si>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</si>
  <si>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</si>
  <si>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</si>
  <si>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</si>
  <si>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</si>
  <si>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</si>
  <si>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</si>
  <si>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</si>
  <si>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</si>
  <si>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</si>
  <si>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</si>
  <si>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</si>
  <si>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</si>
  <si>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</si>
  <si>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</si>
  <si>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</si>
  <si>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</si>
  <si>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</si>
  <si>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</si>
  <si>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</si>
  <si>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</si>
  <si>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</si>
  <si>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</si>
  <si>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</si>
  <si>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</si>
  <si>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</si>
  <si>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</si>
  <si>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</si>
  <si>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</si>
  <si>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</si>
  <si>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</si>
  <si>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</si>
  <si>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</si>
  <si>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</si>
  <si>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</si>
  <si>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</si>
  <si>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</si>
  <si>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</si>
  <si>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</si>
  <si>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</si>
  <si>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</si>
  <si>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</si>
  <si>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</si>
  <si>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</si>
  <si>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</si>
  <si>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</si>
  <si>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</si>
  <si>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</si>
  <si>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</si>
  <si>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</si>
  <si>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</si>
  <si>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</si>
  <si>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</si>
  <si>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</si>
  <si>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</si>
  <si>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</si>
  <si>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</si>
  <si>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</si>
  <si>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</si>
  <si>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</si>
  <si>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</si>
  <si>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</si>
  <si>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</si>
  <si>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</si>
  <si>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</si>
  <si>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</si>
  <si>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</si>
  <si>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</si>
  <si>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</si>
  <si>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</si>
  <si>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</si>
  <si>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</si>
  <si>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</si>
  <si>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</si>
  <si>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</si>
  <si>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</si>
  <si>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</si>
  <si>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</si>
  <si>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</si>
  <si>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</si>
  <si>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</si>
  <si>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</si>
  <si>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</si>
  <si>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</si>
  <si>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</si>
  <si>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</si>
  <si>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</si>
  <si>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</si>
  <si>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</si>
  <si>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</si>
  <si>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</si>
  <si>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</si>
  <si>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</si>
  <si>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</si>
  <si>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</si>
  <si>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</si>
  <si>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</si>
  <si>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</si>
  <si>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</si>
  <si>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</si>
  <si>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</si>
  <si>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</si>
  <si>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</si>
  <si>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</si>
  <si>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</si>
  <si>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</si>
  <si>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</si>
  <si>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</si>
  <si>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</si>
  <si>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</si>
  <si>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</si>
  <si>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</si>
  <si>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</si>
  <si>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</si>
  <si>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</si>
  <si>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</si>
  <si>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</si>
  <si>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</si>
  <si>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</si>
  <si>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</si>
  <si>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</si>
  <si>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</si>
  <si>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</si>
  <si>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</si>
  <si>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</si>
  <si>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</si>
  <si>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</si>
  <si>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</si>
  <si>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</si>
  <si>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</si>
  <si>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</si>
  <si>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</si>
  <si>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</si>
  <si>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</si>
  <si>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</si>
  <si>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</si>
  <si>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</si>
  <si>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</si>
  <si>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</si>
  <si>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</si>
  <si>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</si>
  <si>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</si>
  <si>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</si>
  <si>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</si>
  <si>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</si>
  <si>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</si>
  <si>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</si>
  <si>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</si>
  <si>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</si>
  <si>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</si>
  <si>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</si>
  <si>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</si>
  <si>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</si>
  <si>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</si>
  <si>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</si>
  <si>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</si>
  <si>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</si>
  <si>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</si>
  <si>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</si>
  <si>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</si>
  <si>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</si>
  <si>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</si>
  <si>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</si>
  <si>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</si>
  <si>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</si>
  <si>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</si>
  <si>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</si>
  <si>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</si>
  <si>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</si>
  <si>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</si>
  <si>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</si>
  <si>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</si>
  <si>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</si>
  <si>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</si>
  <si>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</si>
  <si>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</si>
  <si>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</si>
  <si>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</si>
  <si>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</si>
  <si>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</si>
  <si>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</si>
  <si>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t xml:space="preserve">SRC_PRC_047</t>
  </si>
  <si>
    <r>
      <rPr>
        <sz val="10"/>
        <color rgb="FF000000"/>
        <rFont val="Noto Sans CJK SC"/>
        <family val="2"/>
      </rPr>
      <t xml:space="preserve">新雲損益兩平租金的利用率前提（</t>
    </r>
    <r>
      <rPr>
        <sz val="10"/>
        <color rgb="FF000000"/>
        <rFont val="Arial"/>
        <family val="0"/>
        <charset val="1"/>
      </rPr>
      <t xml:space="preserve">Cape Fear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85%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</si>
  <si>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（時數利用率）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</si>
  <si>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同一計算前提：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</si>
  <si>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機型未明（同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</si>
  <si>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SRC_PRC_002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</si>
  <si>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獨立部落客推算的前提參數，非實測；與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同源，無獨立第二來源</t>
    </r>
  </si>
  <si>
    <t xml:space="preserve">U-V1500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</si>
  <si>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列外部對照（</t>
    </r>
    <r>
      <rPr>
        <sz val="10"/>
        <color rgb="FF000000"/>
        <rFont val="Arial"/>
        <family val="0"/>
        <charset val="1"/>
      </rPr>
      <t xml:space="preserve">v15.0 O14</t>
    </r>
    <r>
      <rPr>
        <sz val="10"/>
        <color rgb="FF000000"/>
        <rFont val="Noto Sans CJK SC"/>
        <family val="2"/>
      </rPr>
      <t xml:space="preserve">：把外部租金換算為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時數口徑）</t>
    </r>
  </si>
  <si>
    <r>
      <rPr>
        <sz val="10"/>
        <color rgb="FF000000"/>
        <rFont val="Arial"/>
        <family val="0"/>
        <charset val="1"/>
      </rPr>
      <t xml:space="preserve">v15.0 O14 </t>
    </r>
    <r>
      <rPr>
        <sz val="10"/>
        <color rgb="FF000000"/>
        <rFont val="Noto Sans CJK SC"/>
        <family val="2"/>
      </rPr>
      <t xml:space="preserve">新增：把 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口徑欄已公開的 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拆成可引用的數值紀錄（無新證據；</t>
    </r>
    <r>
      <rPr>
        <sz val="10"/>
        <color rgb="FF000000"/>
        <rFont val="Arial"/>
        <family val="0"/>
        <charset val="1"/>
      </rPr>
      <t xml:space="preserve">Evidence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E149</t>
    </r>
    <r>
      <rPr>
        <sz val="10"/>
        <color rgb="FF000000"/>
        <rFont val="Noto Sans CJK SC"/>
        <family val="2"/>
      </rPr>
      <t xml:space="preserve">）；不改 </t>
    </r>
    <r>
      <rPr>
        <sz val="10"/>
        <color rgb="FF000000"/>
        <rFont val="Arial"/>
        <family val="0"/>
        <charset val="1"/>
      </rPr>
      <t xml:space="preserve">SRC_PRC_002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</si>
  <si>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</si>
  <si>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</si>
  <si>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</si>
  <si>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</si>
  <si>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</si>
  <si>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</si>
  <si>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</si>
  <si>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</si>
  <si>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</si>
  <si>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</si>
  <si>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</si>
  <si>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</si>
  <si>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</si>
  <si>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</si>
  <si>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</si>
  <si>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</si>
  <si>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</si>
  <si>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</si>
  <si>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</si>
  <si>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</si>
  <si>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</si>
  <si>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</si>
  <si>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</si>
  <si>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</si>
  <si>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</si>
  <si>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</si>
  <si>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</si>
  <si>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</si>
  <si>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</si>
  <si>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</si>
  <si>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</si>
  <si>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</si>
  <si>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</si>
  <si>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</si>
  <si>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</si>
  <si>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</si>
  <si>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</si>
  <si>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</si>
  <si>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</si>
  <si>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</si>
  <si>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</si>
  <si>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</si>
  <si>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</si>
  <si>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</si>
  <si>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</si>
  <si>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</si>
  <si>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</si>
  <si>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</si>
  <si>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</si>
  <si>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</si>
  <si>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</si>
  <si>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</si>
  <si>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</si>
  <si>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</si>
  <si>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</si>
  <si>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</si>
  <si>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</si>
  <si>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</si>
  <si>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</si>
  <si>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</si>
  <si>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</si>
  <si>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</si>
  <si>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</si>
  <si>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</si>
  <si>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</si>
  <si>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</si>
  <si>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</si>
  <si>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</si>
  <si>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</si>
  <si>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</si>
  <si>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</si>
  <si>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</si>
  <si>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</si>
  <si>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</si>
  <si>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</si>
  <si>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</si>
  <si>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</si>
  <si>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</si>
  <si>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</si>
  <si>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</si>
  <si>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</si>
  <si>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</si>
  <si>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</si>
  <si>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</si>
  <si>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</si>
  <si>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</si>
  <si>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</si>
  <si>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</si>
  <si>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</si>
  <si>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</si>
  <si>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</si>
  <si>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</si>
  <si>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</si>
  <si>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</si>
  <si>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</si>
  <si>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</si>
  <si>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</si>
  <si>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</si>
  <si>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</si>
  <si>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</si>
  <si>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</si>
  <si>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</si>
  <si>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</si>
  <si>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</si>
  <si>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</si>
  <si>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</si>
  <si>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</si>
  <si>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</si>
  <si>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</si>
  <si>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</si>
  <si>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</si>
  <si>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</si>
  <si>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</si>
  <si>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</si>
  <si>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</si>
  <si>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</si>
  <si>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</si>
  <si>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</si>
  <si>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</si>
  <si>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</si>
  <si>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</si>
  <si>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</si>
  <si>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</si>
  <si>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</si>
  <si>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</si>
  <si>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</si>
  <si>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</si>
  <si>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</si>
  <si>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</si>
  <si>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</si>
  <si>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</si>
  <si>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</si>
  <si>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</si>
  <si>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</si>
  <si>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</si>
  <si>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</si>
  <si>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</si>
  <si>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</si>
  <si>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</si>
  <si>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</si>
  <si>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</si>
  <si>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</si>
  <si>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</si>
  <si>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</si>
  <si>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</si>
  <si>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</si>
  <si>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</si>
  <si>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</si>
  <si>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</si>
  <si>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</si>
  <si>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</si>
  <si>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</si>
  <si>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</si>
  <si>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</si>
  <si>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</si>
  <si>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</si>
  <si>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</si>
  <si>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</si>
  <si>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</si>
  <si>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</si>
  <si>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</si>
  <si>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</si>
  <si>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</si>
  <si>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</si>
  <si>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</si>
  <si>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</si>
  <si>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</si>
  <si>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</si>
  <si>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</si>
  <si>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</si>
  <si>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</si>
  <si>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</si>
  <si>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</si>
  <si>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</si>
  <si>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</si>
  <si>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</si>
  <si>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</si>
  <si>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</si>
  <si>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</si>
  <si>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</si>
  <si>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</si>
  <si>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</si>
  <si>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</si>
  <si>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</si>
  <si>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</si>
  <si>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</si>
  <si>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</si>
  <si>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</si>
  <si>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</si>
  <si>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</si>
  <si>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</si>
  <si>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</si>
  <si>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</si>
  <si>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</si>
  <si>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</si>
  <si>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</si>
  <si>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</si>
  <si>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</si>
  <si>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</si>
  <si>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</si>
  <si>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</si>
  <si>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</si>
  <si>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</si>
  <si>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</si>
  <si>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</si>
  <si>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</si>
  <si>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</si>
  <si>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</si>
  <si>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</si>
  <si>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</si>
  <si>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</si>
  <si>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</si>
  <si>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</si>
  <si>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</si>
  <si>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</si>
  <si>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</si>
  <si>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</si>
  <si>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</si>
  <si>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</si>
  <si>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</si>
  <si>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</si>
  <si>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</si>
  <si>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</si>
  <si>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</si>
  <si>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</si>
  <si>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</si>
  <si>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</si>
  <si>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</si>
  <si>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</si>
  <si>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</si>
  <si>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</si>
  <si>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</si>
  <si>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</si>
  <si>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</si>
  <si>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</si>
  <si>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</si>
  <si>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</si>
  <si>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</si>
  <si>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</si>
  <si>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</si>
  <si>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</si>
  <si>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</si>
  <si>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</si>
  <si>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</si>
  <si>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</si>
  <si>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</si>
  <si>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</si>
  <si>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</si>
  <si>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</si>
  <si>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</si>
  <si>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</si>
  <si>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</si>
  <si>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</si>
  <si>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</si>
  <si>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</si>
  <si>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</si>
  <si>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</si>
  <si>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</si>
  <si>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</si>
  <si>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</si>
  <si>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</si>
  <si>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</si>
  <si>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</si>
  <si>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</si>
  <si>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</si>
  <si>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</si>
  <si>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</si>
  <si>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</si>
  <si>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</si>
  <si>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</si>
  <si>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</si>
  <si>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</si>
  <si>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</si>
  <si>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</si>
  <si>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</si>
  <si>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</si>
  <si>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</si>
  <si>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</si>
  <si>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</si>
  <si>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</si>
  <si>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</si>
  <si>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</si>
  <si>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</si>
  <si>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</si>
  <si>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</si>
  <si>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</si>
  <si>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</si>
  <si>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</si>
  <si>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</si>
  <si>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</si>
  <si>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</si>
  <si>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</si>
  <si>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</si>
  <si>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</si>
  <si>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</si>
  <si>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</si>
  <si>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</si>
  <si>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</si>
  <si>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</si>
  <si>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</si>
  <si>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</si>
  <si>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</si>
  <si>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</si>
  <si>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</si>
  <si>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</si>
  <si>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</si>
  <si>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</si>
  <si>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</si>
  <si>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</si>
  <si>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</si>
  <si>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</si>
  <si>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</si>
  <si>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</si>
  <si>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</si>
  <si>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</si>
  <si>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</si>
  <si>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</si>
  <si>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</si>
  <si>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</si>
  <si>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</si>
  <si>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</si>
  <si>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</si>
  <si>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</si>
  <si>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</si>
  <si>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</si>
  <si>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</si>
  <si>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</si>
  <si>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</si>
  <si>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</si>
  <si>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</si>
  <si>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</si>
  <si>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</si>
  <si>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</si>
  <si>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</si>
  <si>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</si>
  <si>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</si>
  <si>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</si>
  <si>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</si>
  <si>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</si>
  <si>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</si>
  <si>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</si>
  <si>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</si>
  <si>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</si>
  <si>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</si>
  <si>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</si>
  <si>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</si>
  <si>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</si>
  <si>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</si>
  <si>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</si>
  <si>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</si>
  <si>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</si>
  <si>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</si>
  <si>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</si>
  <si>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</si>
  <si>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</si>
  <si>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</si>
  <si>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</si>
  <si>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</si>
  <si>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</si>
  <si>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</si>
  <si>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</si>
  <si>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</si>
  <si>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</si>
  <si>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</si>
  <si>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</si>
  <si>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</si>
  <si>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</si>
  <si>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</si>
  <si>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</si>
  <si>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</si>
  <si>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</si>
  <si>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</si>
  <si>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</si>
  <si>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</si>
  <si>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</si>
  <si>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</si>
  <si>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</si>
  <si>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</si>
  <si>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</si>
  <si>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</si>
  <si>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</si>
  <si>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</si>
  <si>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</si>
  <si>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</si>
  <si>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</si>
  <si>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</si>
  <si>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</si>
  <si>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</si>
  <si>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</si>
  <si>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</si>
  <si>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</si>
  <si>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</si>
  <si>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</si>
  <si>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</si>
  <si>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</si>
  <si>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</si>
  <si>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</si>
  <si>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</si>
  <si>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</si>
  <si>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</si>
  <si>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</si>
  <si>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</si>
  <si>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</si>
  <si>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</si>
  <si>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</si>
  <si>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</si>
  <si>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</si>
  <si>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</si>
  <si>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</si>
  <si>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</si>
  <si>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</si>
  <si>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</si>
  <si>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</si>
  <si>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</si>
  <si>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</si>
  <si>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</si>
  <si>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</si>
  <si>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</si>
  <si>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</si>
  <si>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</si>
  <si>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</si>
  <si>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</si>
  <si>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</si>
  <si>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</si>
  <si>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</si>
  <si>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</si>
  <si>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</si>
  <si>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</si>
  <si>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</si>
  <si>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</si>
  <si>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</si>
  <si>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</si>
  <si>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</si>
  <si>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</si>
  <si>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</si>
  <si>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</si>
  <si>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</si>
  <si>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</si>
  <si>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</si>
  <si>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</si>
  <si>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</si>
  <si>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</si>
  <si>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</si>
  <si>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</si>
  <si>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</si>
  <si>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</si>
  <si>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</si>
  <si>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</si>
  <si>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</si>
  <si>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</si>
  <si>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</si>
  <si>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</si>
  <si>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</si>
  <si>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</si>
  <si>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</si>
  <si>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</si>
  <si>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</si>
  <si>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</si>
  <si>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</si>
  <si>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</si>
  <si>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</si>
  <si>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</si>
  <si>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</si>
  <si>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</si>
  <si>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</si>
  <si>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</si>
  <si>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</si>
  <si>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</si>
  <si>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</si>
  <si>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</si>
  <si>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</si>
  <si>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</si>
  <si>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</si>
  <si>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</si>
  <si>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</si>
  <si>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</si>
  <si>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</si>
  <si>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</si>
  <si>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</si>
  <si>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</si>
  <si>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</si>
  <si>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</si>
  <si>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</si>
  <si>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</si>
  <si>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</si>
  <si>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</si>
  <si>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</si>
  <si>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</si>
  <si>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</si>
  <si>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</si>
  <si>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</si>
  <si>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</si>
  <si>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</si>
  <si>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</si>
  <si>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</si>
  <si>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</si>
  <si>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</si>
  <si>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</si>
  <si>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</si>
  <si>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</si>
  <si>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</si>
  <si>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</si>
  <si>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</si>
  <si>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</si>
  <si>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</si>
  <si>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</si>
  <si>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</si>
  <si>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</si>
  <si>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</si>
  <si>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</si>
  <si>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</si>
  <si>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</si>
  <si>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</si>
  <si>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</si>
  <si>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</si>
  <si>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</si>
  <si>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</si>
  <si>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</si>
  <si>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</si>
  <si>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</si>
  <si>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</si>
  <si>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</si>
  <si>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</si>
  <si>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</si>
  <si>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</si>
  <si>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</si>
  <si>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</si>
  <si>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</si>
  <si>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</si>
  <si>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</si>
  <si>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</si>
  <si>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</si>
  <si>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</si>
  <si>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</si>
  <si>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</si>
  <si>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</si>
  <si>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</si>
  <si>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</si>
  <si>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</si>
  <si>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</si>
  <si>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</si>
  <si>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</si>
  <si>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</si>
  <si>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</si>
  <si>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</si>
  <si>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</si>
  <si>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</si>
  <si>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</si>
  <si>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</si>
  <si>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</si>
  <si>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</si>
  <si>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</si>
  <si>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</si>
  <si>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</si>
  <si>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</si>
  <si>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</si>
  <si>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</si>
  <si>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</si>
  <si>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</si>
  <si>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</si>
  <si>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</si>
  <si>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</si>
  <si>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</si>
  <si>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</si>
  <si>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</si>
  <si>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</si>
  <si>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</si>
  <si>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</si>
  <si>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</si>
  <si>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</si>
  <si>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</si>
  <si>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</si>
  <si>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</si>
  <si>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</si>
  <si>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</si>
  <si>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</si>
  <si>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</si>
  <si>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</si>
  <si>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</si>
  <si>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</si>
  <si>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</si>
  <si>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</si>
  <si>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</si>
  <si>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</si>
  <si>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</si>
  <si>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</si>
  <si>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</si>
  <si>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</si>
  <si>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</si>
  <si>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</si>
  <si>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</si>
  <si>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</si>
  <si>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</si>
  <si>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</si>
  <si>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</si>
  <si>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</si>
  <si>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</si>
  <si>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</si>
  <si>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</si>
  <si>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</si>
  <si>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</si>
  <si>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</si>
  <si>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</si>
  <si>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</si>
  <si>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</si>
  <si>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</si>
  <si>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</si>
  <si>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</si>
  <si>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</si>
  <si>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</si>
  <si>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</si>
  <si>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</si>
  <si>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</si>
  <si>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</si>
  <si>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</si>
  <si>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</si>
  <si>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</si>
  <si>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</si>
  <si>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</si>
  <si>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</si>
  <si>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</si>
  <si>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</si>
  <si>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</si>
  <si>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</si>
  <si>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</si>
  <si>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</si>
  <si>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</si>
  <si>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</si>
  <si>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</si>
  <si>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</si>
  <si>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</si>
  <si>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</si>
  <si>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</si>
  <si>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</si>
  <si>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</si>
  <si>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</si>
  <si>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</si>
  <si>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</si>
  <si>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</si>
  <si>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</si>
  <si>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</si>
  <si>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</si>
  <si>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</si>
  <si>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</si>
  <si>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</si>
  <si>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</si>
  <si>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</si>
  <si>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</si>
  <si>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</si>
  <si>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</si>
  <si>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落在這段，狀態與等級為「不存在」。；</t>
    </r>
    <r>
      <rPr>
        <sz val="9"/>
        <color rgb="FF595959"/>
        <rFont val="Arial"/>
        <family val="0"/>
        <charset val="1"/>
      </rPr>
      <t xml:space="preserve">v15.0 O6</t>
    </r>
    <r>
      <rPr>
        <sz val="9"/>
        <color rgb="FF595959"/>
        <rFont val="Noto Sans CJK SC"/>
        <family val="2"/>
      </rPr>
      <t xml:space="preserve">：哨兵列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欄改為公式標示：此列的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若已在上方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頁，標『已在上方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頁，查詢不會命中本列』；只有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頁查無的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才是真哨兵（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結果不變）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</si>
  <si>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</si>
  <si>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</si>
  <si>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</si>
  <si>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</si>
  <si>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</si>
  <si>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</si>
  <si>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</si>
  <si>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</si>
  <si>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</si>
  <si>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</si>
  <si>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</si>
  <si>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</si>
  <si>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</si>
  <si>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</si>
  <si>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</si>
  <si>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</si>
  <si>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</si>
  <si>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</si>
  <si>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</si>
  <si>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</si>
  <si>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</si>
  <si>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</si>
  <si>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</si>
  <si>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</si>
  <si>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</si>
  <si>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</si>
  <si>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</si>
  <si>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</si>
  <si>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</si>
  <si>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</si>
  <si>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</si>
  <si>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</si>
  <si>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</si>
  <si>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</si>
  <si>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</si>
  <si>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</si>
  <si>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</si>
  <si>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</si>
  <si>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</si>
  <si>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</si>
  <si>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</si>
  <si>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</si>
  <si>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</si>
  <si>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</si>
  <si>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</si>
  <si>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</si>
  <si>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</si>
  <si>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</si>
  <si>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</si>
  <si>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</si>
  <si>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</si>
  <si>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</si>
  <si>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</si>
  <si>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</si>
  <si>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</si>
  <si>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</si>
  <si>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</si>
  <si>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</si>
  <si>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</si>
  <si>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</si>
  <si>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</si>
  <si>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</si>
  <si>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</si>
  <si>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</si>
  <si>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</si>
  <si>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</si>
  <si>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</si>
  <si>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</si>
  <si>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</si>
  <si>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</si>
  <si>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</si>
  <si>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</si>
  <si>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</si>
  <si>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</si>
  <si>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</si>
  <si>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</si>
  <si>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</si>
  <si>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</si>
  <si>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</si>
  <si>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</si>
  <si>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</si>
  <si>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</si>
  <si>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</si>
  <si>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</si>
  <si>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</si>
  <si>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</si>
  <si>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</si>
  <si>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</si>
  <si>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</si>
  <si>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</si>
  <si>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</si>
  <si>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</si>
  <si>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</si>
  <si>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</si>
  <si>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</si>
  <si>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</si>
  <si>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</si>
  <si>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</si>
  <si>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</si>
  <si>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</si>
  <si>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</si>
  <si>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</si>
  <si>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</si>
  <si>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</si>
  <si>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</si>
  <si>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</si>
  <si>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</si>
  <si>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</si>
  <si>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</si>
  <si>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</si>
  <si>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</si>
  <si>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</si>
  <si>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</si>
  <si>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</si>
  <si>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</si>
  <si>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</si>
  <si>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</si>
  <si>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</si>
  <si>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</si>
  <si>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</si>
  <si>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</si>
  <si>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</si>
  <si>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</si>
  <si>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</si>
  <si>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</si>
  <si>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</si>
  <si>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</si>
  <si>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</si>
  <si>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</si>
  <si>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</si>
  <si>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</si>
  <si>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</si>
  <si>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</si>
  <si>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</si>
  <si>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</si>
  <si>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</si>
  <si>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</si>
  <si>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</si>
  <si>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</si>
  <si>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</si>
  <si>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</si>
  <si>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</si>
  <si>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</si>
  <si>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</si>
  <si>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</si>
  <si>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</si>
  <si>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</si>
  <si>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</si>
  <si>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</si>
  <si>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</si>
  <si>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</si>
  <si>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</si>
  <si>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</si>
  <si>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</si>
  <si>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</si>
  <si>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</si>
  <si>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</si>
  <si>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</si>
  <si>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</si>
  <si>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</si>
  <si>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</si>
  <si>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</si>
  <si>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</si>
  <si>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</si>
  <si>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</si>
  <si>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</si>
  <si>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</si>
  <si>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</si>
  <si>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</si>
  <si>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</si>
  <si>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</si>
  <si>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</si>
  <si>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</si>
  <si>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</si>
  <si>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</si>
  <si>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</si>
  <si>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</si>
  <si>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</si>
  <si>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</si>
  <si>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</si>
  <si>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</si>
  <si>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</si>
  <si>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</si>
  <si>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</si>
  <si>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</si>
  <si>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</si>
  <si>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</si>
  <si>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</si>
  <si>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</si>
  <si>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</si>
  <si>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</si>
  <si>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</si>
  <si>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</si>
  <si>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</si>
  <si>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</si>
  <si>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</si>
  <si>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</si>
  <si>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</si>
  <si>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</si>
  <si>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</si>
  <si>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</si>
  <si>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</si>
  <si>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</si>
  <si>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</si>
  <si>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</si>
  <si>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</si>
  <si>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</si>
  <si>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</si>
  <si>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</si>
  <si>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</si>
  <si>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</si>
  <si>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</si>
  <si>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</si>
  <si>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</si>
  <si>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</si>
  <si>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</si>
  <si>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</si>
  <si>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</si>
  <si>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</si>
  <si>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</si>
  <si>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</si>
  <si>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</si>
  <si>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</si>
  <si>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</si>
  <si>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</si>
  <si>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</si>
  <si>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</si>
  <si>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</si>
  <si>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</si>
  <si>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</si>
  <si>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</si>
  <si>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</si>
  <si>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</si>
  <si>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</si>
  <si>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</si>
  <si>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</si>
  <si>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</si>
  <si>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</si>
  <si>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</si>
  <si>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</si>
  <si>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</si>
  <si>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</si>
  <si>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</si>
  <si>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</si>
  <si>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</si>
  <si>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</si>
  <si>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</si>
  <si>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</si>
  <si>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</si>
  <si>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</si>
  <si>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</si>
  <si>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</si>
  <si>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</si>
  <si>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</si>
  <si>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</si>
  <si>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</si>
  <si>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</si>
  <si>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</si>
  <si>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</si>
  <si>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</si>
  <si>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</si>
  <si>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</si>
  <si>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</si>
  <si>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</si>
  <si>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</si>
  <si>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</si>
  <si>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</si>
  <si>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</si>
  <si>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</si>
  <si>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</si>
  <si>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</si>
  <si>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</si>
  <si>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</si>
  <si>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</si>
  <si>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</si>
  <si>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</si>
  <si>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</si>
  <si>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</si>
  <si>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</si>
  <si>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</si>
  <si>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</si>
  <si>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</si>
  <si>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</si>
  <si>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</si>
  <si>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</si>
  <si>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</si>
  <si>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</si>
  <si>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</si>
  <si>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</si>
  <si>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</si>
  <si>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</si>
  <si>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</si>
  <si>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</si>
  <si>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</si>
  <si>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</si>
  <si>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</si>
  <si>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</si>
  <si>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</si>
  <si>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</si>
  <si>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</si>
  <si>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</si>
  <si>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</si>
  <si>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</si>
  <si>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</si>
  <si>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</si>
  <si>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</si>
  <si>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</si>
  <si>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</si>
  <si>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</si>
  <si>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</si>
  <si>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</si>
  <si>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</si>
  <si>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</si>
  <si>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</si>
  <si>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</si>
  <si>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</si>
  <si>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</si>
  <si>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</si>
  <si>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</si>
  <si>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</si>
  <si>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</si>
  <si>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</si>
  <si>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</si>
  <si>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</si>
  <si>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</si>
  <si>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</si>
  <si>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</si>
  <si>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</si>
  <si>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</si>
  <si>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</si>
  <si>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</si>
  <si>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</si>
  <si>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</si>
  <si>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</si>
  <si>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</si>
  <si>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</si>
  <si>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</si>
  <si>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</si>
  <si>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</si>
  <si>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</si>
  <si>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</si>
  <si>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</si>
  <si>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</si>
  <si>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</si>
  <si>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</si>
  <si>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</si>
  <si>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</si>
  <si>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</si>
  <si>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</si>
  <si>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</si>
  <si>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</si>
  <si>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</si>
  <si>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</si>
  <si>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</si>
  <si>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</si>
  <si>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</si>
  <si>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</si>
  <si>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</si>
  <si>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</si>
  <si>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</si>
  <si>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</si>
  <si>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</si>
  <si>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</si>
  <si>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</si>
  <si>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</si>
  <si>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</si>
  <si>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</si>
  <si>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</si>
  <si>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</si>
  <si>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</si>
  <si>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</si>
  <si>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</si>
  <si>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</si>
  <si>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</si>
  <si>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</si>
  <si>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</si>
  <si>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</si>
  <si>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</si>
  <si>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</si>
  <si>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</si>
  <si>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</si>
  <si>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</si>
  <si>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</si>
  <si>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</si>
  <si>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</si>
  <si>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</si>
  <si>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</si>
  <si>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</si>
  <si>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</si>
  <si>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</si>
  <si>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</si>
  <si>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</si>
  <si>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</si>
  <si>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</si>
  <si>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</si>
  <si>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</si>
  <si>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</si>
  <si>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</si>
  <si>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</si>
  <si>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</si>
  <si>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</si>
  <si>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</si>
  <si>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</si>
  <si>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</si>
  <si>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</si>
  <si>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</si>
  <si>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</si>
  <si>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</si>
  <si>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</si>
  <si>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</si>
  <si>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</si>
  <si>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</si>
  <si>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</si>
  <si>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</si>
  <si>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</si>
  <si>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</si>
  <si>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</si>
  <si>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</si>
  <si>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</si>
  <si>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</si>
  <si>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</si>
  <si>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</si>
  <si>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</si>
  <si>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</si>
  <si>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</si>
  <si>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</si>
  <si>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</si>
  <si>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</si>
  <si>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</si>
  <si>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</si>
  <si>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</si>
  <si>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</si>
  <si>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</si>
  <si>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</si>
  <si>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</si>
  <si>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</si>
  <si>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</si>
  <si>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</si>
  <si>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</si>
  <si>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</si>
  <si>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</si>
  <si>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</si>
  <si>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</si>
  <si>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</si>
  <si>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</si>
  <si>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</si>
  <si>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</si>
  <si>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</si>
  <si>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</si>
  <si>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</si>
  <si>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</si>
  <si>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</si>
  <si>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</si>
  <si>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</si>
  <si>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</si>
  <si>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</si>
  <si>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</si>
  <si>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</si>
  <si>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</si>
  <si>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</si>
  <si>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</si>
  <si>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</si>
  <si>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</si>
  <si>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</si>
  <si>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</si>
  <si>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</si>
  <si>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</si>
  <si>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</si>
  <si>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</si>
  <si>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</si>
  <si>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</si>
  <si>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</si>
  <si>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</si>
  <si>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</si>
  <si>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</si>
  <si>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</si>
  <si>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</si>
  <si>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</si>
  <si>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</si>
  <si>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</si>
  <si>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</si>
  <si>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</si>
  <si>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</si>
  <si>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</si>
  <si>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</si>
  <si>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</si>
  <si>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</si>
  <si>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</si>
  <si>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</si>
  <si>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</si>
  <si>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</si>
  <si>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</si>
  <si>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</si>
  <si>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</si>
  <si>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</si>
  <si>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</si>
  <si>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</si>
  <si>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</si>
  <si>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</si>
  <si>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</si>
  <si>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</si>
  <si>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</si>
  <si>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</si>
  <si>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</si>
  <si>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</si>
  <si>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</si>
  <si>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</si>
  <si>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</si>
  <si>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</si>
  <si>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</si>
  <si>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</si>
  <si>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</si>
  <si>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</si>
  <si>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</si>
  <si>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</si>
  <si>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</si>
  <si>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</si>
  <si>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</si>
  <si>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</si>
  <si>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</si>
  <si>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</si>
  <si>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</si>
  <si>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</si>
  <si>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</si>
  <si>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</si>
  <si>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</si>
  <si>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</si>
  <si>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</si>
  <si>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</si>
  <si>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</si>
  <si>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</si>
  <si>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</si>
  <si>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</si>
  <si>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</si>
  <si>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</si>
  <si>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</si>
  <si>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</si>
  <si>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</si>
  <si>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</si>
  <si>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</si>
  <si>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</si>
  <si>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</si>
  <si>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</si>
  <si>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</si>
  <si>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</si>
  <si>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</si>
  <si>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</si>
  <si>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</si>
  <si>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</si>
  <si>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</si>
  <si>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</si>
  <si>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</si>
  <si>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</si>
  <si>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</si>
  <si>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</si>
  <si>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</si>
  <si>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</si>
  <si>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</si>
  <si>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</si>
  <si>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</si>
  <si>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</si>
  <si>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</si>
  <si>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</si>
  <si>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</si>
  <si>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</si>
  <si>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</si>
  <si>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</si>
  <si>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</si>
  <si>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</si>
  <si>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</si>
  <si>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</si>
  <si>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</si>
  <si>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</si>
  <si>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</si>
  <si>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</si>
  <si>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</si>
  <si>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</si>
  <si>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</si>
  <si>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</si>
  <si>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</si>
  <si>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</si>
  <si>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</si>
  <si>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</si>
  <si>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</si>
  <si>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</si>
  <si>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</si>
  <si>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</si>
  <si>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</si>
  <si>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</si>
  <si>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</si>
  <si>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</si>
  <si>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</si>
  <si>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</si>
  <si>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</si>
  <si>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</si>
  <si>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</si>
  <si>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</si>
  <si>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</si>
  <si>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</si>
  <si>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</si>
  <si>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</si>
  <si>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</si>
  <si>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</si>
  <si>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</si>
  <si>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</si>
  <si>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</si>
  <si>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</si>
  <si>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</si>
  <si>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</si>
  <si>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</si>
  <si>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</si>
  <si>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</si>
  <si>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</si>
  <si>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</si>
  <si>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</si>
  <si>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</si>
  <si>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</si>
  <si>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</si>
  <si>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</si>
  <si>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</si>
  <si>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</si>
  <si>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</si>
  <si>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</si>
  <si>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</si>
  <si>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</si>
  <si>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</si>
  <si>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</si>
  <si>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</si>
  <si>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</si>
  <si>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</si>
  <si>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</si>
  <si>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</si>
  <si>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</si>
  <si>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</si>
  <si>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</si>
  <si>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</si>
  <si>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</si>
  <si>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</si>
  <si>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</si>
  <si>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</si>
  <si>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</si>
  <si>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</si>
  <si>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</si>
  <si>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</si>
  <si>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</si>
  <si>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</si>
  <si>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</si>
  <si>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</si>
  <si>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</si>
  <si>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</si>
  <si>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</si>
  <si>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</si>
  <si>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</si>
  <si>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</si>
  <si>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</si>
  <si>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</si>
  <si>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</si>
  <si>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</si>
  <si>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</si>
  <si>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</si>
  <si>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</si>
  <si>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</si>
  <si>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</si>
  <si>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</si>
  <si>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</si>
  <si>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</si>
  <si>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</si>
  <si>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</si>
  <si>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</si>
  <si>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</si>
  <si>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</si>
  <si>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</si>
  <si>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</si>
  <si>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</si>
  <si>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</si>
  <si>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</si>
  <si>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</si>
  <si>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</si>
  <si>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</si>
  <si>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</si>
  <si>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</si>
  <si>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</si>
  <si>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</si>
  <si>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</si>
  <si>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</si>
  <si>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</si>
  <si>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</si>
  <si>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</si>
  <si>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</si>
  <si>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</si>
  <si>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</si>
  <si>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</si>
  <si>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</si>
  <si>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</si>
  <si>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</si>
  <si>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</si>
  <si>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</si>
  <si>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</si>
  <si>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</si>
  <si>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</si>
  <si>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</si>
  <si>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</si>
  <si>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</si>
  <si>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</si>
  <si>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</si>
  <si>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</si>
  <si>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</si>
  <si>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</si>
  <si>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</si>
  <si>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</si>
  <si>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</si>
  <si>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</si>
  <si>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</si>
  <si>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</si>
  <si>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</si>
  <si>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</si>
  <si>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</si>
  <si>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</si>
  <si>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</si>
  <si>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</si>
  <si>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</si>
  <si>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</si>
  <si>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</si>
  <si>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</si>
  <si>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</si>
  <si>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</si>
  <si>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</si>
  <si>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</si>
  <si>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</si>
  <si>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</si>
  <si>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</si>
  <si>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</si>
  <si>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</si>
  <si>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</si>
  <si>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</si>
  <si>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</si>
  <si>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</si>
  <si>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</si>
  <si>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</si>
  <si>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</si>
  <si>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</si>
  <si>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</si>
  <si>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</si>
  <si>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</si>
  <si>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</si>
  <si>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</si>
  <si>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</si>
  <si>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</si>
  <si>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</si>
  <si>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</si>
  <si>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</si>
  <si>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</si>
  <si>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</si>
  <si>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</si>
  <si>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</si>
  <si>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</si>
  <si>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</si>
  <si>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</si>
  <si>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</si>
  <si>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</si>
  <si>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</si>
  <si>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</si>
  <si>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</si>
  <si>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</si>
  <si>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</si>
  <si>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</si>
  <si>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</si>
  <si>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</si>
  <si>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</si>
  <si>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</si>
  <si>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</si>
  <si>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</si>
  <si>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</si>
  <si>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</si>
  <si>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</si>
  <si>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</si>
  <si>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</si>
  <si>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</si>
  <si>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</si>
  <si>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</si>
  <si>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</si>
  <si>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</si>
  <si>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</si>
  <si>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</si>
  <si>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</si>
  <si>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</si>
  <si>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</si>
  <si>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</si>
  <si>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</si>
  <si>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</si>
  <si>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</si>
  <si>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</si>
  <si>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</si>
  <si>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</si>
  <si>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</si>
  <si>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</si>
  <si>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</si>
  <si>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</si>
  <si>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</si>
  <si>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</si>
  <si>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</si>
  <si>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</si>
  <si>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</si>
  <si>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</si>
  <si>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</si>
  <si>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</si>
  <si>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</si>
  <si>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</si>
  <si>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</si>
  <si>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</si>
  <si>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</si>
  <si>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</si>
  <si>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</si>
  <si>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</si>
  <si>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</si>
  <si>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</si>
  <si>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</si>
  <si>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</si>
  <si>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</si>
  <si>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</si>
  <si>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</si>
  <si>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</si>
  <si>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</si>
  <si>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</si>
  <si>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</si>
  <si>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</si>
  <si>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</si>
  <si>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</si>
  <si>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</si>
  <si>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</si>
  <si>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</si>
  <si>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</si>
  <si>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</si>
  <si>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</si>
  <si>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</si>
  <si>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</si>
  <si>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</si>
  <si>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</si>
  <si>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</si>
  <si>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</si>
  <si>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</si>
  <si>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</si>
  <si>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</si>
  <si>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</si>
  <si>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</si>
  <si>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</si>
  <si>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</si>
  <si>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</si>
  <si>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</si>
  <si>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</si>
  <si>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</si>
  <si>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</si>
  <si>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</si>
  <si>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</si>
  <si>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</si>
  <si>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</si>
  <si>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</si>
  <si>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</si>
  <si>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</si>
  <si>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</si>
  <si>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</si>
  <si>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</si>
  <si>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</si>
  <si>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</si>
  <si>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</si>
  <si>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</si>
  <si>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</si>
  <si>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</si>
  <si>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</si>
  <si>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</si>
  <si>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</si>
  <si>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</si>
  <si>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</si>
  <si>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</si>
  <si>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</si>
  <si>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</si>
  <si>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</si>
  <si>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</si>
  <si>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</si>
  <si>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</si>
  <si>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</si>
  <si>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</si>
  <si>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</si>
  <si>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</si>
  <si>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</si>
  <si>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</si>
  <si>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</si>
  <si>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</si>
  <si>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</si>
  <si>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</si>
  <si>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</si>
  <si>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</si>
  <si>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</si>
  <si>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</si>
  <si>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</si>
  <si>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</si>
  <si>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</si>
  <si>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</si>
  <si>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</si>
  <si>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</si>
  <si>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</si>
  <si>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</si>
  <si>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</si>
  <si>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</si>
  <si>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</si>
  <si>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</si>
  <si>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</si>
  <si>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</si>
  <si>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</si>
  <si>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</si>
  <si>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</si>
  <si>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</si>
  <si>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</si>
  <si>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</si>
  <si>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</si>
  <si>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</si>
  <si>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</si>
  <si>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</si>
  <si>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</si>
  <si>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</si>
  <si>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</si>
  <si>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</si>
  <si>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</si>
  <si>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</si>
  <si>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</si>
  <si>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</si>
  <si>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</si>
  <si>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</si>
  <si>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</si>
  <si>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</si>
  <si>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</si>
  <si>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</si>
  <si>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</si>
  <si>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</si>
  <si>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</si>
  <si>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</si>
  <si>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</si>
  <si>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</si>
  <si>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</si>
  <si>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</si>
  <si>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</si>
  <si>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</si>
  <si>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</si>
  <si>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</si>
  <si>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</si>
  <si>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</si>
  <si>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</si>
  <si>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</si>
  <si>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</si>
  <si>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</si>
  <si>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</si>
  <si>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</si>
  <si>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</si>
  <si>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</si>
  <si>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</si>
  <si>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</si>
  <si>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</si>
  <si>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</si>
  <si>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</si>
  <si>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</si>
  <si>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</si>
  <si>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</si>
  <si>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</si>
  <si>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</si>
  <si>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</si>
  <si>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</si>
  <si>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</si>
  <si>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</si>
  <si>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</si>
  <si>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</si>
  <si>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</si>
  <si>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</si>
  <si>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</si>
  <si>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</si>
  <si>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</si>
  <si>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</si>
  <si>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</si>
  <si>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</si>
  <si>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</si>
  <si>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</si>
  <si>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</si>
  <si>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</si>
  <si>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</si>
  <si>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</si>
  <si>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</si>
  <si>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</si>
  <si>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</si>
  <si>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</si>
  <si>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</si>
  <si>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</si>
  <si>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</si>
  <si>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</si>
  <si>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</si>
  <si>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</si>
  <si>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</si>
  <si>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</si>
  <si>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</si>
  <si>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</si>
  <si>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</si>
  <si>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</si>
  <si>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</si>
  <si>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</si>
  <si>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</si>
  <si>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</si>
  <si>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</si>
  <si>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</si>
  <si>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</si>
  <si>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</si>
  <si>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</si>
  <si>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</si>
  <si>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</si>
  <si>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</si>
  <si>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</si>
  <si>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</si>
  <si>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</si>
  <si>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</si>
  <si>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</si>
  <si>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</si>
  <si>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</si>
  <si>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</si>
  <si>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</si>
  <si>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</si>
  <si>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</si>
  <si>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</si>
  <si>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</si>
  <si>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</si>
  <si>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</si>
  <si>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</si>
  <si>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</si>
  <si>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</si>
  <si>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</si>
  <si>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</si>
  <si>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</si>
  <si>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</si>
  <si>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</si>
  <si>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</si>
  <si>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</si>
  <si>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</si>
  <si>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</si>
  <si>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</si>
  <si>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</si>
  <si>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</si>
  <si>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</si>
  <si>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</si>
  <si>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</si>
  <si>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</si>
  <si>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</si>
  <si>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</si>
  <si>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</si>
  <si>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</si>
  <si>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</si>
  <si>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</si>
  <si>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</si>
  <si>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</si>
  <si>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</si>
  <si>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</si>
  <si>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</si>
  <si>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</si>
  <si>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</si>
  <si>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</si>
  <si>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</si>
  <si>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</si>
  <si>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</si>
  <si>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</si>
  <si>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</si>
  <si>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</si>
  <si>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</si>
  <si>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</si>
  <si>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</si>
  <si>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</si>
  <si>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</si>
  <si>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</si>
  <si>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</si>
  <si>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</si>
  <si>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</si>
  <si>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</si>
  <si>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</si>
  <si>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</si>
  <si>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</si>
  <si>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</si>
  <si>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</si>
  <si>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</si>
  <si>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</si>
  <si>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</si>
  <si>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</si>
  <si>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</si>
  <si>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</si>
  <si>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</si>
  <si>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</si>
  <si>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</si>
  <si>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</si>
  <si>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</si>
  <si>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</si>
  <si>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</si>
  <si>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</si>
  <si>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</si>
  <si>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</si>
  <si>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</si>
  <si>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</si>
  <si>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</si>
  <si>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</si>
  <si>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</si>
  <si>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</si>
  <si>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</si>
  <si>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</si>
  <si>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</si>
  <si>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</si>
  <si>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</si>
  <si>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</si>
  <si>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</si>
  <si>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</si>
  <si>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</si>
  <si>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</si>
  <si>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</si>
  <si>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</si>
  <si>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</si>
  <si>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</si>
  <si>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</si>
  <si>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</si>
  <si>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</si>
  <si>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</si>
  <si>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</si>
  <si>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</si>
  <si>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</si>
  <si>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</si>
  <si>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</si>
  <si>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</si>
  <si>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</si>
  <si>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</si>
  <si>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</si>
  <si>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</si>
  <si>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</si>
  <si>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</si>
  <si>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</si>
  <si>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</si>
  <si>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</si>
  <si>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</si>
  <si>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</si>
  <si>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</si>
  <si>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</si>
  <si>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</si>
  <si>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</si>
  <si>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</si>
  <si>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</si>
  <si>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</si>
  <si>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</si>
  <si>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</si>
  <si>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</si>
  <si>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</si>
  <si>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</si>
  <si>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</si>
  <si>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</si>
  <si>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</si>
  <si>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</si>
  <si>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</si>
  <si>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</si>
  <si>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</si>
  <si>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</si>
  <si>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</si>
  <si>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</si>
  <si>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</si>
  <si>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</si>
  <si>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</si>
  <si>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</si>
  <si>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</si>
  <si>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</si>
  <si>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</si>
  <si>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</si>
  <si>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</si>
  <si>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</si>
  <si>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</si>
  <si>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</si>
  <si>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</si>
  <si>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</si>
  <si>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</si>
  <si>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</si>
  <si>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</si>
  <si>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</si>
  <si>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</si>
  <si>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</si>
  <si>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</si>
  <si>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</si>
  <si>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</si>
  <si>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</si>
  <si>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</si>
  <si>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</si>
  <si>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</si>
  <si>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</si>
  <si>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</si>
  <si>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</si>
  <si>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</si>
  <si>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</si>
  <si>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</si>
  <si>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</si>
  <si>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</si>
  <si>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</si>
  <si>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</si>
  <si>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</si>
  <si>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</si>
  <si>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</si>
  <si>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</si>
  <si>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</si>
  <si>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</si>
  <si>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</si>
  <si>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</si>
  <si>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</si>
  <si>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</si>
  <si>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</si>
  <si>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</si>
  <si>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</si>
  <si>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</si>
  <si>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</si>
  <si>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</si>
  <si>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</si>
  <si>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</si>
  <si>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</si>
  <si>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</si>
  <si>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</si>
  <si>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</si>
  <si>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</si>
  <si>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</si>
  <si>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</si>
  <si>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</si>
  <si>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</si>
  <si>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</si>
  <si>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</si>
  <si>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</si>
  <si>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</si>
  <si>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</si>
  <si>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</si>
  <si>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</si>
  <si>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</si>
  <si>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</si>
  <si>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</si>
  <si>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</si>
  <si>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</si>
  <si>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</si>
  <si>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</si>
  <si>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</si>
  <si>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</si>
  <si>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</si>
  <si>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</si>
  <si>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</si>
  <si>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</si>
  <si>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</si>
  <si>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</si>
  <si>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</si>
  <si>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</si>
  <si>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</si>
  <si>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</si>
  <si>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</si>
  <si>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</si>
  <si>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</si>
  <si>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</si>
  <si>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</si>
  <si>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</si>
  <si>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</si>
  <si>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</si>
  <si>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</si>
  <si>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</si>
  <si>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</si>
  <si>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</si>
  <si>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</si>
  <si>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</si>
  <si>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</si>
  <si>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</si>
  <si>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</si>
  <si>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</si>
  <si>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</si>
  <si>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</si>
  <si>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</si>
  <si>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</si>
  <si>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</si>
  <si>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</si>
  <si>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</si>
  <si>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</si>
  <si>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</si>
  <si>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</si>
  <si>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</si>
  <si>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</si>
  <si>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</si>
  <si>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</si>
  <si>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</si>
  <si>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</si>
  <si>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</si>
  <si>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</si>
  <si>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</si>
  <si>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</si>
  <si>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</si>
  <si>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</si>
  <si>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</si>
  <si>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</si>
  <si>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</si>
  <si>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</si>
  <si>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</si>
  <si>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</si>
  <si>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</si>
  <si>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</si>
  <si>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</si>
  <si>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</si>
  <si>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</si>
  <si>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</si>
  <si>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</si>
  <si>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</si>
  <si>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</si>
  <si>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</si>
  <si>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</si>
  <si>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</si>
  <si>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</si>
  <si>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</si>
  <si>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</si>
  <si>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</si>
  <si>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</si>
  <si>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</si>
  <si>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</si>
  <si>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</si>
  <si>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</si>
  <si>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</si>
  <si>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</si>
  <si>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</si>
  <si>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</si>
  <si>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</si>
  <si>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</si>
  <si>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</si>
  <si>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</si>
  <si>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</si>
  <si>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</si>
  <si>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</si>
  <si>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</si>
  <si>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</si>
  <si>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</si>
  <si>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</si>
  <si>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</si>
  <si>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</si>
  <si>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</si>
  <si>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</si>
  <si>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</si>
  <si>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</si>
  <si>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</si>
  <si>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</si>
  <si>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</si>
  <si>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</si>
  <si>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</si>
  <si>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</si>
  <si>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</si>
  <si>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</si>
  <si>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</si>
  <si>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</si>
  <si>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</si>
  <si>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</si>
  <si>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</si>
  <si>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</si>
  <si>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</si>
  <si>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</si>
  <si>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</si>
  <si>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</si>
  <si>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</si>
  <si>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</si>
  <si>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</si>
  <si>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</si>
  <si>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</si>
  <si>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</si>
  <si>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</si>
  <si>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</si>
  <si>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</si>
  <si>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</si>
  <si>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</si>
  <si>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</si>
  <si>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</si>
  <si>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</si>
  <si>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</si>
  <si>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</si>
  <si>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</si>
  <si>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</si>
  <si>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</si>
  <si>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</si>
  <si>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</si>
  <si>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</si>
  <si>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</si>
  <si>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</si>
  <si>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</si>
  <si>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</si>
  <si>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</si>
  <si>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</si>
  <si>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</si>
  <si>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</si>
  <si>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</si>
  <si>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</si>
  <si>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</si>
  <si>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</si>
  <si>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</si>
  <si>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</si>
  <si>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</si>
  <si>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</si>
  <si>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</si>
  <si>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</si>
  <si>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</si>
  <si>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</si>
  <si>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</si>
  <si>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</si>
  <si>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</si>
  <si>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</si>
  <si>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</si>
  <si>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</si>
  <si>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</si>
  <si>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</si>
  <si>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</si>
  <si>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</si>
  <si>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</si>
  <si>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</si>
  <si>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</si>
  <si>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</si>
  <si>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</si>
  <si>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</si>
  <si>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</si>
  <si>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</si>
  <si>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</si>
  <si>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</si>
  <si>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</si>
  <si>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</si>
  <si>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</si>
  <si>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</si>
  <si>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</si>
  <si>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</si>
  <si>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</si>
  <si>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</si>
  <si>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</si>
  <si>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</si>
  <si>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</si>
  <si>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</si>
  <si>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</si>
  <si>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</si>
  <si>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</si>
  <si>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</si>
  <si>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</si>
  <si>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</si>
  <si>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</si>
  <si>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</si>
  <si>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</si>
  <si>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</si>
  <si>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</si>
  <si>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</si>
  <si>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</si>
  <si>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</si>
  <si>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</si>
  <si>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</si>
  <si>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</si>
  <si>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</si>
  <si>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</si>
  <si>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</si>
  <si>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</si>
  <si>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</si>
  <si>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</si>
  <si>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</si>
  <si>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</si>
  <si>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</si>
  <si>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</si>
  <si>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</si>
  <si>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</si>
  <si>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</si>
  <si>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</si>
  <si>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</si>
  <si>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</si>
  <si>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</si>
  <si>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</si>
  <si>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</si>
  <si>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</si>
  <si>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</si>
  <si>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</si>
  <si>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</si>
  <si>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</si>
  <si>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</si>
  <si>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</si>
  <si>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</si>
  <si>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</si>
  <si>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</si>
  <si>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</si>
  <si>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</si>
  <si>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</si>
  <si>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</si>
  <si>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</si>
  <si>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</si>
  <si>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</si>
  <si>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</si>
  <si>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</si>
  <si>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</si>
  <si>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</si>
  <si>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</si>
  <si>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</si>
  <si>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</si>
  <si>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</si>
  <si>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</si>
  <si>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</si>
  <si>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</si>
  <si>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</si>
  <si>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</si>
  <si>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</si>
  <si>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</si>
  <si>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</si>
  <si>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</si>
  <si>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</si>
  <si>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</si>
  <si>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</si>
  <si>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</si>
  <si>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</si>
  <si>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</si>
  <si>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</si>
  <si>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</si>
  <si>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</si>
  <si>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</si>
  <si>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</si>
  <si>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</si>
  <si>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</si>
  <si>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</si>
  <si>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</si>
  <si>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</si>
  <si>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</si>
  <si>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</si>
  <si>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</si>
  <si>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</si>
  <si>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</si>
  <si>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</si>
  <si>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</si>
  <si>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</si>
  <si>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</si>
  <si>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</si>
  <si>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</si>
  <si>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</si>
  <si>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</si>
  <si>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</si>
  <si>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</si>
  <si>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</si>
  <si>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</si>
  <si>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</si>
  <si>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</si>
  <si>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</si>
  <si>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</si>
  <si>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</si>
  <si>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</si>
  <si>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</si>
  <si>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</si>
  <si>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</si>
  <si>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</si>
  <si>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</si>
  <si>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</si>
  <si>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</si>
  <si>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</si>
  <si>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</si>
  <si>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</si>
  <si>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</si>
  <si>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</si>
  <si>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</si>
  <si>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</si>
  <si>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</si>
  <si>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</si>
  <si>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</si>
  <si>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</si>
  <si>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</si>
  <si>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</si>
  <si>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</si>
  <si>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</si>
  <si>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</si>
  <si>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</si>
  <si>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</si>
  <si>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</si>
  <si>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</si>
  <si>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</si>
  <si>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</si>
  <si>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</si>
  <si>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</si>
  <si>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</si>
  <si>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</si>
  <si>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</si>
  <si>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</si>
  <si>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</si>
  <si>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</si>
  <si>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</si>
  <si>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</si>
  <si>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</si>
  <si>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</si>
  <si>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</si>
  <si>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</si>
  <si>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</si>
  <si>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</si>
  <si>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</si>
  <si>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</si>
  <si>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</si>
  <si>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</si>
  <si>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</si>
  <si>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</si>
  <si>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</si>
  <si>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</si>
  <si>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</si>
  <si>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</si>
  <si>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</si>
  <si>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</si>
  <si>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</si>
  <si>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</si>
  <si>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</si>
  <si>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</si>
  <si>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</si>
  <si>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</si>
  <si>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</si>
  <si>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</si>
  <si>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</si>
  <si>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</si>
  <si>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</si>
  <si>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</si>
  <si>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</si>
  <si>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</si>
  <si>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</si>
  <si>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</si>
  <si>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</si>
  <si>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</si>
  <si>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</si>
  <si>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</si>
  <si>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</si>
  <si>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</si>
  <si>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</si>
  <si>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</si>
  <si>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</si>
  <si>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</si>
  <si>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</si>
  <si>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</si>
  <si>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</si>
  <si>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</si>
  <si>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</si>
  <si>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</si>
  <si>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</si>
  <si>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</si>
  <si>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</si>
  <si>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</si>
  <si>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</si>
  <si>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</si>
  <si>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</si>
  <si>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</si>
  <si>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</si>
  <si>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</si>
  <si>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</si>
  <si>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</si>
  <si>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</si>
  <si>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</si>
  <si>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</si>
  <si>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</si>
  <si>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</si>
  <si>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</si>
  <si>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</si>
  <si>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</si>
  <si>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</si>
  <si>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</si>
  <si>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</si>
  <si>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</si>
  <si>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</si>
  <si>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</si>
  <si>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</si>
  <si>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</si>
  <si>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</si>
  <si>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</si>
  <si>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</si>
  <si>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</si>
  <si>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</si>
  <si>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</si>
  <si>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</si>
  <si>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</si>
  <si>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</si>
  <si>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</si>
  <si>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</si>
  <si>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</si>
  <si>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</si>
  <si>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</si>
  <si>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</si>
  <si>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</si>
  <si>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</si>
  <si>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</si>
  <si>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</si>
  <si>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</si>
  <si>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</si>
  <si>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</si>
  <si>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</si>
  <si>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</si>
  <si>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</si>
  <si>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</si>
  <si>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</si>
  <si>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</si>
  <si>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</si>
  <si>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</si>
  <si>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</si>
  <si>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</si>
  <si>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</si>
  <si>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</si>
  <si>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</si>
  <si>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</si>
  <si>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</si>
  <si>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</si>
  <si>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</si>
  <si>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</si>
  <si>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</si>
  <si>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</si>
  <si>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</si>
  <si>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</si>
  <si>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</si>
  <si>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</si>
  <si>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</si>
  <si>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</si>
  <si>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</si>
  <si>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</si>
  <si>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</si>
  <si>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</si>
  <si>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</si>
  <si>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</si>
  <si>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</si>
  <si>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</si>
  <si>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</si>
  <si>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</si>
  <si>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</si>
  <si>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</si>
  <si>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</si>
  <si>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</si>
  <si>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</si>
  <si>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</si>
  <si>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</si>
  <si>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</si>
  <si>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</si>
  <si>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</si>
  <si>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</si>
  <si>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</si>
  <si>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</si>
  <si>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</si>
  <si>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</si>
  <si>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</si>
  <si>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</si>
  <si>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</si>
  <si>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</si>
  <si>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</si>
  <si>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</si>
  <si>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</si>
  <si>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</si>
  <si>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</si>
  <si>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</si>
  <si>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</si>
  <si>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</si>
  <si>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</si>
  <si>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</si>
  <si>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</si>
  <si>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</si>
  <si>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</si>
  <si>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</si>
  <si>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</si>
  <si>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</si>
  <si>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</si>
  <si>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</si>
  <si>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</si>
  <si>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</si>
  <si>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</si>
  <si>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</si>
  <si>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</si>
  <si>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</si>
  <si>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</si>
  <si>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</si>
  <si>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</si>
  <si>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</si>
  <si>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</si>
  <si>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</si>
  <si>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</si>
  <si>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</si>
  <si>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</si>
  <si>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</si>
  <si>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</si>
  <si>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</si>
  <si>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</si>
  <si>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</si>
  <si>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</si>
  <si>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</si>
  <si>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</si>
  <si>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</si>
  <si>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</si>
  <si>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</si>
  <si>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</si>
  <si>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</si>
  <si>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</si>
  <si>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</si>
  <si>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</si>
  <si>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</si>
  <si>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</si>
  <si>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</si>
  <si>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</si>
  <si>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</si>
  <si>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</si>
  <si>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</si>
  <si>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</si>
  <si>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</si>
  <si>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</si>
  <si>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</si>
  <si>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</si>
  <si>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</si>
  <si>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</si>
  <si>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</si>
  <si>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</si>
  <si>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</si>
  <si>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</si>
  <si>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</si>
  <si>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</si>
  <si>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</si>
  <si>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</si>
  <si>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</si>
  <si>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</si>
  <si>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</si>
  <si>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</si>
  <si>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</si>
  <si>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</si>
  <si>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</si>
  <si>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</si>
  <si>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</si>
  <si>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</si>
  <si>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</si>
  <si>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</si>
  <si>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</si>
  <si>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</si>
  <si>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</si>
  <si>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</si>
  <si>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</si>
  <si>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</si>
  <si>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</si>
  <si>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</si>
  <si>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</si>
  <si>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</si>
  <si>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</si>
  <si>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</si>
  <si>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</si>
  <si>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</si>
  <si>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</si>
  <si>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</si>
  <si>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</si>
  <si>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</si>
  <si>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</si>
  <si>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</si>
  <si>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</si>
  <si>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</si>
  <si>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</si>
  <si>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</si>
  <si>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</si>
  <si>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</si>
  <si>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</si>
  <si>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</si>
  <si>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</si>
  <si>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</si>
  <si>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</si>
  <si>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</si>
  <si>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</si>
  <si>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</si>
  <si>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</si>
  <si>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</si>
  <si>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</si>
  <si>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</si>
  <si>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</si>
  <si>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</si>
  <si>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</si>
  <si>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</si>
  <si>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</si>
  <si>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</si>
  <si>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</si>
  <si>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</si>
  <si>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</si>
  <si>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</si>
  <si>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</si>
  <si>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</si>
  <si>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</si>
  <si>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</si>
  <si>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</si>
  <si>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</si>
  <si>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</si>
  <si>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</si>
  <si>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</si>
  <si>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</si>
  <si>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</si>
  <si>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</si>
  <si>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</si>
  <si>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</si>
  <si>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</si>
  <si>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</si>
  <si>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</si>
  <si>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</si>
  <si>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</si>
  <si>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</si>
  <si>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</si>
  <si>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</si>
  <si>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</si>
  <si>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</si>
  <si>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</si>
  <si>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</si>
  <si>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</si>
  <si>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</si>
  <si>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</si>
  <si>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</si>
  <si>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</si>
  <si>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</si>
  <si>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</si>
  <si>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</si>
  <si>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</si>
  <si>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</si>
  <si>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</si>
  <si>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</si>
  <si>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</si>
  <si>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</si>
  <si>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</si>
  <si>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</si>
  <si>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</si>
  <si>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</si>
  <si>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</si>
  <si>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</si>
  <si>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</si>
  <si>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</si>
  <si>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</si>
  <si>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</si>
  <si>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</si>
  <si>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</si>
  <si>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</si>
  <si>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</si>
  <si>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</si>
  <si>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</si>
  <si>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</si>
  <si>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</si>
  <si>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</si>
  <si>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</si>
  <si>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</si>
  <si>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</si>
  <si>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</si>
  <si>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</si>
  <si>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</si>
  <si>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</si>
  <si>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</si>
  <si>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</si>
  <si>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</si>
  <si>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</si>
  <si>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</si>
  <si>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</si>
  <si>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</si>
  <si>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</si>
  <si>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</si>
  <si>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</si>
  <si>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</si>
  <si>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</si>
  <si>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</si>
  <si>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</si>
  <si>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</si>
  <si>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</si>
  <si>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</si>
  <si>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</si>
  <si>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</si>
  <si>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</si>
  <si>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</si>
  <si>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</si>
  <si>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</si>
  <si>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</si>
  <si>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</si>
  <si>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</si>
  <si>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</si>
  <si>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</si>
  <si>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</si>
  <si>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</si>
  <si>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</si>
  <si>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</si>
  <si>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</si>
  <si>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</si>
  <si>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</si>
  <si>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</si>
  <si>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</si>
  <si>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</si>
  <si>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</si>
  <si>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</si>
  <si>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</si>
  <si>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</si>
  <si>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</si>
  <si>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</si>
  <si>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</si>
  <si>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</si>
  <si>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</si>
  <si>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</si>
  <si>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</si>
  <si>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</si>
  <si>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</si>
  <si>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</si>
  <si>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</si>
  <si>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</si>
  <si>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</si>
  <si>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</si>
  <si>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</si>
  <si>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</si>
  <si>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</si>
  <si>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</si>
  <si>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</si>
  <si>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</si>
  <si>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</si>
  <si>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</si>
  <si>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</si>
  <si>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</si>
  <si>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</si>
  <si>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</si>
  <si>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</si>
  <si>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</si>
  <si>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</si>
  <si>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</si>
  <si>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</si>
  <si>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</si>
  <si>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</si>
  <si>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</si>
  <si>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</si>
  <si>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</si>
  <si>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</si>
  <si>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</si>
  <si>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</si>
  <si>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</si>
  <si>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</si>
  <si>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</si>
  <si>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</si>
  <si>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</si>
  <si>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</si>
  <si>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</si>
  <si>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</si>
  <si>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</si>
  <si>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</si>
  <si>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</si>
  <si>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</si>
  <si>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</si>
  <si>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</si>
  <si>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</si>
  <si>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</si>
  <si>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</si>
  <si>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</si>
  <si>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</si>
  <si>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</si>
  <si>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</si>
  <si>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</si>
  <si>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</si>
  <si>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</si>
  <si>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</si>
  <si>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</si>
  <si>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</si>
  <si>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</si>
  <si>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</si>
  <si>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</si>
  <si>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</si>
  <si>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</si>
  <si>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</si>
  <si>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</si>
  <si>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</si>
  <si>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</si>
  <si>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</si>
  <si>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</si>
  <si>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</si>
  <si>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</si>
  <si>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</si>
  <si>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</si>
  <si>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</si>
  <si>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</si>
  <si>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</si>
  <si>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</si>
  <si>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</si>
  <si>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</si>
  <si>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</si>
  <si>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</si>
  <si>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</si>
  <si>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</si>
  <si>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</si>
  <si>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</si>
  <si>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</si>
  <si>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</si>
  <si>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</si>
  <si>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</si>
  <si>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</si>
  <si>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</si>
  <si>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</si>
  <si>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</si>
  <si>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</si>
  <si>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</si>
  <si>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</si>
  <si>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</si>
  <si>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</si>
  <si>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</si>
  <si>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</si>
  <si>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</si>
  <si>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</si>
  <si>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</si>
  <si>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</si>
  <si>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</si>
  <si>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</si>
  <si>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</si>
  <si>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</si>
  <si>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</si>
  <si>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</si>
  <si>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</si>
  <si>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</si>
  <si>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</si>
  <si>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</si>
  <si>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</si>
  <si>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</si>
  <si>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</si>
  <si>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</si>
  <si>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</si>
  <si>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</si>
  <si>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</si>
  <si>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</si>
  <si>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</si>
  <si>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</si>
  <si>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</si>
  <si>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</si>
  <si>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</si>
  <si>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</si>
  <si>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</si>
  <si>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</si>
  <si>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</si>
  <si>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</si>
  <si>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</si>
  <si>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</si>
  <si>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</si>
  <si>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</si>
  <si>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</si>
  <si>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</si>
  <si>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</si>
  <si>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</si>
  <si>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</si>
  <si>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</si>
  <si>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</si>
  <si>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</si>
  <si>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</si>
  <si>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</si>
  <si>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</si>
  <si>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</si>
  <si>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</si>
  <si>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</si>
  <si>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</si>
  <si>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</si>
  <si>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</si>
  <si>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</si>
  <si>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</si>
  <si>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</si>
  <si>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</si>
  <si>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</si>
  <si>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</si>
  <si>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</si>
  <si>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</si>
  <si>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</si>
  <si>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</si>
  <si>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</si>
  <si>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</si>
  <si>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</si>
  <si>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</si>
  <si>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</si>
  <si>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</si>
  <si>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</si>
  <si>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</si>
  <si>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</si>
  <si>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</si>
  <si>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</si>
  <si>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</si>
  <si>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</si>
  <si>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</si>
  <si>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</si>
  <si>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</si>
  <si>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</si>
  <si>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</si>
  <si>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</si>
  <si>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</si>
  <si>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</si>
  <si>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</si>
  <si>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</si>
  <si>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</si>
  <si>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</si>
  <si>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</si>
  <si>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</si>
  <si>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</si>
  <si>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</si>
  <si>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</si>
  <si>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</si>
  <si>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</si>
  <si>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</si>
  <si>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</si>
  <si>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</si>
  <si>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</si>
  <si>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</si>
  <si>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</si>
  <si>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</si>
  <si>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</si>
  <si>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</si>
  <si>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</si>
  <si>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</si>
  <si>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</si>
  <si>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</si>
  <si>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</si>
  <si>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</si>
  <si>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</si>
  <si>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</si>
  <si>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</si>
  <si>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</si>
  <si>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</si>
  <si>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</si>
  <si>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</si>
  <si>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</si>
  <si>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</si>
  <si>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</si>
  <si>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</si>
  <si>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</si>
  <si>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</si>
  <si>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</si>
  <si>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</si>
  <si>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</si>
  <si>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</si>
  <si>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</si>
  <si>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</si>
  <si>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</si>
  <si>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</si>
  <si>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</si>
  <si>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</si>
  <si>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</si>
  <si>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</si>
  <si>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</si>
  <si>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</si>
  <si>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</si>
  <si>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</si>
  <si>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</si>
  <si>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</si>
  <si>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</si>
  <si>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</si>
  <si>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</si>
  <si>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</si>
  <si>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</si>
  <si>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</si>
  <si>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</si>
  <si>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</si>
  <si>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</si>
  <si>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</si>
  <si>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</si>
  <si>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</si>
  <si>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</si>
  <si>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</si>
  <si>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</si>
  <si>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</si>
  <si>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</si>
  <si>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</si>
  <si>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</si>
  <si>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</si>
  <si>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</si>
  <si>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列積壓）｜v15.0 回查結案：556 出自 NVIDIA 技術部落格表 2（非 MLCommons 提交）；欄 I、L 不改（CLAUDE.md 第 6 節），判定請 Project 於下一輪更新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</si>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</sst>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25" hidden="false" customHeight="true" outlineLevel="0" collapsed="false">
      <c r="A55" s="8" t="s">
        <v>104</v>
      </c>
      <c r="B55" s="5" t="s">
        <v>105</v>
      </c>
    </row>
    <row r="56" customFormat="false" ht="29.25" hidden="false" customHeight="true" outlineLevel="0" collapsed="false">
      <c r="A56" s="8" t="s">
        <v>106</v>
      </c>
      <c r="B56" s="6" t="s">
        <v>107</v>
      </c>
    </row>
    <row r="57" customFormat="false" ht="29.85" hidden="false" customHeight="false" outlineLevel="0" collapsed="false">
      <c r="A57" s="10" t="s">
        <v>108</v>
      </c>
      <c r="B57" s="6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110</v>
      </c>
    </row>
    <row r="2" customFormat="false" ht="15" hidden="false" customHeight="true" outlineLevel="0" collapsed="false">
      <c r="A2" s="11" t="s">
        <v>111</v>
      </c>
    </row>
    <row r="3" customFormat="false" ht="15" hidden="false" customHeight="true" outlineLevel="0" collapsed="false">
      <c r="A3" s="12" t="s">
        <v>112</v>
      </c>
      <c r="B3" s="12" t="s">
        <v>113</v>
      </c>
      <c r="C3" s="12"/>
      <c r="D3" s="12" t="s">
        <v>114</v>
      </c>
      <c r="E3" s="12" t="s">
        <v>115</v>
      </c>
      <c r="F3" s="12" t="s">
        <v>116</v>
      </c>
      <c r="G3" s="12" t="s">
        <v>117</v>
      </c>
      <c r="H3" s="12" t="s">
        <v>118</v>
      </c>
      <c r="I3" s="13" t="s">
        <v>2</v>
      </c>
    </row>
    <row r="4" customFormat="false" ht="15" hidden="false" customHeight="true" outlineLevel="0" collapsed="false">
      <c r="A4" s="14" t="s">
        <v>119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120</v>
      </c>
      <c r="B5" s="17" t="s">
        <v>121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122</v>
      </c>
      <c r="H5" s="20" t="s">
        <v>123</v>
      </c>
      <c r="I5" s="21" t="s">
        <v>124</v>
      </c>
    </row>
    <row r="6" customFormat="false" ht="15" hidden="false" customHeight="true" outlineLevel="0" collapsed="false">
      <c r="A6" s="22" t="s">
        <v>125</v>
      </c>
      <c r="B6" s="23" t="s">
        <v>126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122</v>
      </c>
      <c r="H6" s="20" t="s">
        <v>127</v>
      </c>
      <c r="I6" s="21" t="s">
        <v>128</v>
      </c>
    </row>
    <row r="7" customFormat="false" ht="15" hidden="false" customHeight="true" outlineLevel="0" collapsed="false">
      <c r="A7" s="14" t="s">
        <v>129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130</v>
      </c>
      <c r="B8" s="17" t="s">
        <v>131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132</v>
      </c>
      <c r="H8" s="20" t="s">
        <v>133</v>
      </c>
      <c r="I8" s="21" t="s">
        <v>134</v>
      </c>
    </row>
    <row r="9" customFormat="false" ht="15" hidden="false" customHeight="true" outlineLevel="0" collapsed="false">
      <c r="A9" s="16" t="s">
        <v>135</v>
      </c>
      <c r="B9" s="17" t="s">
        <v>136</v>
      </c>
      <c r="D9" s="26" t="n">
        <v>1.1</v>
      </c>
      <c r="E9" s="26" t="n">
        <v>1.2</v>
      </c>
      <c r="F9" s="26" t="n">
        <v>1.3</v>
      </c>
      <c r="G9" s="17" t="s">
        <v>137</v>
      </c>
      <c r="H9" s="20" t="s">
        <v>138</v>
      </c>
    </row>
    <row r="10" customFormat="false" ht="15" hidden="false" customHeight="true" outlineLevel="0" collapsed="false">
      <c r="A10" s="22" t="s">
        <v>139</v>
      </c>
      <c r="B10" s="17" t="s">
        <v>131</v>
      </c>
      <c r="D10" s="25" t="n">
        <v>0.7</v>
      </c>
      <c r="E10" s="25" t="n">
        <v>0.8</v>
      </c>
      <c r="F10" s="25" t="n">
        <v>0.9</v>
      </c>
      <c r="G10" s="17" t="s">
        <v>132</v>
      </c>
      <c r="H10" s="6" t="s">
        <v>140</v>
      </c>
    </row>
    <row r="11" customFormat="false" ht="15" hidden="false" customHeight="true" outlineLevel="0" collapsed="false">
      <c r="A11" s="22" t="s">
        <v>141</v>
      </c>
      <c r="B11" s="17" t="s">
        <v>142</v>
      </c>
      <c r="D11" s="26" t="n">
        <v>0.06</v>
      </c>
      <c r="E11" s="26" t="n">
        <v>0.08</v>
      </c>
      <c r="F11" s="26" t="n">
        <v>0.1</v>
      </c>
      <c r="G11" s="17" t="s">
        <v>143</v>
      </c>
      <c r="H11" s="6" t="s">
        <v>144</v>
      </c>
    </row>
    <row r="12" customFormat="false" ht="15" hidden="false" customHeight="true" outlineLevel="0" collapsed="false">
      <c r="A12" s="27" t="s">
        <v>145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146</v>
      </c>
      <c r="B13" s="17" t="s">
        <v>131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137</v>
      </c>
      <c r="H13" s="6" t="s">
        <v>147</v>
      </c>
    </row>
    <row r="14" customFormat="false" ht="15" hidden="false" customHeight="true" outlineLevel="0" collapsed="false">
      <c r="A14" s="22" t="s">
        <v>148</v>
      </c>
      <c r="B14" s="17" t="s">
        <v>149</v>
      </c>
      <c r="D14" s="19" t="n">
        <v>300</v>
      </c>
      <c r="E14" s="19" t="n">
        <v>500</v>
      </c>
      <c r="F14" s="19" t="n">
        <v>800</v>
      </c>
      <c r="G14" s="17" t="s">
        <v>132</v>
      </c>
      <c r="H14" s="6" t="s">
        <v>150</v>
      </c>
    </row>
    <row r="15" customFormat="false" ht="15" hidden="false" customHeight="true" outlineLevel="0" collapsed="false">
      <c r="A15" s="14" t="s">
        <v>151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152</v>
      </c>
      <c r="B16" s="17" t="s">
        <v>153</v>
      </c>
      <c r="D16" s="26" t="n">
        <v>0.02</v>
      </c>
      <c r="E16" s="26" t="n">
        <v>0.02</v>
      </c>
      <c r="F16" s="26" t="n">
        <v>0.02</v>
      </c>
      <c r="G16" s="17" t="s">
        <v>132</v>
      </c>
      <c r="H16" s="6" t="s">
        <v>154</v>
      </c>
    </row>
    <row r="17" customFormat="false" ht="15" hidden="false" customHeight="true" outlineLevel="0" collapsed="false">
      <c r="A17" s="22" t="s">
        <v>155</v>
      </c>
      <c r="B17" s="17" t="s">
        <v>153</v>
      </c>
      <c r="D17" s="26" t="n">
        <v>3</v>
      </c>
      <c r="E17" s="26" t="n">
        <v>3.6</v>
      </c>
      <c r="F17" s="26" t="n">
        <v>4.5</v>
      </c>
      <c r="G17" s="17" t="s">
        <v>132</v>
      </c>
      <c r="H17" s="20" t="s">
        <v>156</v>
      </c>
    </row>
    <row r="18" customFormat="false" ht="15" hidden="false" customHeight="true" outlineLevel="0" collapsed="false">
      <c r="A18" s="22" t="s">
        <v>157</v>
      </c>
      <c r="B18" s="17" t="s">
        <v>153</v>
      </c>
      <c r="D18" s="26" t="n">
        <v>3.8</v>
      </c>
      <c r="E18" s="26" t="n">
        <v>4.5</v>
      </c>
      <c r="F18" s="26" t="n">
        <v>5.5</v>
      </c>
      <c r="G18" s="17" t="s">
        <v>132</v>
      </c>
      <c r="H18" s="20" t="s">
        <v>158</v>
      </c>
    </row>
    <row r="19" customFormat="false" ht="15" hidden="false" customHeight="true" outlineLevel="0" collapsed="false">
      <c r="A19" s="22" t="s">
        <v>159</v>
      </c>
      <c r="B19" s="17" t="s">
        <v>153</v>
      </c>
      <c r="D19" s="26" t="n">
        <v>2</v>
      </c>
      <c r="E19" s="26" t="n">
        <v>2.5</v>
      </c>
      <c r="F19" s="26" t="n">
        <v>3.2</v>
      </c>
      <c r="G19" s="17" t="s">
        <v>132</v>
      </c>
      <c r="H19" s="20" t="s">
        <v>160</v>
      </c>
    </row>
    <row r="20" customFormat="false" ht="15" hidden="false" customHeight="true" outlineLevel="0" collapsed="false">
      <c r="A20" s="22" t="s">
        <v>161</v>
      </c>
      <c r="B20" s="17" t="s">
        <v>153</v>
      </c>
      <c r="D20" s="26" t="n">
        <v>0.3</v>
      </c>
      <c r="E20" s="26" t="n">
        <v>0.4</v>
      </c>
      <c r="F20" s="26" t="n">
        <v>0.5</v>
      </c>
      <c r="G20" s="17" t="s">
        <v>132</v>
      </c>
      <c r="H20" s="20" t="s">
        <v>158</v>
      </c>
    </row>
    <row r="21" customFormat="false" ht="15" hidden="false" customHeight="true" outlineLevel="0" collapsed="false">
      <c r="A21" s="22" t="s">
        <v>162</v>
      </c>
      <c r="B21" s="17" t="s">
        <v>163</v>
      </c>
      <c r="D21" s="25" t="n">
        <v>0.12</v>
      </c>
      <c r="E21" s="25" t="n">
        <v>0.15</v>
      </c>
      <c r="F21" s="25" t="n">
        <v>0.18</v>
      </c>
      <c r="G21" s="17" t="s">
        <v>132</v>
      </c>
      <c r="H21" s="6" t="s">
        <v>164</v>
      </c>
    </row>
    <row r="22" customFormat="false" ht="15" hidden="false" customHeight="true" outlineLevel="0" collapsed="false">
      <c r="A22" s="14" t="s">
        <v>165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166</v>
      </c>
      <c r="B23" s="23" t="s">
        <v>167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168</v>
      </c>
      <c r="H23" s="6" t="s">
        <v>169</v>
      </c>
    </row>
    <row r="24" customFormat="false" ht="15" hidden="false" customHeight="true" outlineLevel="0" collapsed="false">
      <c r="A24" s="22" t="s">
        <v>170</v>
      </c>
      <c r="B24" s="23" t="s">
        <v>167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137</v>
      </c>
      <c r="H24" s="6" t="s">
        <v>171</v>
      </c>
    </row>
    <row r="25" customFormat="false" ht="15" hidden="false" customHeight="true" outlineLevel="0" collapsed="false">
      <c r="A25" s="22" t="s">
        <v>172</v>
      </c>
      <c r="B25" s="23" t="s">
        <v>167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137</v>
      </c>
      <c r="H25" s="6" t="s">
        <v>171</v>
      </c>
    </row>
    <row r="26" customFormat="false" ht="15" hidden="false" customHeight="true" outlineLevel="0" collapsed="false">
      <c r="A26" s="22" t="s">
        <v>173</v>
      </c>
      <c r="B26" s="23" t="s">
        <v>167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137</v>
      </c>
      <c r="H26" s="6" t="s">
        <v>171</v>
      </c>
    </row>
    <row r="27" customFormat="false" ht="15" hidden="false" customHeight="true" outlineLevel="0" collapsed="false">
      <c r="A27" s="22" t="s">
        <v>174</v>
      </c>
      <c r="B27" s="23" t="s">
        <v>167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137</v>
      </c>
      <c r="H27" s="6" t="s">
        <v>171</v>
      </c>
    </row>
    <row r="28" customFormat="false" ht="15" hidden="false" customHeight="true" outlineLevel="0" collapsed="false">
      <c r="A28" s="16" t="s">
        <v>175</v>
      </c>
      <c r="B28" s="17" t="s">
        <v>131</v>
      </c>
      <c r="D28" s="25" t="n">
        <v>0.08</v>
      </c>
      <c r="E28" s="25" t="n">
        <v>0.1</v>
      </c>
      <c r="F28" s="25" t="n">
        <v>0.13</v>
      </c>
      <c r="G28" s="17" t="s">
        <v>132</v>
      </c>
      <c r="H28" s="20" t="s">
        <v>176</v>
      </c>
    </row>
    <row r="29" customFormat="false" ht="15" hidden="false" customHeight="true" outlineLevel="0" collapsed="false">
      <c r="A29" s="14" t="s">
        <v>177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178</v>
      </c>
      <c r="B30" s="17" t="s">
        <v>179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180</v>
      </c>
      <c r="H30" s="6" t="s">
        <v>181</v>
      </c>
    </row>
    <row r="31" customFormat="false" ht="15" hidden="false" customHeight="true" outlineLevel="0" collapsed="false">
      <c r="A31" s="22" t="s">
        <v>182</v>
      </c>
      <c r="B31" s="17" t="s">
        <v>183</v>
      </c>
      <c r="D31" s="25" t="n">
        <v>0.015</v>
      </c>
      <c r="E31" s="25" t="n">
        <v>0.02</v>
      </c>
      <c r="F31" s="25" t="n">
        <v>0.025</v>
      </c>
      <c r="G31" s="17" t="s">
        <v>137</v>
      </c>
      <c r="H31" s="6" t="s">
        <v>184</v>
      </c>
    </row>
    <row r="32" customFormat="false" ht="15" hidden="false" customHeight="true" outlineLevel="0" collapsed="false">
      <c r="A32" s="22" t="s">
        <v>185</v>
      </c>
      <c r="B32" s="17" t="s">
        <v>186</v>
      </c>
      <c r="D32" s="19" t="n">
        <v>50</v>
      </c>
      <c r="E32" s="19" t="n">
        <v>75</v>
      </c>
      <c r="F32" s="19" t="n">
        <v>100</v>
      </c>
      <c r="G32" s="17" t="s">
        <v>132</v>
      </c>
      <c r="H32" s="6" t="s">
        <v>187</v>
      </c>
    </row>
    <row r="33" customFormat="false" ht="15" hidden="false" customHeight="true" outlineLevel="0" collapsed="false">
      <c r="A33" s="22" t="s">
        <v>188</v>
      </c>
      <c r="B33" s="17" t="s">
        <v>186</v>
      </c>
      <c r="D33" s="19" t="n">
        <v>150</v>
      </c>
      <c r="E33" s="19" t="n">
        <v>200</v>
      </c>
      <c r="F33" s="19" t="n">
        <v>250</v>
      </c>
      <c r="G33" s="17" t="s">
        <v>132</v>
      </c>
      <c r="H33" s="6" t="s">
        <v>189</v>
      </c>
    </row>
    <row r="34" customFormat="false" ht="15" hidden="false" customHeight="true" outlineLevel="0" collapsed="false">
      <c r="A34" s="22" t="s">
        <v>190</v>
      </c>
      <c r="B34" s="17" t="s">
        <v>191</v>
      </c>
      <c r="D34" s="26" t="n">
        <v>0.04</v>
      </c>
      <c r="E34" s="26" t="n">
        <v>0.05</v>
      </c>
      <c r="F34" s="26" t="n">
        <v>0.06</v>
      </c>
      <c r="G34" s="17" t="s">
        <v>132</v>
      </c>
      <c r="H34" s="6" t="s">
        <v>192</v>
      </c>
    </row>
    <row r="35" customFormat="false" ht="15" hidden="false" customHeight="true" outlineLevel="0" collapsed="false">
      <c r="A35" s="22" t="s">
        <v>193</v>
      </c>
      <c r="B35" s="17" t="s">
        <v>194</v>
      </c>
      <c r="D35" s="25" t="n">
        <v>0.003</v>
      </c>
      <c r="E35" s="25" t="n">
        <v>0.005</v>
      </c>
      <c r="F35" s="25" t="n">
        <v>0.008</v>
      </c>
      <c r="G35" s="17" t="s">
        <v>137</v>
      </c>
      <c r="H35" s="6" t="s">
        <v>195</v>
      </c>
    </row>
    <row r="36" customFormat="false" ht="15" hidden="false" customHeight="true" outlineLevel="0" collapsed="false">
      <c r="A36" s="30" t="s">
        <v>196</v>
      </c>
      <c r="B36" s="31" t="s">
        <v>167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168</v>
      </c>
      <c r="H36" s="30" t="s">
        <v>197</v>
      </c>
    </row>
    <row r="37" customFormat="false" ht="15" hidden="false" customHeight="true" outlineLevel="0" collapsed="false">
      <c r="A37" s="30" t="s">
        <v>198</v>
      </c>
      <c r="B37" s="34" t="s">
        <v>179</v>
      </c>
      <c r="D37" s="35" t="n">
        <v>0.0025</v>
      </c>
      <c r="E37" s="35" t="n">
        <v>0.005</v>
      </c>
      <c r="F37" s="35" t="n">
        <v>0.01</v>
      </c>
      <c r="G37" s="34" t="s">
        <v>137</v>
      </c>
      <c r="H37" s="30" t="s">
        <v>199</v>
      </c>
    </row>
    <row r="38" customFormat="false" ht="15" hidden="false" customHeight="true" outlineLevel="0" collapsed="false">
      <c r="A38" s="30" t="s">
        <v>200</v>
      </c>
      <c r="B38" s="34" t="s">
        <v>179</v>
      </c>
      <c r="D38" s="35" t="n">
        <v>0.02</v>
      </c>
      <c r="E38" s="35" t="n">
        <v>0.03</v>
      </c>
      <c r="F38" s="35" t="n">
        <v>0.05</v>
      </c>
      <c r="G38" s="34" t="s">
        <v>137</v>
      </c>
      <c r="H38" s="30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202</v>
      </c>
    </row>
    <row r="2" customFormat="false" ht="15" hidden="false" customHeight="true" outlineLevel="0" collapsed="false">
      <c r="A2" s="11" t="s">
        <v>203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204</v>
      </c>
      <c r="C4" s="27" t="s">
        <v>205</v>
      </c>
      <c r="D4" s="27" t="s">
        <v>206</v>
      </c>
      <c r="E4" s="27" t="s">
        <v>207</v>
      </c>
      <c r="F4" s="27" t="s">
        <v>208</v>
      </c>
      <c r="G4" s="27" t="s">
        <v>209</v>
      </c>
      <c r="H4" s="9" t="s">
        <v>210</v>
      </c>
    </row>
    <row r="5" customFormat="false" ht="15" hidden="false" customHeight="true" outlineLevel="0" collapsed="false">
      <c r="A5" s="22" t="s">
        <v>211</v>
      </c>
      <c r="C5" s="6" t="s">
        <v>212</v>
      </c>
      <c r="D5" s="6" t="s">
        <v>213</v>
      </c>
      <c r="E5" s="6" t="s">
        <v>214</v>
      </c>
      <c r="F5" s="6" t="s">
        <v>215</v>
      </c>
      <c r="G5" s="6" t="s">
        <v>216</v>
      </c>
    </row>
    <row r="6" customFormat="false" ht="15" hidden="false" customHeight="true" outlineLevel="0" collapsed="false">
      <c r="A6" s="16" t="s">
        <v>217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218</v>
      </c>
      <c r="C7" s="20" t="s">
        <v>219</v>
      </c>
      <c r="D7" s="20" t="s">
        <v>220</v>
      </c>
      <c r="E7" s="20" t="s">
        <v>220</v>
      </c>
      <c r="F7" s="20" t="s">
        <v>221</v>
      </c>
      <c r="G7" s="20" t="s">
        <v>220</v>
      </c>
    </row>
    <row r="8" customFormat="false" ht="15" hidden="false" customHeight="true" outlineLevel="0" collapsed="false">
      <c r="A8" s="22" t="s">
        <v>222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223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224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225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226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227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228</v>
      </c>
      <c r="C14" s="40" t="s">
        <v>229</v>
      </c>
      <c r="D14" s="41" t="s">
        <v>230</v>
      </c>
      <c r="E14" s="41" t="s">
        <v>158</v>
      </c>
      <c r="F14" s="41" t="s">
        <v>231</v>
      </c>
      <c r="G14" s="40" t="s">
        <v>232</v>
      </c>
    </row>
    <row r="15" customFormat="false" ht="54" hidden="false" customHeight="true" outlineLevel="0" collapsed="false">
      <c r="A15" s="22" t="s">
        <v>233</v>
      </c>
      <c r="C15" s="40" t="s">
        <v>234</v>
      </c>
      <c r="D15" s="41" t="s">
        <v>235</v>
      </c>
      <c r="E15" s="40" t="s">
        <v>236</v>
      </c>
      <c r="F15" s="40" t="s">
        <v>237</v>
      </c>
      <c r="G15" s="41" t="s">
        <v>238</v>
      </c>
    </row>
    <row r="16" customFormat="false" ht="54" hidden="false" customHeight="true" outlineLevel="0" collapsed="false">
      <c r="A16" s="22" t="s">
        <v>239</v>
      </c>
      <c r="C16" s="42" t="s">
        <v>240</v>
      </c>
      <c r="D16" s="40" t="s">
        <v>241</v>
      </c>
      <c r="E16" s="40" t="s">
        <v>242</v>
      </c>
      <c r="F16" s="40" t="s">
        <v>243</v>
      </c>
      <c r="G16" s="41" t="s">
        <v>244</v>
      </c>
    </row>
    <row r="17" customFormat="false" ht="54" hidden="false" customHeight="true" outlineLevel="0" collapsed="false">
      <c r="A17" s="22" t="s">
        <v>117</v>
      </c>
      <c r="C17" s="40" t="s">
        <v>137</v>
      </c>
      <c r="D17" s="40" t="s">
        <v>245</v>
      </c>
      <c r="E17" s="40" t="s">
        <v>246</v>
      </c>
      <c r="F17" s="40" t="s">
        <v>245</v>
      </c>
      <c r="G17" s="40" t="s">
        <v>247</v>
      </c>
    </row>
    <row r="19" customFormat="false" ht="15" hidden="false" customHeight="true" outlineLevel="0" collapsed="false">
      <c r="A19" s="11" t="s">
        <v>248</v>
      </c>
    </row>
    <row r="21" customFormat="false" ht="15" hidden="false" customHeight="true" outlineLevel="0" collapsed="false">
      <c r="A21" s="43" t="s">
        <v>249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250</v>
      </c>
      <c r="C22" s="30" t="s">
        <v>251</v>
      </c>
      <c r="D22" s="30" t="s">
        <v>252</v>
      </c>
      <c r="E22" s="30" t="s">
        <v>252</v>
      </c>
      <c r="F22" s="30" t="s">
        <v>252</v>
      </c>
      <c r="G22" s="30" t="s">
        <v>252</v>
      </c>
      <c r="H22" s="45" t="s">
        <v>253</v>
      </c>
    </row>
    <row r="23" customFormat="false" ht="15" hidden="false" customHeight="true" outlineLevel="0" collapsed="false">
      <c r="A23" s="44" t="s">
        <v>254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255</v>
      </c>
    </row>
    <row r="24" customFormat="false" ht="15" hidden="false" customHeight="true" outlineLevel="0" collapsed="false">
      <c r="A24" s="44" t="s">
        <v>256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257</v>
      </c>
    </row>
    <row r="25" customFormat="false" ht="15" hidden="false" customHeight="true" outlineLevel="0" collapsed="false">
      <c r="A25" s="30" t="s">
        <v>258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259</v>
      </c>
    </row>
    <row r="26" customFormat="false" ht="15" hidden="false" customHeight="true" outlineLevel="0" collapsed="false">
      <c r="A26" s="30" t="s">
        <v>260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261</v>
      </c>
    </row>
    <row r="27" customFormat="false" ht="15" hidden="false" customHeight="true" outlineLevel="0" collapsed="false">
      <c r="A27" s="30" t="s">
        <v>262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263</v>
      </c>
    </row>
    <row r="28" customFormat="false" ht="15" hidden="false" customHeight="true" outlineLevel="0" collapsed="false">
      <c r="A28" s="30" t="s">
        <v>264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265</v>
      </c>
    </row>
    <row r="29" customFormat="false" ht="15" hidden="false" customHeight="true" outlineLevel="0" collapsed="false">
      <c r="A29" s="30" t="s">
        <v>266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267</v>
      </c>
    </row>
    <row r="30" customFormat="false" ht="15" hidden="false" customHeight="true" outlineLevel="0" collapsed="false">
      <c r="A30" s="44" t="s">
        <v>268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269</v>
      </c>
    </row>
    <row r="31" customFormat="false" ht="15" hidden="false" customHeight="true" outlineLevel="0" collapsed="false">
      <c r="A31" s="44" t="s">
        <v>270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271</v>
      </c>
    </row>
    <row r="32" customFormat="false" ht="15" hidden="false" customHeight="true" outlineLevel="0" collapsed="false">
      <c r="A32" s="44" t="s">
        <v>272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273</v>
      </c>
    </row>
    <row r="33" customFormat="false" ht="15" hidden="false" customHeight="true" outlineLevel="0" collapsed="false">
      <c r="A33" s="30" t="s">
        <v>274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275</v>
      </c>
    </row>
    <row r="34" customFormat="false" ht="15" hidden="false" customHeight="true" outlineLevel="0" collapsed="false">
      <c r="A34" s="30" t="s">
        <v>276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277</v>
      </c>
    </row>
    <row r="35" customFormat="false" ht="15" hidden="false" customHeight="true" outlineLevel="0" collapsed="false">
      <c r="A35" s="9" t="s">
        <v>278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279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280</v>
      </c>
    </row>
    <row r="38" customFormat="false" ht="15" hidden="false" customHeight="true" outlineLevel="0" collapsed="false">
      <c r="A38" s="43" t="s">
        <v>281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282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283</v>
      </c>
      <c r="I39" s="21" t="s">
        <v>284</v>
      </c>
    </row>
    <row r="40" customFormat="false" ht="15" hidden="false" customHeight="true" outlineLevel="0" collapsed="false">
      <c r="A40" s="30" t="s">
        <v>285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286</v>
      </c>
    </row>
    <row r="41" customFormat="false" ht="15" hidden="false" customHeight="true" outlineLevel="0" collapsed="false">
      <c r="A41" s="30" t="s">
        <v>287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288</v>
      </c>
      <c r="I41" s="21" t="s">
        <v>289</v>
      </c>
    </row>
    <row r="43" customFormat="false" ht="15" hidden="false" customHeight="true" outlineLevel="0" collapsed="false">
      <c r="A43" s="57" t="s">
        <v>290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291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292</v>
      </c>
    </row>
    <row r="45" customFormat="false" ht="15" hidden="false" customHeight="true" outlineLevel="0" collapsed="false">
      <c r="A45" s="44" t="s">
        <v>293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294</v>
      </c>
      <c r="I45" s="21" t="s">
        <v>295</v>
      </c>
    </row>
    <row r="46" customFormat="false" ht="15" hidden="false" customHeight="true" outlineLevel="0" collapsed="false">
      <c r="A46" s="44" t="s">
        <v>296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297</v>
      </c>
      <c r="I46" s="21" t="s">
        <v>298</v>
      </c>
    </row>
    <row r="48" customFormat="false" ht="15" hidden="false" customHeight="true" outlineLevel="0" collapsed="false">
      <c r="A48" s="43" t="s">
        <v>299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300</v>
      </c>
      <c r="B49" s="30" t="s">
        <v>136</v>
      </c>
      <c r="C49" s="54" t="n">
        <v>1.5</v>
      </c>
      <c r="H49" s="45" t="s">
        <v>301</v>
      </c>
    </row>
    <row r="50" customFormat="false" ht="15" hidden="false" customHeight="true" outlineLevel="0" collapsed="false">
      <c r="A50" s="30" t="s">
        <v>302</v>
      </c>
      <c r="B50" s="30" t="s">
        <v>136</v>
      </c>
      <c r="C50" s="54" t="n">
        <v>2.5</v>
      </c>
      <c r="H50" s="45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304</v>
      </c>
    </row>
    <row r="2" customFormat="false" ht="15" hidden="false" customHeight="false" outlineLevel="0" collapsed="false">
      <c r="A2" s="59" t="s">
        <v>305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112</v>
      </c>
      <c r="B4" s="60" t="s">
        <v>113</v>
      </c>
      <c r="C4" s="10" t="s">
        <v>306</v>
      </c>
      <c r="D4" s="10" t="s">
        <v>307</v>
      </c>
      <c r="E4" s="10" t="s">
        <v>308</v>
      </c>
      <c r="F4" s="60" t="s">
        <v>117</v>
      </c>
      <c r="G4" s="60" t="s">
        <v>118</v>
      </c>
    </row>
    <row r="5" customFormat="false" ht="15" hidden="false" customHeight="false" outlineLevel="0" collapsed="false">
      <c r="A5" s="61" t="s">
        <v>309</v>
      </c>
      <c r="B5" s="61"/>
      <c r="C5" s="62" t="s">
        <v>310</v>
      </c>
      <c r="D5" s="62" t="s">
        <v>311</v>
      </c>
      <c r="E5" s="61" t="s">
        <v>312</v>
      </c>
      <c r="F5" s="59" t="s">
        <v>122</v>
      </c>
      <c r="G5" s="59" t="s">
        <v>313</v>
      </c>
    </row>
    <row r="6" customFormat="false" ht="15" hidden="false" customHeight="false" outlineLevel="0" collapsed="false">
      <c r="A6" s="61" t="s">
        <v>314</v>
      </c>
      <c r="B6" s="62" t="s">
        <v>315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132</v>
      </c>
      <c r="G6" s="59" t="s">
        <v>316</v>
      </c>
    </row>
    <row r="7" customFormat="false" ht="15" hidden="false" customHeight="false" outlineLevel="0" collapsed="false">
      <c r="A7" s="61" t="s">
        <v>317</v>
      </c>
      <c r="B7" s="62" t="s">
        <v>315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132</v>
      </c>
      <c r="G7" s="59" t="s">
        <v>318</v>
      </c>
    </row>
    <row r="8" customFormat="false" ht="15" hidden="false" customHeight="false" outlineLevel="0" collapsed="false">
      <c r="A8" s="61" t="s">
        <v>319</v>
      </c>
      <c r="B8" s="61" t="s">
        <v>320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132</v>
      </c>
      <c r="G8" s="59" t="s">
        <v>321</v>
      </c>
    </row>
    <row r="9" customFormat="false" ht="15" hidden="false" customHeight="false" outlineLevel="0" collapsed="false">
      <c r="A9" s="62" t="s">
        <v>322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323</v>
      </c>
      <c r="G9" s="59" t="s">
        <v>324</v>
      </c>
    </row>
    <row r="10" customFormat="false" ht="15" hidden="false" customHeight="false" outlineLevel="0" collapsed="false">
      <c r="A10" s="62" t="s">
        <v>325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323</v>
      </c>
      <c r="G10" s="59" t="s">
        <v>326</v>
      </c>
    </row>
    <row r="11" customFormat="false" ht="15" hidden="false" customHeight="false" outlineLevel="0" collapsed="false">
      <c r="A11" s="62" t="s">
        <v>327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323</v>
      </c>
      <c r="G11" s="59" t="s">
        <v>328</v>
      </c>
    </row>
    <row r="12" customFormat="false" ht="15" hidden="false" customHeight="false" outlineLevel="0" collapsed="false">
      <c r="A12" s="62" t="s">
        <v>329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323</v>
      </c>
      <c r="G12" s="59"/>
    </row>
    <row r="13" customFormat="false" ht="15" hidden="false" customHeight="false" outlineLevel="0" collapsed="false">
      <c r="A13" s="61" t="s">
        <v>330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323</v>
      </c>
      <c r="G13" s="59"/>
    </row>
    <row r="14" customFormat="false" ht="15" hidden="false" customHeight="false" outlineLevel="0" collapsed="false">
      <c r="A14" s="62" t="s">
        <v>331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168</v>
      </c>
      <c r="G14" s="59"/>
    </row>
    <row r="15" customFormat="false" ht="15" hidden="false" customHeight="false" outlineLevel="0" collapsed="false">
      <c r="A15" s="62" t="s">
        <v>332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323</v>
      </c>
      <c r="G15" s="59"/>
      <c r="H15" s="65" t="s">
        <v>333</v>
      </c>
    </row>
    <row r="16" customFormat="false" ht="15" hidden="false" customHeight="false" outlineLevel="0" collapsed="false">
      <c r="A16" s="61" t="s">
        <v>334</v>
      </c>
      <c r="B16" s="62" t="s">
        <v>131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323</v>
      </c>
      <c r="G16" s="59" t="s">
        <v>335</v>
      </c>
    </row>
    <row r="17" customFormat="false" ht="15" hidden="false" customHeight="false" outlineLevel="0" collapsed="false">
      <c r="A17" s="61" t="s">
        <v>336</v>
      </c>
      <c r="B17" s="62" t="s">
        <v>337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180</v>
      </c>
      <c r="G17" s="59" t="s">
        <v>338</v>
      </c>
    </row>
    <row r="18" customFormat="false" ht="15" hidden="false" customHeight="false" outlineLevel="0" collapsed="false">
      <c r="A18" s="61" t="s">
        <v>339</v>
      </c>
      <c r="B18" s="62" t="s">
        <v>136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168</v>
      </c>
      <c r="G18" s="59" t="s">
        <v>340</v>
      </c>
    </row>
    <row r="19" customFormat="false" ht="15" hidden="false" customHeight="false" outlineLevel="0" collapsed="false">
      <c r="A19" s="61" t="s">
        <v>341</v>
      </c>
      <c r="B19" s="62" t="s">
        <v>337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168</v>
      </c>
      <c r="G19" s="65"/>
    </row>
    <row r="20" customFormat="false" ht="15" hidden="false" customHeight="false" outlineLevel="0" collapsed="false">
      <c r="A20" s="62" t="s">
        <v>342</v>
      </c>
      <c r="B20" s="61" t="s">
        <v>126</v>
      </c>
      <c r="E20" s="68" t="n">
        <v>2</v>
      </c>
      <c r="F20" s="59" t="s">
        <v>122</v>
      </c>
      <c r="G20" s="59" t="s">
        <v>343</v>
      </c>
    </row>
    <row r="21" customFormat="false" ht="15" hidden="false" customHeight="false" outlineLevel="0" collapsed="false">
      <c r="A21" s="62" t="s">
        <v>344</v>
      </c>
      <c r="B21" s="62" t="s">
        <v>315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345</v>
      </c>
      <c r="G21" s="59" t="s">
        <v>346</v>
      </c>
    </row>
    <row r="22" customFormat="false" ht="15" hidden="false" customHeight="false" outlineLevel="0" collapsed="false">
      <c r="A22" s="62" t="s">
        <v>347</v>
      </c>
      <c r="B22" s="62" t="s">
        <v>315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345</v>
      </c>
      <c r="G22" s="59" t="s">
        <v>348</v>
      </c>
    </row>
    <row r="23" customFormat="false" ht="15" hidden="false" customHeight="false" outlineLevel="0" collapsed="false">
      <c r="A23" s="62" t="s">
        <v>349</v>
      </c>
      <c r="B23" s="62" t="s">
        <v>315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345</v>
      </c>
      <c r="G23" s="59" t="s">
        <v>350</v>
      </c>
    </row>
    <row r="24" customFormat="false" ht="15" hidden="false" customHeight="false" outlineLevel="0" collapsed="false">
      <c r="A24" s="70" t="s">
        <v>351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352</v>
      </c>
      <c r="B25" s="62" t="s">
        <v>315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353</v>
      </c>
    </row>
    <row r="27" customFormat="false" ht="15" hidden="false" customHeight="false" outlineLevel="0" collapsed="false">
      <c r="A27" s="61" t="s">
        <v>354</v>
      </c>
      <c r="B27" s="62" t="s">
        <v>315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355</v>
      </c>
    </row>
    <row r="28" customFormat="false" ht="15" hidden="false" customHeight="false" outlineLevel="0" collapsed="false">
      <c r="A28" s="61" t="s">
        <v>356</v>
      </c>
      <c r="B28" s="62" t="s">
        <v>315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357</v>
      </c>
      <c r="B29" s="62" t="s">
        <v>315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358</v>
      </c>
      <c r="B30" s="62" t="s">
        <v>359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360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361</v>
      </c>
    </row>
    <row r="32" customFormat="false" ht="15" hidden="false" customHeight="false" outlineLevel="0" collapsed="false">
      <c r="A32" s="61" t="s">
        <v>362</v>
      </c>
      <c r="B32" s="62" t="s">
        <v>337</v>
      </c>
      <c r="C32" s="64" t="n">
        <v>128000</v>
      </c>
      <c r="F32" s="65" t="s">
        <v>363</v>
      </c>
      <c r="G32" s="65" t="s">
        <v>364</v>
      </c>
    </row>
    <row r="33" customFormat="false" ht="15" hidden="false" customHeight="false" outlineLevel="0" collapsed="false">
      <c r="A33" s="77" t="s">
        <v>365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366</v>
      </c>
      <c r="B34" s="62" t="s">
        <v>315</v>
      </c>
      <c r="C34" s="64" t="n">
        <v>65</v>
      </c>
      <c r="D34" s="64" t="n">
        <v>65</v>
      </c>
      <c r="F34" s="59" t="s">
        <v>132</v>
      </c>
      <c r="G34" s="59" t="s">
        <v>367</v>
      </c>
    </row>
    <row r="35" customFormat="false" ht="15" hidden="false" customHeight="false" outlineLevel="0" collapsed="false">
      <c r="A35" s="62" t="s">
        <v>368</v>
      </c>
      <c r="B35" s="61" t="s">
        <v>369</v>
      </c>
      <c r="E35" s="64" t="n">
        <v>576</v>
      </c>
      <c r="F35" s="59" t="s">
        <v>137</v>
      </c>
      <c r="G35" s="65" t="s">
        <v>370</v>
      </c>
    </row>
    <row r="36" customFormat="false" ht="15" hidden="false" customHeight="false" outlineLevel="0" collapsed="false">
      <c r="A36" s="62" t="s">
        <v>371</v>
      </c>
      <c r="B36" s="62" t="s">
        <v>131</v>
      </c>
      <c r="E36" s="67" t="n">
        <v>0.26</v>
      </c>
      <c r="F36" s="59" t="s">
        <v>132</v>
      </c>
      <c r="G36" s="65" t="s">
        <v>372</v>
      </c>
    </row>
    <row r="37" customFormat="false" ht="15" hidden="false" customHeight="false" outlineLevel="0" collapsed="false">
      <c r="A37" s="62" t="s">
        <v>373</v>
      </c>
      <c r="B37" s="61" t="s">
        <v>374</v>
      </c>
      <c r="E37" s="64" t="n">
        <v>8</v>
      </c>
      <c r="F37" s="59" t="s">
        <v>132</v>
      </c>
      <c r="G37" s="59" t="s">
        <v>375</v>
      </c>
    </row>
    <row r="38" customFormat="false" ht="15" hidden="false" customHeight="false" outlineLevel="0" collapsed="false">
      <c r="A38" s="62" t="s">
        <v>376</v>
      </c>
      <c r="B38" s="62" t="s">
        <v>315</v>
      </c>
      <c r="C38" s="63" t="n">
        <f aca="false">SRC_HW_055</f>
        <v>1</v>
      </c>
      <c r="F38" s="65" t="s">
        <v>377</v>
      </c>
      <c r="G38" s="59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379</v>
      </c>
    </row>
    <row r="2" customFormat="false" ht="15" hidden="false" customHeight="false" outlineLevel="0" collapsed="false">
      <c r="A2" s="65" t="s">
        <v>380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381</v>
      </c>
      <c r="B4" s="60" t="s">
        <v>113</v>
      </c>
      <c r="C4" s="60" t="s">
        <v>382</v>
      </c>
      <c r="D4" s="60" t="s">
        <v>117</v>
      </c>
      <c r="E4" s="60"/>
      <c r="F4" s="60" t="s">
        <v>383</v>
      </c>
    </row>
    <row r="5" customFormat="false" ht="15" hidden="false" customHeight="false" outlineLevel="0" collapsed="false">
      <c r="A5" s="61" t="s">
        <v>384</v>
      </c>
      <c r="B5" s="61"/>
      <c r="C5" s="61" t="s">
        <v>385</v>
      </c>
      <c r="D5" s="59" t="s">
        <v>122</v>
      </c>
      <c r="F5" s="59" t="s">
        <v>386</v>
      </c>
    </row>
    <row r="6" customFormat="false" ht="15" hidden="false" customHeight="false" outlineLevel="0" collapsed="false">
      <c r="A6" s="62" t="s">
        <v>387</v>
      </c>
      <c r="B6" s="62" t="s">
        <v>337</v>
      </c>
      <c r="C6" s="68" t="n">
        <v>3</v>
      </c>
      <c r="D6" s="59" t="s">
        <v>137</v>
      </c>
      <c r="F6" s="59" t="s">
        <v>388</v>
      </c>
    </row>
    <row r="7" customFormat="false" ht="15" hidden="false" customHeight="false" outlineLevel="0" collapsed="false">
      <c r="A7" s="61" t="s">
        <v>389</v>
      </c>
      <c r="B7" s="62" t="s">
        <v>131</v>
      </c>
      <c r="C7" s="66" t="n">
        <f aca="false">SRC_PERF_005</f>
        <v>0.7</v>
      </c>
      <c r="D7" s="59" t="s">
        <v>390</v>
      </c>
      <c r="F7" s="59" t="s">
        <v>391</v>
      </c>
    </row>
    <row r="8" customFormat="false" ht="15" hidden="false" customHeight="false" outlineLevel="0" collapsed="false">
      <c r="A8" s="61" t="s">
        <v>392</v>
      </c>
      <c r="B8" s="62" t="s">
        <v>337</v>
      </c>
      <c r="C8" s="78" t="n">
        <f aca="false">(1-C7^(C6+1))/(1-C7)</f>
        <v>2.533</v>
      </c>
      <c r="D8" s="59" t="s">
        <v>180</v>
      </c>
      <c r="F8" s="59" t="s">
        <v>393</v>
      </c>
    </row>
    <row r="9" customFormat="false" ht="15" hidden="false" customHeight="false" outlineLevel="0" collapsed="false">
      <c r="A9" s="62" t="s">
        <v>394</v>
      </c>
      <c r="B9" s="62" t="s">
        <v>131</v>
      </c>
      <c r="C9" s="67" t="n">
        <v>0.1</v>
      </c>
      <c r="D9" s="59" t="s">
        <v>132</v>
      </c>
      <c r="F9" s="65" t="s">
        <v>395</v>
      </c>
    </row>
    <row r="10" customFormat="false" ht="15" hidden="false" customHeight="false" outlineLevel="0" collapsed="false">
      <c r="A10" s="61" t="s">
        <v>396</v>
      </c>
      <c r="B10" s="62" t="s">
        <v>131</v>
      </c>
      <c r="C10" s="67" t="n">
        <v>0.2</v>
      </c>
      <c r="D10" s="59" t="s">
        <v>132</v>
      </c>
      <c r="F10" s="65" t="s">
        <v>397</v>
      </c>
    </row>
    <row r="11" customFormat="false" ht="15" hidden="false" customHeight="false" outlineLevel="0" collapsed="false">
      <c r="A11" s="61" t="s">
        <v>398</v>
      </c>
      <c r="B11" s="62" t="s">
        <v>131</v>
      </c>
      <c r="C11" s="67" t="n">
        <v>0.4</v>
      </c>
      <c r="D11" s="59" t="s">
        <v>132</v>
      </c>
      <c r="F11" s="65" t="s">
        <v>399</v>
      </c>
    </row>
    <row r="12" customFormat="false" ht="15" hidden="false" customHeight="false" outlineLevel="0" collapsed="false">
      <c r="A12" s="62" t="s">
        <v>400</v>
      </c>
      <c r="B12" s="62" t="s">
        <v>315</v>
      </c>
      <c r="C12" s="79" t="n">
        <v>3</v>
      </c>
      <c r="D12" s="59" t="s">
        <v>137</v>
      </c>
      <c r="F12" s="59" t="s">
        <v>401</v>
      </c>
    </row>
    <row r="13" customFormat="false" ht="15" hidden="false" customHeight="false" outlineLevel="0" collapsed="false">
      <c r="A13" s="62" t="s">
        <v>402</v>
      </c>
      <c r="B13" s="62" t="s">
        <v>131</v>
      </c>
      <c r="C13" s="67" t="n">
        <v>0.7</v>
      </c>
      <c r="D13" s="59" t="s">
        <v>137</v>
      </c>
      <c r="F13" s="65" t="s">
        <v>403</v>
      </c>
    </row>
    <row r="14" customFormat="false" ht="15" hidden="false" customHeight="false" outlineLevel="0" collapsed="false">
      <c r="A14" s="62" t="s">
        <v>404</v>
      </c>
      <c r="B14" s="62" t="s">
        <v>131</v>
      </c>
      <c r="C14" s="67" t="n">
        <v>0.7</v>
      </c>
      <c r="D14" s="59" t="s">
        <v>137</v>
      </c>
      <c r="F14" s="65" t="s">
        <v>403</v>
      </c>
    </row>
    <row r="15" customFormat="false" ht="15" hidden="false" customHeight="false" outlineLevel="0" collapsed="false">
      <c r="A15" s="61" t="s">
        <v>405</v>
      </c>
      <c r="B15" s="62" t="s">
        <v>406</v>
      </c>
      <c r="C15" s="80" t="n">
        <v>0.1</v>
      </c>
      <c r="D15" s="59" t="s">
        <v>132</v>
      </c>
      <c r="F15" s="65" t="s">
        <v>407</v>
      </c>
    </row>
    <row r="16" customFormat="false" ht="15" hidden="false" customHeight="false" outlineLevel="0" collapsed="false">
      <c r="A16" s="61" t="s">
        <v>408</v>
      </c>
      <c r="B16" s="61" t="s">
        <v>126</v>
      </c>
      <c r="C16" s="68" t="n">
        <v>1</v>
      </c>
      <c r="D16" s="59" t="s">
        <v>122</v>
      </c>
      <c r="F16" s="59" t="s">
        <v>409</v>
      </c>
    </row>
    <row r="17" customFormat="false" ht="15" hidden="false" customHeight="false" outlineLevel="0" collapsed="false">
      <c r="A17" s="61" t="s">
        <v>410</v>
      </c>
      <c r="B17" s="62" t="s">
        <v>131</v>
      </c>
      <c r="C17" s="81" t="n">
        <v>0.6</v>
      </c>
      <c r="D17" s="59" t="s">
        <v>132</v>
      </c>
      <c r="F17" s="59" t="s">
        <v>411</v>
      </c>
    </row>
    <row r="18" customFormat="false" ht="15" hidden="false" customHeight="false" outlineLevel="0" collapsed="false">
      <c r="A18" s="61" t="s">
        <v>412</v>
      </c>
      <c r="B18" s="62" t="s">
        <v>136</v>
      </c>
      <c r="C18" s="82" t="n">
        <v>1</v>
      </c>
      <c r="D18" s="59" t="s">
        <v>132</v>
      </c>
      <c r="F18" s="65" t="s">
        <v>413</v>
      </c>
    </row>
    <row r="19" customFormat="false" ht="15" hidden="false" customHeight="false" outlineLevel="0" collapsed="false">
      <c r="A19" s="70" t="s">
        <v>414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415</v>
      </c>
      <c r="B20" s="60" t="s">
        <v>113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383</v>
      </c>
      <c r="G20" s="65" t="s">
        <v>416</v>
      </c>
    </row>
    <row r="21" customFormat="false" ht="15" hidden="false" customHeight="false" outlineLevel="0" collapsed="false">
      <c r="A21" s="62" t="s">
        <v>417</v>
      </c>
      <c r="B21" s="62" t="s">
        <v>418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419</v>
      </c>
    </row>
    <row r="22" customFormat="false" ht="15" hidden="false" customHeight="false" outlineLevel="0" collapsed="false">
      <c r="A22" s="62" t="s">
        <v>420</v>
      </c>
      <c r="B22" s="62" t="s">
        <v>421</v>
      </c>
      <c r="C22" s="79" t="n">
        <v>2</v>
      </c>
      <c r="D22" s="79" t="n">
        <v>3</v>
      </c>
      <c r="E22" s="79" t="n">
        <v>5</v>
      </c>
      <c r="F22" s="59" t="s">
        <v>132</v>
      </c>
    </row>
    <row r="23" customFormat="false" ht="15" hidden="false" customHeight="false" outlineLevel="0" collapsed="false">
      <c r="A23" s="61" t="s">
        <v>422</v>
      </c>
      <c r="B23" s="62" t="s">
        <v>337</v>
      </c>
      <c r="C23" s="64" t="n">
        <v>8192</v>
      </c>
      <c r="D23" s="64" t="n">
        <v>16384</v>
      </c>
      <c r="E23" s="64" t="n">
        <v>32768</v>
      </c>
      <c r="F23" s="59" t="s">
        <v>423</v>
      </c>
    </row>
    <row r="24" customFormat="false" ht="15" hidden="false" customHeight="false" outlineLevel="0" collapsed="false">
      <c r="A24" s="61" t="s">
        <v>424</v>
      </c>
      <c r="B24" s="62" t="s">
        <v>337</v>
      </c>
      <c r="C24" s="64" t="n">
        <v>1024</v>
      </c>
      <c r="D24" s="64" t="n">
        <v>2048</v>
      </c>
      <c r="E24" s="64" t="n">
        <v>4096</v>
      </c>
      <c r="F24" s="59" t="s">
        <v>132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180</v>
      </c>
      <c r="G25" s="65" t="s">
        <v>425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180</v>
      </c>
      <c r="G26" s="65" t="s">
        <v>353</v>
      </c>
    </row>
    <row r="28" customFormat="false" ht="15" hidden="false" customHeight="false" outlineLevel="0" collapsed="false">
      <c r="A28" s="61" t="s">
        <v>426</v>
      </c>
      <c r="B28" s="62" t="s">
        <v>136</v>
      </c>
      <c r="C28" s="82" t="n">
        <v>0.85</v>
      </c>
      <c r="D28" s="59" t="s">
        <v>132</v>
      </c>
      <c r="F28" s="59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428</v>
      </c>
    </row>
    <row r="2" customFormat="false" ht="15" hidden="false" customHeight="false" outlineLevel="0" collapsed="false">
      <c r="A2" s="65" t="s">
        <v>429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112</v>
      </c>
      <c r="B4" s="60" t="s">
        <v>113</v>
      </c>
      <c r="C4" s="84" t="s">
        <v>430</v>
      </c>
      <c r="D4" s="84" t="s">
        <v>431</v>
      </c>
      <c r="E4" s="84" t="s">
        <v>432</v>
      </c>
      <c r="F4" s="84" t="s">
        <v>433</v>
      </c>
      <c r="G4" s="85" t="s">
        <v>434</v>
      </c>
      <c r="H4" s="60" t="s">
        <v>383</v>
      </c>
    </row>
    <row r="5" customFormat="false" ht="15" hidden="false" customHeight="false" outlineLevel="0" collapsed="false">
      <c r="A5" s="61" t="s">
        <v>435</v>
      </c>
      <c r="B5" s="61" t="s">
        <v>436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437</v>
      </c>
    </row>
    <row r="6" customFormat="false" ht="15" hidden="false" customHeight="false" outlineLevel="0" collapsed="false">
      <c r="A6" s="61" t="s">
        <v>438</v>
      </c>
      <c r="B6" s="62" t="s">
        <v>337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132</v>
      </c>
    </row>
    <row r="7" customFormat="false" ht="15" hidden="false" customHeight="false" outlineLevel="0" collapsed="false">
      <c r="A7" s="61" t="s">
        <v>439</v>
      </c>
      <c r="B7" s="62" t="s">
        <v>337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132</v>
      </c>
    </row>
    <row r="8" customFormat="false" ht="15" hidden="false" customHeight="false" outlineLevel="0" collapsed="false">
      <c r="A8" s="61" t="s">
        <v>440</v>
      </c>
      <c r="B8" s="62" t="s">
        <v>337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441</v>
      </c>
    </row>
    <row r="9" customFormat="false" ht="15" hidden="false" customHeight="false" outlineLevel="0" collapsed="false">
      <c r="A9" s="61" t="s">
        <v>442</v>
      </c>
      <c r="B9" s="62" t="s">
        <v>337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132</v>
      </c>
    </row>
    <row r="10" customFormat="false" ht="15" hidden="false" customHeight="false" outlineLevel="0" collapsed="false">
      <c r="A10" s="61" t="s">
        <v>443</v>
      </c>
      <c r="B10" s="62" t="s">
        <v>131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444</v>
      </c>
    </row>
    <row r="11" customFormat="false" ht="15" hidden="false" customHeight="false" outlineLevel="0" collapsed="false">
      <c r="A11" s="61" t="s">
        <v>445</v>
      </c>
      <c r="B11" s="62" t="s">
        <v>131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446</v>
      </c>
    </row>
    <row r="12" customFormat="false" ht="15" hidden="false" customHeight="false" outlineLevel="0" collapsed="false">
      <c r="A12" s="61" t="s">
        <v>447</v>
      </c>
      <c r="B12" s="61" t="s">
        <v>374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448</v>
      </c>
    </row>
    <row r="13" customFormat="false" ht="15" hidden="false" customHeight="false" outlineLevel="0" collapsed="false">
      <c r="A13" s="62" t="s">
        <v>449</v>
      </c>
      <c r="B13" s="62" t="s">
        <v>136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450</v>
      </c>
    </row>
    <row r="14" customFormat="false" ht="15" hidden="false" customHeight="false" outlineLevel="0" collapsed="false">
      <c r="A14" s="61" t="s">
        <v>451</v>
      </c>
      <c r="B14" s="62" t="s">
        <v>136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452</v>
      </c>
    </row>
    <row r="16" customFormat="false" ht="15" hidden="false" customHeight="false" outlineLevel="0" collapsed="false">
      <c r="A16" s="70" t="s">
        <v>453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454</v>
      </c>
    </row>
    <row r="18" customFormat="false" ht="15" hidden="false" customHeight="false" outlineLevel="0" collapsed="false">
      <c r="A18" s="61" t="s">
        <v>455</v>
      </c>
      <c r="B18" s="61" t="s">
        <v>436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456</v>
      </c>
      <c r="B19" s="62" t="s">
        <v>337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457</v>
      </c>
      <c r="B20" s="62" t="s">
        <v>131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458</v>
      </c>
      <c r="B21" s="62" t="s">
        <v>131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459</v>
      </c>
      <c r="B22" s="61" t="s">
        <v>374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460</v>
      </c>
      <c r="B23" s="62" t="s">
        <v>136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461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462</v>
      </c>
      <c r="B26" s="62" t="s">
        <v>337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463</v>
      </c>
      <c r="B27" s="62" t="s">
        <v>337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464</v>
      </c>
      <c r="B28" s="62" t="s">
        <v>337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465</v>
      </c>
      <c r="B29" s="62" t="s">
        <v>337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466</v>
      </c>
      <c r="B30" s="62" t="s">
        <v>337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467</v>
      </c>
      <c r="B31" s="62" t="s">
        <v>136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468</v>
      </c>
      <c r="B32" s="62" t="s">
        <v>337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469</v>
      </c>
      <c r="B33" s="62" t="s">
        <v>337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470</v>
      </c>
      <c r="B34" s="62" t="s">
        <v>337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471</v>
      </c>
      <c r="B35" s="62" t="s">
        <v>337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472</v>
      </c>
      <c r="I36" s="65" t="s">
        <v>473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474</v>
      </c>
    </row>
    <row r="38" customFormat="false" ht="15" hidden="false" customHeight="false" outlineLevel="0" collapsed="false">
      <c r="A38" s="61" t="s">
        <v>475</v>
      </c>
      <c r="B38" s="62" t="s">
        <v>136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476</v>
      </c>
    </row>
    <row r="40" customFormat="false" ht="39.55" hidden="false" customHeight="false" outlineLevel="0" collapsed="false">
      <c r="A40" s="61" t="s">
        <v>477</v>
      </c>
      <c r="B40" s="62" t="s">
        <v>136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478</v>
      </c>
      <c r="I40" s="65" t="s">
        <v>479</v>
      </c>
    </row>
    <row r="42" customFormat="false" ht="15" hidden="false" customHeight="false" outlineLevel="0" collapsed="false">
      <c r="A42" s="70" t="s">
        <v>480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481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482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483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484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485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487</v>
      </c>
    </row>
    <row r="2" customFormat="false" ht="15" hidden="false" customHeight="false" outlineLevel="0" collapsed="false">
      <c r="A2" s="65" t="s">
        <v>488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489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490</v>
      </c>
      <c r="B5" s="62" t="s">
        <v>131</v>
      </c>
      <c r="C5" s="67" t="n">
        <v>0.3</v>
      </c>
      <c r="J5" s="59" t="s">
        <v>491</v>
      </c>
    </row>
    <row r="7" customFormat="false" ht="15" hidden="false" customHeight="false" outlineLevel="0" collapsed="false">
      <c r="A7" s="77" t="s">
        <v>492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415</v>
      </c>
      <c r="B8" s="60" t="s">
        <v>113</v>
      </c>
    </row>
    <row r="9" customFormat="false" ht="15" hidden="false" customHeight="false" outlineLevel="0" collapsed="false">
      <c r="A9" s="61" t="s">
        <v>2</v>
      </c>
      <c r="B9" s="61"/>
      <c r="C9" s="60" t="s">
        <v>493</v>
      </c>
      <c r="D9" s="60" t="s">
        <v>494</v>
      </c>
      <c r="E9" s="60" t="s">
        <v>495</v>
      </c>
      <c r="F9" s="60" t="s">
        <v>496</v>
      </c>
      <c r="G9" s="60" t="s">
        <v>496</v>
      </c>
      <c r="H9" s="60" t="s">
        <v>497</v>
      </c>
      <c r="I9" s="60" t="s">
        <v>497</v>
      </c>
    </row>
    <row r="10" customFormat="false" ht="15" hidden="false" customHeight="false" outlineLevel="0" collapsed="false">
      <c r="A10" s="61" t="s">
        <v>498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499</v>
      </c>
    </row>
    <row r="11" customFormat="false" ht="15" hidden="false" customHeight="false" outlineLevel="0" collapsed="false">
      <c r="A11" s="61" t="s">
        <v>204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500</v>
      </c>
    </row>
    <row r="12" customFormat="false" ht="30" hidden="false" customHeight="true" outlineLevel="0" collapsed="false">
      <c r="A12" s="61" t="s">
        <v>501</v>
      </c>
      <c r="B12" s="61"/>
      <c r="C12" s="88" t="s">
        <v>502</v>
      </c>
      <c r="D12" s="88" t="s">
        <v>502</v>
      </c>
      <c r="E12" s="88" t="s">
        <v>503</v>
      </c>
      <c r="F12" s="88" t="s">
        <v>504</v>
      </c>
      <c r="G12" s="88" t="s">
        <v>504</v>
      </c>
      <c r="H12" s="88" t="s">
        <v>505</v>
      </c>
      <c r="I12" s="88" t="s">
        <v>505</v>
      </c>
    </row>
    <row r="13" customFormat="false" ht="15" hidden="false" customHeight="false" outlineLevel="0" collapsed="false">
      <c r="A13" s="62" t="s">
        <v>506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507</v>
      </c>
    </row>
    <row r="14" customFormat="false" ht="15" hidden="false" customHeight="false" outlineLevel="0" collapsed="false">
      <c r="A14" s="61" t="s">
        <v>508</v>
      </c>
      <c r="B14" s="62" t="s">
        <v>418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509</v>
      </c>
    </row>
    <row r="15" customFormat="false" ht="15" hidden="false" customHeight="false" outlineLevel="0" collapsed="false">
      <c r="A15" s="62" t="s">
        <v>510</v>
      </c>
      <c r="B15" s="62" t="s">
        <v>337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511</v>
      </c>
    </row>
    <row r="16" customFormat="false" ht="15" hidden="false" customHeight="false" outlineLevel="0" collapsed="false">
      <c r="A16" s="62" t="s">
        <v>512</v>
      </c>
      <c r="B16" s="62" t="s">
        <v>337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513</v>
      </c>
    </row>
    <row r="17" customFormat="false" ht="15" hidden="false" customHeight="false" outlineLevel="0" collapsed="false">
      <c r="A17" s="61" t="s">
        <v>514</v>
      </c>
      <c r="B17" s="62" t="s">
        <v>418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515</v>
      </c>
    </row>
    <row r="18" customFormat="false" ht="15" hidden="false" customHeight="false" outlineLevel="0" collapsed="false">
      <c r="A18" s="61" t="s">
        <v>516</v>
      </c>
      <c r="B18" s="61"/>
      <c r="C18" s="59" t="s">
        <v>517</v>
      </c>
      <c r="D18" s="59" t="s">
        <v>517</v>
      </c>
      <c r="E18" s="59" t="s">
        <v>518</v>
      </c>
      <c r="F18" s="59" t="s">
        <v>519</v>
      </c>
      <c r="G18" s="59" t="s">
        <v>519</v>
      </c>
      <c r="H18" s="59" t="s">
        <v>520</v>
      </c>
      <c r="I18" s="59" t="s">
        <v>520</v>
      </c>
    </row>
    <row r="19" customFormat="false" ht="26.85" hidden="false" customHeight="false" outlineLevel="0" collapsed="false">
      <c r="A19" s="61" t="s">
        <v>521</v>
      </c>
      <c r="B19" s="61"/>
      <c r="C19" s="88" t="s">
        <v>522</v>
      </c>
      <c r="D19" s="88" t="s">
        <v>522</v>
      </c>
      <c r="E19" s="88" t="s">
        <v>522</v>
      </c>
      <c r="F19" s="88" t="s">
        <v>522</v>
      </c>
      <c r="G19" s="88" t="s">
        <v>522</v>
      </c>
      <c r="H19" s="88" t="s">
        <v>522</v>
      </c>
      <c r="I19" s="88" t="s">
        <v>522</v>
      </c>
      <c r="J19" s="93" t="s">
        <v>523</v>
      </c>
    </row>
    <row r="20" customFormat="false" ht="30" hidden="false" customHeight="true" outlineLevel="0" collapsed="false">
      <c r="A20" s="61" t="s">
        <v>524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525</v>
      </c>
    </row>
    <row r="21" customFormat="false" ht="26.85" hidden="false" customHeight="false" outlineLevel="0" collapsed="false">
      <c r="A21" s="61" t="s">
        <v>526</v>
      </c>
      <c r="B21" s="61"/>
      <c r="C21" s="93" t="s">
        <v>527</v>
      </c>
      <c r="D21" s="93" t="s">
        <v>527</v>
      </c>
      <c r="E21" s="93" t="s">
        <v>527</v>
      </c>
      <c r="F21" s="93" t="s">
        <v>527</v>
      </c>
      <c r="G21" s="93" t="s">
        <v>527</v>
      </c>
      <c r="H21" s="93" t="s">
        <v>527</v>
      </c>
      <c r="I21" s="93" t="s">
        <v>527</v>
      </c>
    </row>
    <row r="22" customFormat="false" ht="15" hidden="false" customHeight="false" outlineLevel="0" collapsed="false">
      <c r="A22" s="77" t="s">
        <v>528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529</v>
      </c>
      <c r="B23" s="62" t="s">
        <v>530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531</v>
      </c>
    </row>
    <row r="24" customFormat="false" ht="15" hidden="false" customHeight="false" outlineLevel="0" collapsed="false">
      <c r="A24" s="62" t="s">
        <v>532</v>
      </c>
      <c r="B24" s="62" t="s">
        <v>533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534</v>
      </c>
    </row>
    <row r="25" customFormat="false" ht="15" hidden="false" customHeight="false" outlineLevel="0" collapsed="false">
      <c r="A25" s="62" t="s">
        <v>535</v>
      </c>
      <c r="B25" s="62" t="s">
        <v>536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537</v>
      </c>
    </row>
    <row r="26" customFormat="false" ht="15" hidden="false" customHeight="false" outlineLevel="0" collapsed="false">
      <c r="A26" s="62" t="s">
        <v>538</v>
      </c>
      <c r="B26" s="62" t="s">
        <v>536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539</v>
      </c>
    </row>
    <row r="27" customFormat="false" ht="15" hidden="false" customHeight="false" outlineLevel="0" collapsed="false">
      <c r="A27" s="62" t="s">
        <v>540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541</v>
      </c>
    </row>
    <row r="28" customFormat="false" ht="15" hidden="false" customHeight="false" outlineLevel="0" collapsed="false">
      <c r="A28" s="61" t="s">
        <v>542</v>
      </c>
      <c r="B28" s="62" t="s">
        <v>315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543</v>
      </c>
    </row>
    <row r="29" customFormat="false" ht="15" hidden="false" customHeight="false" outlineLevel="0" collapsed="false">
      <c r="A29" s="61" t="s">
        <v>544</v>
      </c>
      <c r="B29" s="62" t="s">
        <v>315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545</v>
      </c>
    </row>
    <row r="30" customFormat="false" ht="15" hidden="false" customHeight="false" outlineLevel="0" collapsed="false">
      <c r="A30" s="61" t="s">
        <v>317</v>
      </c>
      <c r="B30" s="62" t="s">
        <v>315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546</v>
      </c>
    </row>
    <row r="31" customFormat="false" ht="15" hidden="false" customHeight="false" outlineLevel="0" collapsed="false">
      <c r="A31" s="61" t="s">
        <v>319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547</v>
      </c>
    </row>
    <row r="32" customFormat="false" ht="15" hidden="false" customHeight="false" outlineLevel="0" collapsed="false">
      <c r="A32" s="62" t="s">
        <v>322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548</v>
      </c>
    </row>
    <row r="33" customFormat="false" ht="15" hidden="false" customHeight="false" outlineLevel="0" collapsed="false">
      <c r="A33" s="61" t="s">
        <v>549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550</v>
      </c>
    </row>
    <row r="34" customFormat="false" ht="15" hidden="false" customHeight="false" outlineLevel="0" collapsed="false">
      <c r="A34" s="61" t="s">
        <v>551</v>
      </c>
      <c r="B34" s="62" t="s">
        <v>315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552</v>
      </c>
    </row>
    <row r="35" customFormat="false" ht="15" hidden="false" customHeight="false" outlineLevel="0" collapsed="false">
      <c r="A35" s="61" t="s">
        <v>357</v>
      </c>
      <c r="B35" s="62" t="s">
        <v>315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553</v>
      </c>
    </row>
    <row r="36" customFormat="false" ht="15" hidden="false" customHeight="false" outlineLevel="0" collapsed="false">
      <c r="A36" s="62" t="s">
        <v>554</v>
      </c>
      <c r="B36" s="62" t="s">
        <v>315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555</v>
      </c>
    </row>
    <row r="37" customFormat="false" ht="15" hidden="false" customHeight="false" outlineLevel="0" collapsed="false">
      <c r="A37" s="61" t="s">
        <v>556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557</v>
      </c>
    </row>
    <row r="38" customFormat="false" ht="15" hidden="false" customHeight="false" outlineLevel="0" collapsed="false">
      <c r="A38" s="61" t="s">
        <v>334</v>
      </c>
      <c r="B38" s="62" t="s">
        <v>131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558</v>
      </c>
    </row>
    <row r="39" customFormat="false" ht="15" hidden="false" customHeight="false" outlineLevel="0" collapsed="false">
      <c r="A39" s="61" t="s">
        <v>559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560</v>
      </c>
    </row>
    <row r="40" customFormat="false" ht="15" hidden="false" customHeight="false" outlineLevel="0" collapsed="false">
      <c r="A40" s="61" t="s">
        <v>561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562</v>
      </c>
    </row>
    <row r="41" customFormat="false" ht="15" hidden="false" customHeight="false" outlineLevel="0" collapsed="false">
      <c r="A41" s="61" t="s">
        <v>563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564</v>
      </c>
    </row>
    <row r="42" customFormat="false" ht="15" hidden="false" customHeight="false" outlineLevel="0" collapsed="false">
      <c r="A42" s="62" t="s">
        <v>565</v>
      </c>
      <c r="B42" s="62" t="s">
        <v>337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566</v>
      </c>
    </row>
    <row r="43" customFormat="false" ht="15" hidden="false" customHeight="false" outlineLevel="0" collapsed="false">
      <c r="A43" s="62" t="s">
        <v>567</v>
      </c>
      <c r="B43" s="62" t="s">
        <v>337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568</v>
      </c>
    </row>
    <row r="44" customFormat="false" ht="15" hidden="false" customHeight="false" outlineLevel="0" collapsed="false">
      <c r="A44" s="62" t="s">
        <v>569</v>
      </c>
      <c r="B44" s="62" t="s">
        <v>570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571</v>
      </c>
    </row>
    <row r="45" customFormat="false" ht="15" hidden="false" customHeight="false" outlineLevel="0" collapsed="false">
      <c r="A45" s="62" t="s">
        <v>572</v>
      </c>
      <c r="B45" s="62" t="s">
        <v>337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573</v>
      </c>
    </row>
    <row r="46" customFormat="false" ht="15" hidden="false" customHeight="false" outlineLevel="0" collapsed="false">
      <c r="A46" s="62" t="s">
        <v>574</v>
      </c>
      <c r="B46" s="62" t="s">
        <v>337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575</v>
      </c>
    </row>
    <row r="47" customFormat="false" ht="15" hidden="false" customHeight="false" outlineLevel="0" collapsed="false">
      <c r="A47" s="62" t="s">
        <v>576</v>
      </c>
      <c r="B47" s="62" t="s">
        <v>570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577</v>
      </c>
    </row>
    <row r="48" customFormat="false" ht="15" hidden="false" customHeight="false" outlineLevel="0" collapsed="false">
      <c r="A48" s="61" t="s">
        <v>578</v>
      </c>
      <c r="B48" s="62" t="s">
        <v>533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579</v>
      </c>
    </row>
    <row r="49" customFormat="false" ht="15" hidden="false" customHeight="false" outlineLevel="0" collapsed="false">
      <c r="A49" s="61" t="s">
        <v>580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581</v>
      </c>
    </row>
    <row r="50" customFormat="false" ht="15" hidden="false" customHeight="false" outlineLevel="0" collapsed="false">
      <c r="A50" s="62" t="s">
        <v>582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583</v>
      </c>
    </row>
    <row r="51" customFormat="false" ht="15" hidden="false" customHeight="false" outlineLevel="0" collapsed="false">
      <c r="A51" s="61" t="s">
        <v>584</v>
      </c>
      <c r="B51" s="62" t="s">
        <v>533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585</v>
      </c>
    </row>
    <row r="52" customFormat="false" ht="15" hidden="false" customHeight="false" outlineLevel="0" collapsed="false">
      <c r="A52" s="61" t="s">
        <v>586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587</v>
      </c>
    </row>
    <row r="53" customFormat="false" ht="15" hidden="false" customHeight="false" outlineLevel="0" collapsed="false">
      <c r="A53" s="61" t="s">
        <v>588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589</v>
      </c>
    </row>
    <row r="54" customFormat="false" ht="15" hidden="false" customHeight="false" outlineLevel="0" collapsed="false">
      <c r="A54" s="62" t="s">
        <v>590</v>
      </c>
      <c r="B54" s="62" t="s">
        <v>418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591</v>
      </c>
    </row>
    <row r="55" customFormat="false" ht="15" hidden="false" customHeight="false" outlineLevel="0" collapsed="false">
      <c r="A55" s="61" t="s">
        <v>592</v>
      </c>
      <c r="B55" s="62" t="s">
        <v>593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594</v>
      </c>
    </row>
    <row r="56" customFormat="false" ht="15" hidden="false" customHeight="false" outlineLevel="0" collapsed="false">
      <c r="A56" s="61" t="s">
        <v>595</v>
      </c>
      <c r="B56" s="62" t="s">
        <v>418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596</v>
      </c>
      <c r="K56" s="65" t="s">
        <v>597</v>
      </c>
    </row>
    <row r="57" customFormat="false" ht="15" hidden="false" customHeight="false" outlineLevel="0" collapsed="false">
      <c r="A57" s="61" t="s">
        <v>598</v>
      </c>
      <c r="B57" s="61" t="s">
        <v>599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600</v>
      </c>
    </row>
    <row r="59" customFormat="false" ht="15" hidden="false" customHeight="false" outlineLevel="0" collapsed="false">
      <c r="A59" s="77" t="s">
        <v>601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602</v>
      </c>
      <c r="B60" s="62" t="s">
        <v>131</v>
      </c>
      <c r="C60" s="100" t="n">
        <f aca="false">(C57-D57)*C55/(1000*(C53/C14-D53/D14))</f>
        <v>0.0357550334998836</v>
      </c>
      <c r="J60" s="59" t="s">
        <v>603</v>
      </c>
    </row>
    <row r="61" customFormat="false" ht="15" hidden="false" customHeight="false" outlineLevel="0" collapsed="false">
      <c r="A61" s="61" t="s">
        <v>604</v>
      </c>
      <c r="B61" s="62" t="s">
        <v>593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605</v>
      </c>
      <c r="B62" s="62" t="s">
        <v>606</v>
      </c>
      <c r="C62" s="72" t="n">
        <f aca="false">(C61-C51/C25)*1000/(C31+C52)</f>
        <v>161.185338133698</v>
      </c>
      <c r="J62" s="65" t="s">
        <v>607</v>
      </c>
    </row>
    <row r="63" customFormat="false" ht="15" hidden="false" customHeight="false" outlineLevel="0" collapsed="false">
      <c r="A63" s="61" t="s">
        <v>608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609</v>
      </c>
    </row>
    <row r="65" customFormat="false" ht="15" hidden="false" customHeight="false" outlineLevel="0" collapsed="false">
      <c r="A65" s="77" t="s">
        <v>610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204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611</v>
      </c>
    </row>
    <row r="67" customFormat="false" ht="77.6" hidden="false" customHeight="false" outlineLevel="0" collapsed="false">
      <c r="A67" s="62" t="s">
        <v>612</v>
      </c>
      <c r="B67" s="62" t="s">
        <v>136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613</v>
      </c>
    </row>
    <row r="68" customFormat="false" ht="204.45" hidden="false" customHeight="false" outlineLevel="0" collapsed="false">
      <c r="A68" s="61" t="s">
        <v>614</v>
      </c>
      <c r="B68" s="62" t="s">
        <v>136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615</v>
      </c>
    </row>
    <row r="69" customFormat="false" ht="26.85" hidden="false" customHeight="false" outlineLevel="0" collapsed="false">
      <c r="A69" s="62" t="s">
        <v>616</v>
      </c>
      <c r="B69" s="62" t="s">
        <v>136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617</v>
      </c>
    </row>
    <row r="70" customFormat="false" ht="15" hidden="false" customHeight="false" outlineLevel="0" collapsed="false">
      <c r="A70" s="62" t="s">
        <v>618</v>
      </c>
      <c r="B70" s="62" t="s">
        <v>131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619</v>
      </c>
      <c r="B71" s="62" t="s">
        <v>606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620</v>
      </c>
      <c r="B72" s="62" t="s">
        <v>131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621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622</v>
      </c>
      <c r="B75" s="62" t="s">
        <v>131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65" t="s">
        <v>623</v>
      </c>
    </row>
    <row r="76" customFormat="false" ht="15" hidden="false" customHeight="false" outlineLevel="0" collapsed="false">
      <c r="A76" s="61" t="s">
        <v>624</v>
      </c>
      <c r="B76" s="62" t="s">
        <v>606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625</v>
      </c>
    </row>
    <row r="77" customFormat="false" ht="15" hidden="false" customHeight="false" outlineLevel="0" collapsed="false">
      <c r="A77" s="62" t="s">
        <v>626</v>
      </c>
      <c r="B77" s="62" t="s">
        <v>131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627</v>
      </c>
    </row>
    <row r="78" customFormat="false" ht="15" hidden="false" customHeight="false" outlineLevel="0" collapsed="false">
      <c r="A78" s="62" t="s">
        <v>628</v>
      </c>
      <c r="B78" s="62" t="s">
        <v>418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629</v>
      </c>
    </row>
    <row r="79" customFormat="false" ht="15" hidden="false" customHeight="false" outlineLevel="0" collapsed="false">
      <c r="A79" s="61" t="s">
        <v>630</v>
      </c>
      <c r="B79" s="62" t="s">
        <v>593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631</v>
      </c>
    </row>
    <row r="80" customFormat="false" ht="15" hidden="false" customHeight="false" outlineLevel="0" collapsed="false">
      <c r="A80" s="61" t="s">
        <v>632</v>
      </c>
      <c r="B80" s="62" t="s">
        <v>593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633</v>
      </c>
    </row>
    <row r="81" customFormat="false" ht="15" hidden="false" customHeight="false" outlineLevel="0" collapsed="false">
      <c r="A81" s="62" t="s">
        <v>634</v>
      </c>
      <c r="B81" s="61" t="s">
        <v>635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65" t="s">
        <v>636</v>
      </c>
    </row>
    <row r="82" customFormat="false" ht="15" hidden="false" customHeight="false" outlineLevel="0" collapsed="false">
      <c r="A82" s="61" t="s">
        <v>637</v>
      </c>
      <c r="B82" s="61" t="s">
        <v>635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638</v>
      </c>
    </row>
    <row r="83" customFormat="false" ht="15" hidden="false" customHeight="false" outlineLevel="0" collapsed="false">
      <c r="A83" s="62" t="s">
        <v>639</v>
      </c>
      <c r="B83" s="61" t="s">
        <v>635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65" t="s">
        <v>640</v>
      </c>
    </row>
    <row r="84" customFormat="false" ht="15" hidden="false" customHeight="false" outlineLevel="0" collapsed="false">
      <c r="A84" s="62" t="s">
        <v>641</v>
      </c>
      <c r="B84" s="62" t="s">
        <v>418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  <c r="K84" s="65" t="s">
        <v>642</v>
      </c>
    </row>
    <row r="85" customFormat="false" ht="15" hidden="false" customHeight="false" outlineLevel="0" collapsed="false">
      <c r="A85" s="61" t="s">
        <v>643</v>
      </c>
      <c r="B85" s="62" t="s">
        <v>418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  <c r="K85" s="65" t="s">
        <v>644</v>
      </c>
    </row>
    <row r="86" customFormat="false" ht="15" hidden="false" customHeight="false" outlineLevel="0" collapsed="false">
      <c r="A86" s="61" t="s">
        <v>645</v>
      </c>
      <c r="B86" s="62" t="s">
        <v>136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65" t="s">
        <v>646</v>
      </c>
    </row>
    <row r="87" customFormat="false" ht="42" hidden="false" customHeight="true" outlineLevel="0" collapsed="false">
      <c r="A87" s="61" t="s">
        <v>647</v>
      </c>
      <c r="C87" s="93" t="s">
        <v>648</v>
      </c>
      <c r="D87" s="93" t="s">
        <v>648</v>
      </c>
      <c r="E87" s="93" t="s">
        <v>649</v>
      </c>
      <c r="F87" s="93" t="s">
        <v>650</v>
      </c>
      <c r="G87" s="93" t="s">
        <v>651</v>
      </c>
      <c r="H87" s="93" t="s">
        <v>652</v>
      </c>
      <c r="I87" s="93" t="s">
        <v>158</v>
      </c>
    </row>
    <row r="89" customFormat="false" ht="15" hidden="false" customHeight="false" outlineLevel="0" collapsed="false">
      <c r="A89" s="77" t="s">
        <v>653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654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655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656</v>
      </c>
    </row>
    <row r="92" customFormat="false" ht="15" hidden="false" customHeight="false" outlineLevel="0" collapsed="false">
      <c r="A92" s="61" t="s">
        <v>657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658</v>
      </c>
    </row>
    <row r="93" customFormat="false" ht="15" hidden="false" customHeight="false" outlineLevel="0" collapsed="false">
      <c r="A93" s="61" t="s">
        <v>659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660</v>
      </c>
    </row>
    <row r="94" customFormat="false" ht="15" hidden="false" customHeight="false" outlineLevel="0" collapsed="false">
      <c r="A94" s="61" t="s">
        <v>661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662</v>
      </c>
    </row>
    <row r="95" customFormat="false" ht="15" hidden="false" customHeight="false" outlineLevel="0" collapsed="false">
      <c r="A95" s="62" t="s">
        <v>663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664</v>
      </c>
    </row>
    <row r="96" customFormat="false" ht="15" hidden="false" customHeight="false" outlineLevel="0" collapsed="false">
      <c r="A96" s="61" t="s">
        <v>665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666</v>
      </c>
    </row>
    <row r="98" customFormat="false" ht="15" hidden="false" customHeight="false" outlineLevel="0" collapsed="false">
      <c r="A98" s="77" t="s">
        <v>667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668</v>
      </c>
    </row>
    <row r="100" customFormat="false" ht="26.85" hidden="false" customHeight="false" outlineLevel="0" collapsed="false">
      <c r="A100" s="61" t="s">
        <v>314</v>
      </c>
      <c r="B100" s="62" t="s">
        <v>315</v>
      </c>
      <c r="C100" s="63" t="n">
        <f aca="false">SRC_MOD_020</f>
        <v>671</v>
      </c>
      <c r="J100" s="88" t="s">
        <v>669</v>
      </c>
    </row>
    <row r="101" customFormat="false" ht="15" hidden="false" customHeight="false" outlineLevel="0" collapsed="false">
      <c r="A101" s="61" t="s">
        <v>317</v>
      </c>
      <c r="B101" s="62" t="s">
        <v>315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319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322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329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670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331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332</v>
      </c>
      <c r="B107" s="61"/>
      <c r="C107" s="63" t="n">
        <f aca="false">SRC_MOD_027</f>
        <v>129280</v>
      </c>
      <c r="K107" s="65" t="s">
        <v>671</v>
      </c>
    </row>
    <row r="108" customFormat="false" ht="15" hidden="false" customHeight="false" outlineLevel="0" collapsed="false">
      <c r="A108" s="62" t="s">
        <v>672</v>
      </c>
      <c r="B108" s="62" t="s">
        <v>315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673</v>
      </c>
      <c r="B109" s="62" t="s">
        <v>359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674</v>
      </c>
      <c r="B110" s="62" t="s">
        <v>337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675</v>
      </c>
      <c r="B111" s="62" t="s">
        <v>337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354</v>
      </c>
      <c r="B112" s="62" t="s">
        <v>315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551</v>
      </c>
      <c r="B113" s="62" t="s">
        <v>315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357</v>
      </c>
      <c r="B114" s="62" t="s">
        <v>315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676</v>
      </c>
      <c r="C116" s="85" t="s">
        <v>677</v>
      </c>
      <c r="D116" s="85" t="s">
        <v>678</v>
      </c>
      <c r="E116" s="85" t="s">
        <v>679</v>
      </c>
      <c r="F116" s="85" t="s">
        <v>680</v>
      </c>
      <c r="G116" s="85" t="s">
        <v>681</v>
      </c>
      <c r="H116" s="85" t="s">
        <v>682</v>
      </c>
    </row>
    <row r="117" customFormat="false" ht="15" hidden="false" customHeight="false" outlineLevel="0" collapsed="false">
      <c r="A117" s="61" t="s">
        <v>498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683</v>
      </c>
      <c r="B118" s="62" t="s">
        <v>418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684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685</v>
      </c>
    </row>
    <row r="120" customFormat="false" ht="26.85" hidden="false" customHeight="false" outlineLevel="0" collapsed="false">
      <c r="A120" s="62" t="s">
        <v>686</v>
      </c>
      <c r="B120" s="62" t="s">
        <v>687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688</v>
      </c>
    </row>
    <row r="121" customFormat="false" ht="30" hidden="false" customHeight="true" outlineLevel="0" collapsed="false">
      <c r="A121" s="61" t="s">
        <v>521</v>
      </c>
      <c r="C121" s="88" t="s">
        <v>689</v>
      </c>
      <c r="D121" s="88" t="s">
        <v>689</v>
      </c>
      <c r="E121" s="88" t="s">
        <v>690</v>
      </c>
      <c r="F121" s="88" t="s">
        <v>691</v>
      </c>
      <c r="G121" s="88" t="s">
        <v>692</v>
      </c>
      <c r="H121" s="88" t="s">
        <v>691</v>
      </c>
      <c r="J121" s="0" t="s">
        <v>693</v>
      </c>
    </row>
    <row r="122" customFormat="false" ht="15" hidden="false" customHeight="false" outlineLevel="0" collapsed="false">
      <c r="A122" s="61" t="s">
        <v>204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694</v>
      </c>
    </row>
    <row r="123" customFormat="false" ht="15" hidden="false" customHeight="false" outlineLevel="0" collapsed="false">
      <c r="A123" s="61" t="s">
        <v>526</v>
      </c>
      <c r="C123" s="65" t="s">
        <v>695</v>
      </c>
      <c r="D123" s="65" t="s">
        <v>695</v>
      </c>
      <c r="E123" s="65" t="s">
        <v>695</v>
      </c>
      <c r="F123" s="65" t="s">
        <v>695</v>
      </c>
      <c r="G123" s="65" t="s">
        <v>695</v>
      </c>
      <c r="H123" s="65" t="s">
        <v>695</v>
      </c>
    </row>
    <row r="124" customFormat="false" ht="15" hidden="false" customHeight="false" outlineLevel="0" collapsed="false">
      <c r="A124" s="61" t="s">
        <v>529</v>
      </c>
      <c r="B124" s="62" t="s">
        <v>696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697</v>
      </c>
      <c r="B125" s="62" t="s">
        <v>533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535</v>
      </c>
      <c r="B126" s="62" t="s">
        <v>536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698</v>
      </c>
      <c r="B127" s="62" t="s">
        <v>536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699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700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701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578</v>
      </c>
      <c r="B131" s="62" t="s">
        <v>533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702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582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584</v>
      </c>
      <c r="B134" s="62" t="s">
        <v>533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565</v>
      </c>
      <c r="B135" s="62" t="s">
        <v>337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569</v>
      </c>
      <c r="B136" s="62" t="s">
        <v>570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576</v>
      </c>
      <c r="B137" s="62" t="s">
        <v>570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703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704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622</v>
      </c>
      <c r="B140" s="62" t="s">
        <v>131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624</v>
      </c>
      <c r="B141" s="62" t="s">
        <v>606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626</v>
      </c>
      <c r="B142" s="62" t="s">
        <v>131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628</v>
      </c>
      <c r="B143" s="62" t="s">
        <v>418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630</v>
      </c>
      <c r="B144" s="62" t="s">
        <v>593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632</v>
      </c>
      <c r="B145" s="62" t="s">
        <v>593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639</v>
      </c>
      <c r="B146" s="61" t="s">
        <v>635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641</v>
      </c>
      <c r="B147" s="62" t="s">
        <v>418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705</v>
      </c>
      <c r="B148" s="62" t="s">
        <v>418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706</v>
      </c>
      <c r="B149" s="62" t="s">
        <v>136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65" t="s">
        <v>707</v>
      </c>
    </row>
    <row r="150" customFormat="false" ht="26.85" hidden="false" customHeight="false" outlineLevel="0" collapsed="false">
      <c r="A150" s="62" t="s">
        <v>708</v>
      </c>
      <c r="C150" s="104" t="n">
        <f aca="false">E148/C148</f>
        <v>2.5251262330147</v>
      </c>
      <c r="J150" s="88" t="s">
        <v>709</v>
      </c>
    </row>
    <row r="151" customFormat="false" ht="15" hidden="false" customHeight="false" outlineLevel="0" collapsed="false">
      <c r="A151" s="62" t="s">
        <v>710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711</v>
      </c>
      <c r="C152" s="78" t="n">
        <f aca="false">C148/D148</f>
        <v>1.5</v>
      </c>
      <c r="D152" s="78" t="n">
        <f aca="false">C120/D120</f>
        <v>1.05487728759394</v>
      </c>
      <c r="J152" s="93" t="s">
        <v>712</v>
      </c>
    </row>
    <row r="154" customFormat="false" ht="15" hidden="false" customHeight="false" outlineLevel="0" collapsed="false">
      <c r="A154" s="77" t="s">
        <v>713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204</v>
      </c>
      <c r="B155" s="60" t="s">
        <v>113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714</v>
      </c>
    </row>
    <row r="156" customFormat="false" ht="255.2" hidden="false" customHeight="false" outlineLevel="0" collapsed="false">
      <c r="A156" s="61" t="s">
        <v>715</v>
      </c>
      <c r="B156" s="62" t="s">
        <v>136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716</v>
      </c>
      <c r="J156" s="88" t="s">
        <v>717</v>
      </c>
    </row>
    <row r="158" customFormat="false" ht="15" hidden="false" customHeight="false" outlineLevel="0" collapsed="false">
      <c r="A158" s="77" t="s">
        <v>718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719</v>
      </c>
      <c r="C159" s="85" t="s">
        <v>720</v>
      </c>
      <c r="D159" s="85" t="s">
        <v>721</v>
      </c>
      <c r="E159" s="85" t="s">
        <v>722</v>
      </c>
      <c r="F159" s="85" t="s">
        <v>723</v>
      </c>
      <c r="G159" s="85" t="s">
        <v>724</v>
      </c>
    </row>
    <row r="160" customFormat="false" ht="26.85" hidden="false" customHeight="false" outlineLevel="0" collapsed="false">
      <c r="A160" s="61" t="s">
        <v>498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725</v>
      </c>
    </row>
    <row r="161" customFormat="false" ht="39.55" hidden="false" customHeight="false" outlineLevel="0" collapsed="false">
      <c r="A161" s="61" t="s">
        <v>726</v>
      </c>
      <c r="B161" s="62" t="s">
        <v>337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727</v>
      </c>
    </row>
    <row r="162" customFormat="false" ht="15" hidden="false" customHeight="false" outlineLevel="0" collapsed="false">
      <c r="A162" s="61" t="s">
        <v>728</v>
      </c>
      <c r="B162" s="62" t="s">
        <v>337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729</v>
      </c>
      <c r="B163" s="62" t="s">
        <v>730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731</v>
      </c>
    </row>
    <row r="164" customFormat="false" ht="26.85" hidden="false" customHeight="false" outlineLevel="0" collapsed="false">
      <c r="A164" s="61" t="s">
        <v>732</v>
      </c>
      <c r="B164" s="62" t="s">
        <v>418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733</v>
      </c>
    </row>
    <row r="165" customFormat="false" ht="26.85" hidden="false" customHeight="false" outlineLevel="0" collapsed="false">
      <c r="A165" s="61" t="s">
        <v>734</v>
      </c>
      <c r="B165" s="61" t="s">
        <v>599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735</v>
      </c>
    </row>
    <row r="166" customFormat="false" ht="15" hidden="false" customHeight="false" outlineLevel="0" collapsed="false">
      <c r="A166" s="61" t="s">
        <v>684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736</v>
      </c>
      <c r="B167" s="62" t="s">
        <v>687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737</v>
      </c>
      <c r="K167" s="65" t="s">
        <v>738</v>
      </c>
    </row>
    <row r="168" customFormat="false" ht="15" hidden="false" customHeight="false" outlineLevel="0" collapsed="false">
      <c r="A168" s="61" t="s">
        <v>204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738</v>
      </c>
    </row>
    <row r="169" customFormat="false" ht="15" hidden="false" customHeight="false" outlineLevel="0" collapsed="false">
      <c r="A169" s="61" t="s">
        <v>529</v>
      </c>
      <c r="B169" s="62" t="s">
        <v>696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738</v>
      </c>
    </row>
    <row r="170" customFormat="false" ht="15" hidden="false" customHeight="false" outlineLevel="0" collapsed="false">
      <c r="A170" s="62" t="s">
        <v>697</v>
      </c>
      <c r="B170" s="62" t="s">
        <v>533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738</v>
      </c>
    </row>
    <row r="171" customFormat="false" ht="15" hidden="false" customHeight="false" outlineLevel="0" collapsed="false">
      <c r="A171" s="62" t="s">
        <v>535</v>
      </c>
      <c r="B171" s="62" t="s">
        <v>536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738</v>
      </c>
    </row>
    <row r="172" customFormat="false" ht="15" hidden="false" customHeight="false" outlineLevel="0" collapsed="false">
      <c r="A172" s="62" t="s">
        <v>698</v>
      </c>
      <c r="B172" s="62" t="s">
        <v>536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738</v>
      </c>
    </row>
    <row r="173" customFormat="false" ht="15" hidden="false" customHeight="false" outlineLevel="0" collapsed="false">
      <c r="A173" s="62" t="s">
        <v>699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738</v>
      </c>
    </row>
    <row r="174" customFormat="false" ht="15" hidden="false" customHeight="false" outlineLevel="0" collapsed="false">
      <c r="A174" s="61" t="s">
        <v>700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738</v>
      </c>
    </row>
    <row r="175" customFormat="false" ht="15" hidden="false" customHeight="false" outlineLevel="0" collapsed="false">
      <c r="A175" s="61" t="s">
        <v>701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738</v>
      </c>
    </row>
    <row r="176" customFormat="false" ht="15" hidden="false" customHeight="false" outlineLevel="0" collapsed="false">
      <c r="A176" s="61" t="s">
        <v>578</v>
      </c>
      <c r="B176" s="62" t="s">
        <v>533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738</v>
      </c>
    </row>
    <row r="177" customFormat="false" ht="15" hidden="false" customHeight="false" outlineLevel="0" collapsed="false">
      <c r="A177" s="61" t="s">
        <v>702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738</v>
      </c>
    </row>
    <row r="178" customFormat="false" ht="15" hidden="false" customHeight="false" outlineLevel="0" collapsed="false">
      <c r="A178" s="62" t="s">
        <v>582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738</v>
      </c>
    </row>
    <row r="179" customFormat="false" ht="15" hidden="false" customHeight="false" outlineLevel="0" collapsed="false">
      <c r="A179" s="61" t="s">
        <v>584</v>
      </c>
      <c r="B179" s="62" t="s">
        <v>533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738</v>
      </c>
    </row>
    <row r="180" customFormat="false" ht="15" hidden="false" customHeight="false" outlineLevel="0" collapsed="false">
      <c r="A180" s="62" t="s">
        <v>565</v>
      </c>
      <c r="B180" s="62" t="s">
        <v>337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738</v>
      </c>
    </row>
    <row r="181" customFormat="false" ht="15" hidden="false" customHeight="false" outlineLevel="0" collapsed="false">
      <c r="A181" s="62" t="s">
        <v>569</v>
      </c>
      <c r="B181" s="62" t="s">
        <v>570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738</v>
      </c>
    </row>
    <row r="182" customFormat="false" ht="15" hidden="false" customHeight="false" outlineLevel="0" collapsed="false">
      <c r="A182" s="61" t="s">
        <v>703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738</v>
      </c>
    </row>
    <row r="183" customFormat="false" ht="15" hidden="false" customHeight="false" outlineLevel="0" collapsed="false">
      <c r="A183" s="61" t="s">
        <v>704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738</v>
      </c>
    </row>
    <row r="184" customFormat="false" ht="26.85" hidden="false" customHeight="false" outlineLevel="0" collapsed="false">
      <c r="A184" s="62" t="s">
        <v>739</v>
      </c>
      <c r="B184" s="62" t="s">
        <v>131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0.0843818790597254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  <c r="J184" s="88" t="s">
        <v>740</v>
      </c>
      <c r="K184" s="65" t="s">
        <v>738</v>
      </c>
    </row>
    <row r="185" customFormat="false" ht="15" hidden="false" customHeight="false" outlineLevel="0" collapsed="false">
      <c r="A185" s="61" t="s">
        <v>741</v>
      </c>
      <c r="B185" s="62" t="s">
        <v>606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738</v>
      </c>
    </row>
    <row r="186" customFormat="false" ht="15" hidden="false" customHeight="false" outlineLevel="0" collapsed="false">
      <c r="A186" s="61" t="s">
        <v>630</v>
      </c>
      <c r="B186" s="62" t="s">
        <v>593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738</v>
      </c>
    </row>
    <row r="187" customFormat="false" ht="15" hidden="false" customHeight="false" outlineLevel="0" collapsed="false">
      <c r="A187" s="61" t="s">
        <v>742</v>
      </c>
      <c r="B187" s="62" t="s">
        <v>593</v>
      </c>
      <c r="C187" s="74" t="n">
        <f aca="false">(C182+1)*C181/(C169*C184)/1000</f>
        <v>1.11255483902607</v>
      </c>
      <c r="D187" s="74" t="n">
        <f aca="false">(D182+1)*D181/(D169*D184)/1000</f>
        <v>0.105462643154713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0.248891837845124</v>
      </c>
      <c r="K187" s="65" t="s">
        <v>738</v>
      </c>
    </row>
    <row r="188" customFormat="false" ht="15" hidden="false" customHeight="false" outlineLevel="0" collapsed="false">
      <c r="A188" s="61" t="s">
        <v>743</v>
      </c>
      <c r="B188" s="62" t="s">
        <v>593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738</v>
      </c>
    </row>
    <row r="189" customFormat="false" ht="15" hidden="false" customHeight="false" outlineLevel="0" collapsed="false">
      <c r="A189" s="61" t="s">
        <v>744</v>
      </c>
      <c r="B189" s="62" t="s">
        <v>593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738</v>
      </c>
    </row>
    <row r="190" customFormat="false" ht="15" hidden="false" customHeight="false" outlineLevel="0" collapsed="false">
      <c r="A190" s="61" t="s">
        <v>745</v>
      </c>
      <c r="B190" s="62" t="s">
        <v>593</v>
      </c>
      <c r="C190" s="74" t="n">
        <f aca="false">MAX(C187,C188,C189)</f>
        <v>1.11255483902607</v>
      </c>
      <c r="D190" s="74" t="n">
        <f aca="false">MAX(D187,D188,D189)</f>
        <v>0.105462643154713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0.248891837845124</v>
      </c>
      <c r="K190" s="65" t="s">
        <v>738</v>
      </c>
    </row>
    <row r="191" customFormat="false" ht="15" hidden="false" customHeight="false" outlineLevel="0" collapsed="false">
      <c r="A191" s="61" t="s">
        <v>637</v>
      </c>
      <c r="B191" s="61" t="s">
        <v>635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738</v>
      </c>
    </row>
    <row r="192" customFormat="false" ht="15" hidden="false" customHeight="false" outlineLevel="0" collapsed="false">
      <c r="A192" s="61" t="s">
        <v>746</v>
      </c>
      <c r="B192" s="61" t="s">
        <v>635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65" t="s">
        <v>738</v>
      </c>
    </row>
    <row r="193" customFormat="false" ht="15" hidden="false" customHeight="false" outlineLevel="0" collapsed="false">
      <c r="A193" s="62" t="s">
        <v>747</v>
      </c>
      <c r="B193" s="61" t="s">
        <v>635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65" t="s">
        <v>738</v>
      </c>
    </row>
    <row r="194" customFormat="false" ht="15" hidden="false" customHeight="false" outlineLevel="0" collapsed="false">
      <c r="A194" s="61" t="s">
        <v>748</v>
      </c>
      <c r="B194" s="62" t="s">
        <v>418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8161.5091103969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3494.49310816584</v>
      </c>
      <c r="K194" s="65" t="s">
        <v>738</v>
      </c>
    </row>
    <row r="195" customFormat="false" ht="26.85" hidden="false" customHeight="false" outlineLevel="0" collapsed="false">
      <c r="A195" s="61" t="s">
        <v>749</v>
      </c>
      <c r="B195" s="62" t="s">
        <v>136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0.808070208950188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750</v>
      </c>
      <c r="K195" s="65" t="s">
        <v>738</v>
      </c>
    </row>
    <row r="196" customFormat="false" ht="26.85" hidden="false" customHeight="false" outlineLevel="0" collapsed="false">
      <c r="A196" s="61" t="s">
        <v>751</v>
      </c>
      <c r="B196" s="62" t="s">
        <v>696</v>
      </c>
      <c r="C196" s="107" t="n">
        <f aca="false">C184*C169</f>
        <v>0.0849110535555236</v>
      </c>
      <c r="D196" s="107" t="n">
        <f aca="false">D184*D169</f>
        <v>0.843818790597254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752</v>
      </c>
      <c r="K196" s="65" t="s">
        <v>738</v>
      </c>
    </row>
    <row r="197" customFormat="false" ht="15" hidden="false" customHeight="false" outlineLevel="0" collapsed="false">
      <c r="A197" s="61" t="s">
        <v>753</v>
      </c>
      <c r="B197" s="62" t="s">
        <v>593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738</v>
      </c>
    </row>
    <row r="198" customFormat="false" ht="15" hidden="false" customHeight="false" outlineLevel="0" collapsed="false">
      <c r="A198" s="61" t="s">
        <v>754</v>
      </c>
      <c r="B198" s="62" t="s">
        <v>593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0.0374322171004746</v>
      </c>
      <c r="K198" s="65" t="s">
        <v>738</v>
      </c>
    </row>
    <row r="199" customFormat="false" ht="15" hidden="false" customHeight="false" outlineLevel="0" collapsed="false">
      <c r="A199" s="62" t="s">
        <v>755</v>
      </c>
      <c r="B199" s="62" t="s">
        <v>418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17826.7242180515</v>
      </c>
      <c r="K199" s="65" t="s">
        <v>738</v>
      </c>
    </row>
    <row r="200" customFormat="false" ht="15" hidden="false" customHeight="false" outlineLevel="0" collapsed="false">
      <c r="A200" s="61" t="s">
        <v>756</v>
      </c>
      <c r="B200" s="62" t="s">
        <v>136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  <c r="K200" s="65" t="s">
        <v>738</v>
      </c>
    </row>
    <row r="201" customFormat="false" ht="39.55" hidden="false" customHeight="false" outlineLevel="0" collapsed="false">
      <c r="A201" s="61" t="s">
        <v>757</v>
      </c>
      <c r="B201" s="62" t="s">
        <v>136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758</v>
      </c>
      <c r="K201" s="65" t="s">
        <v>738</v>
      </c>
    </row>
    <row r="202" customFormat="false" ht="15" hidden="false" customHeight="false" outlineLevel="0" collapsed="false">
      <c r="A202" s="61" t="s">
        <v>759</v>
      </c>
      <c r="B202" s="62" t="s">
        <v>131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  <c r="K202" s="65" t="s">
        <v>738</v>
      </c>
    </row>
    <row r="203" customFormat="false" ht="15" hidden="false" customHeight="false" outlineLevel="0" collapsed="false">
      <c r="A203" s="61" t="s">
        <v>760</v>
      </c>
      <c r="B203" s="62" t="s">
        <v>696</v>
      </c>
      <c r="C203" s="108" t="n">
        <f aca="false">CAL_EtaD*INDEX(Spec_Rack!$C$35:$G$35,3)</f>
        <v>0.536325502498254</v>
      </c>
      <c r="K203" s="65" t="s">
        <v>738</v>
      </c>
    </row>
    <row r="204" customFormat="false" ht="39.55" hidden="false" customHeight="false" outlineLevel="0" collapsed="false">
      <c r="A204" s="60" t="s">
        <v>761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762</v>
      </c>
      <c r="K204" s="65" t="s">
        <v>738</v>
      </c>
    </row>
    <row r="206" customFormat="false" ht="15" hidden="false" customHeight="false" outlineLevel="0" collapsed="false">
      <c r="A206" s="77" t="s">
        <v>763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764</v>
      </c>
      <c r="B207" s="61" t="s">
        <v>765</v>
      </c>
      <c r="C207" s="67" t="n">
        <v>0.2</v>
      </c>
      <c r="J207" s="88" t="s">
        <v>766</v>
      </c>
    </row>
    <row r="209" customFormat="false" ht="15" hidden="false" customHeight="false" outlineLevel="0" collapsed="false">
      <c r="A209" s="77" t="s">
        <v>767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768</v>
      </c>
    </row>
    <row r="210" customFormat="false" ht="57.75" hidden="false" customHeight="true" outlineLevel="0" collapsed="false">
      <c r="A210" s="60" t="s">
        <v>719</v>
      </c>
      <c r="C210" s="85" t="s">
        <v>769</v>
      </c>
      <c r="D210" s="85" t="s">
        <v>770</v>
      </c>
      <c r="E210" s="85" t="s">
        <v>771</v>
      </c>
      <c r="K210" s="65" t="s">
        <v>768</v>
      </c>
    </row>
    <row r="211" customFormat="false" ht="26.85" hidden="false" customHeight="false" outlineLevel="0" collapsed="false">
      <c r="A211" s="61" t="s">
        <v>498</v>
      </c>
      <c r="B211" s="61"/>
      <c r="C211" s="105" t="n">
        <v>2</v>
      </c>
      <c r="D211" s="105" t="n">
        <v>3</v>
      </c>
      <c r="E211" s="105" t="n">
        <v>1</v>
      </c>
      <c r="J211" s="93" t="s">
        <v>772</v>
      </c>
      <c r="K211" s="65" t="s">
        <v>768</v>
      </c>
    </row>
    <row r="212" customFormat="false" ht="37.3" hidden="false" customHeight="false" outlineLevel="0" collapsed="false">
      <c r="A212" s="61" t="s">
        <v>726</v>
      </c>
      <c r="B212" s="62" t="s">
        <v>337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773</v>
      </c>
      <c r="K212" s="65" t="s">
        <v>768</v>
      </c>
    </row>
    <row r="213" customFormat="false" ht="15" hidden="false" customHeight="false" outlineLevel="0" collapsed="false">
      <c r="A213" s="61" t="s">
        <v>728</v>
      </c>
      <c r="B213" s="62" t="s">
        <v>337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768</v>
      </c>
    </row>
    <row r="214" customFormat="false" ht="26.85" hidden="false" customHeight="false" outlineLevel="0" collapsed="false">
      <c r="A214" s="62" t="s">
        <v>729</v>
      </c>
      <c r="B214" s="62" t="s">
        <v>730</v>
      </c>
      <c r="C214" s="105" t="n">
        <v>0</v>
      </c>
      <c r="D214" s="105" t="n">
        <v>0</v>
      </c>
      <c r="E214" s="105" t="n">
        <v>8</v>
      </c>
      <c r="J214" s="88" t="s">
        <v>774</v>
      </c>
      <c r="K214" s="65" t="s">
        <v>768</v>
      </c>
    </row>
    <row r="215" customFormat="false" ht="15" hidden="false" customHeight="false" outlineLevel="0" collapsed="false">
      <c r="A215" s="61" t="s">
        <v>775</v>
      </c>
      <c r="B215" s="61" t="s">
        <v>599</v>
      </c>
      <c r="C215" s="105" t="n">
        <v>0</v>
      </c>
      <c r="D215" s="105" t="n">
        <v>0</v>
      </c>
      <c r="E215" s="105" t="n">
        <v>128</v>
      </c>
      <c r="J215" s="88" t="s">
        <v>776</v>
      </c>
      <c r="K215" s="65" t="s">
        <v>768</v>
      </c>
    </row>
    <row r="216" customFormat="false" ht="26.85" hidden="false" customHeight="false" outlineLevel="0" collapsed="false">
      <c r="A216" s="61" t="s">
        <v>684</v>
      </c>
      <c r="B216" s="61"/>
      <c r="C216" s="105" t="n">
        <v>0</v>
      </c>
      <c r="D216" s="105" t="n">
        <v>0</v>
      </c>
      <c r="E216" s="105" t="n">
        <v>0</v>
      </c>
      <c r="J216" s="88" t="s">
        <v>777</v>
      </c>
      <c r="K216" s="65" t="s">
        <v>768</v>
      </c>
    </row>
    <row r="217" customFormat="false" ht="26.85" hidden="false" customHeight="false" outlineLevel="0" collapsed="false">
      <c r="A217" s="61" t="s">
        <v>778</v>
      </c>
      <c r="B217" s="62" t="s">
        <v>687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779</v>
      </c>
      <c r="K217" s="65" t="s">
        <v>768</v>
      </c>
    </row>
    <row r="218" customFormat="false" ht="15" hidden="false" customHeight="false" outlineLevel="0" collapsed="false">
      <c r="A218" s="61" t="s">
        <v>204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768</v>
      </c>
    </row>
    <row r="219" customFormat="false" ht="15" hidden="false" customHeight="false" outlineLevel="0" collapsed="false">
      <c r="A219" s="61" t="s">
        <v>529</v>
      </c>
      <c r="B219" s="62" t="s">
        <v>696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768</v>
      </c>
    </row>
    <row r="220" customFormat="false" ht="26.85" hidden="false" customHeight="false" outlineLevel="0" collapsed="false">
      <c r="A220" s="62" t="s">
        <v>697</v>
      </c>
      <c r="B220" s="62" t="s">
        <v>533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780</v>
      </c>
      <c r="K220" s="65" t="s">
        <v>768</v>
      </c>
    </row>
    <row r="221" customFormat="false" ht="15" hidden="false" customHeight="false" outlineLevel="0" collapsed="false">
      <c r="A221" s="62" t="s">
        <v>535</v>
      </c>
      <c r="B221" s="62" t="s">
        <v>536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768</v>
      </c>
    </row>
    <row r="222" customFormat="false" ht="15" hidden="false" customHeight="false" outlineLevel="0" collapsed="false">
      <c r="A222" s="62" t="s">
        <v>698</v>
      </c>
      <c r="B222" s="62" t="s">
        <v>536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768</v>
      </c>
    </row>
    <row r="223" customFormat="false" ht="15" hidden="false" customHeight="false" outlineLevel="0" collapsed="false">
      <c r="A223" s="62" t="s">
        <v>699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768</v>
      </c>
    </row>
    <row r="224" customFormat="false" ht="15" hidden="false" customHeight="false" outlineLevel="0" collapsed="false">
      <c r="A224" s="61" t="s">
        <v>700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768</v>
      </c>
    </row>
    <row r="225" customFormat="false" ht="15" hidden="false" customHeight="false" outlineLevel="0" collapsed="false">
      <c r="A225" s="61" t="s">
        <v>701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768</v>
      </c>
    </row>
    <row r="226" customFormat="false" ht="15" hidden="false" customHeight="false" outlineLevel="0" collapsed="false">
      <c r="A226" s="61" t="s">
        <v>578</v>
      </c>
      <c r="B226" s="62" t="s">
        <v>533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768</v>
      </c>
    </row>
    <row r="227" customFormat="false" ht="15" hidden="false" customHeight="false" outlineLevel="0" collapsed="false">
      <c r="A227" s="61" t="s">
        <v>702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768</v>
      </c>
    </row>
    <row r="228" customFormat="false" ht="15" hidden="false" customHeight="false" outlineLevel="0" collapsed="false">
      <c r="A228" s="62" t="s">
        <v>582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768</v>
      </c>
    </row>
    <row r="229" customFormat="false" ht="15" hidden="false" customHeight="false" outlineLevel="0" collapsed="false">
      <c r="A229" s="61" t="s">
        <v>584</v>
      </c>
      <c r="B229" s="62" t="s">
        <v>533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768</v>
      </c>
    </row>
    <row r="230" customFormat="false" ht="15" hidden="false" customHeight="false" outlineLevel="0" collapsed="false">
      <c r="A230" s="62" t="s">
        <v>565</v>
      </c>
      <c r="B230" s="62" t="s">
        <v>337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768</v>
      </c>
    </row>
    <row r="231" customFormat="false" ht="15" hidden="false" customHeight="false" outlineLevel="0" collapsed="false">
      <c r="A231" s="62" t="s">
        <v>569</v>
      </c>
      <c r="B231" s="62" t="s">
        <v>570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768</v>
      </c>
    </row>
    <row r="232" customFormat="false" ht="15" hidden="false" customHeight="false" outlineLevel="0" collapsed="false">
      <c r="A232" s="61" t="s">
        <v>703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768</v>
      </c>
    </row>
    <row r="233" customFormat="false" ht="15" hidden="false" customHeight="false" outlineLevel="0" collapsed="false">
      <c r="A233" s="61" t="s">
        <v>704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768</v>
      </c>
    </row>
    <row r="234" customFormat="false" ht="15" hidden="false" customHeight="false" outlineLevel="0" collapsed="false">
      <c r="A234" s="61" t="s">
        <v>781</v>
      </c>
      <c r="B234" s="62" t="s">
        <v>136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768</v>
      </c>
    </row>
    <row r="235" customFormat="false" ht="39.55" hidden="false" customHeight="false" outlineLevel="0" collapsed="false">
      <c r="A235" s="62" t="s">
        <v>782</v>
      </c>
      <c r="B235" s="62" t="s">
        <v>131</v>
      </c>
      <c r="C235" s="102" t="n">
        <f aca="false">INDEX($C$70:$G$70,C211)*C234</f>
        <v>0.0843818790597254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783</v>
      </c>
      <c r="K235" s="65" t="s">
        <v>768</v>
      </c>
    </row>
    <row r="236" customFormat="false" ht="15" hidden="false" customHeight="false" outlineLevel="0" collapsed="false">
      <c r="A236" s="61" t="s">
        <v>741</v>
      </c>
      <c r="B236" s="62" t="s">
        <v>606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768</v>
      </c>
    </row>
    <row r="237" customFormat="false" ht="15" hidden="false" customHeight="false" outlineLevel="0" collapsed="false">
      <c r="A237" s="61" t="s">
        <v>630</v>
      </c>
      <c r="B237" s="62" t="s">
        <v>593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768</v>
      </c>
    </row>
    <row r="238" customFormat="false" ht="15" hidden="false" customHeight="false" outlineLevel="0" collapsed="false">
      <c r="A238" s="61" t="s">
        <v>742</v>
      </c>
      <c r="B238" s="62" t="s">
        <v>593</v>
      </c>
      <c r="C238" s="74" t="n">
        <f aca="false">(C232+1)*C231/(C219*C235)/1000</f>
        <v>0.103922915414021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768</v>
      </c>
    </row>
    <row r="239" customFormat="false" ht="15" hidden="false" customHeight="false" outlineLevel="0" collapsed="false">
      <c r="A239" s="61" t="s">
        <v>743</v>
      </c>
      <c r="B239" s="62" t="s">
        <v>593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768</v>
      </c>
    </row>
    <row r="240" customFormat="false" ht="15" hidden="false" customHeight="false" outlineLevel="0" collapsed="false">
      <c r="A240" s="61" t="s">
        <v>744</v>
      </c>
      <c r="B240" s="62" t="s">
        <v>593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768</v>
      </c>
    </row>
    <row r="241" customFormat="false" ht="15" hidden="false" customHeight="false" outlineLevel="0" collapsed="false">
      <c r="A241" s="61" t="s">
        <v>745</v>
      </c>
      <c r="B241" s="62" t="s">
        <v>593</v>
      </c>
      <c r="C241" s="74" t="n">
        <f aca="false">MAX(C238,C239,C240)</f>
        <v>0.103922915414021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768</v>
      </c>
    </row>
    <row r="242" customFormat="false" ht="15" hidden="false" customHeight="false" outlineLevel="0" collapsed="false">
      <c r="A242" s="61" t="s">
        <v>637</v>
      </c>
      <c r="B242" s="61" t="s">
        <v>635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768</v>
      </c>
    </row>
    <row r="243" customFormat="false" ht="15" hidden="false" customHeight="false" outlineLevel="0" collapsed="false">
      <c r="A243" s="62" t="s">
        <v>747</v>
      </c>
      <c r="B243" s="61" t="s">
        <v>635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768</v>
      </c>
    </row>
    <row r="244" customFormat="false" ht="15" hidden="false" customHeight="false" outlineLevel="0" collapsed="false">
      <c r="A244" s="61" t="s">
        <v>748</v>
      </c>
      <c r="B244" s="62" t="s">
        <v>418</v>
      </c>
      <c r="C244" s="69" t="n">
        <f aca="false">IF(C243&gt;0,C243*C233/((C237+C243*C241)/1000),0)</f>
        <v>8868.21425298231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768</v>
      </c>
    </row>
    <row r="245" customFormat="false" ht="15" hidden="false" customHeight="false" outlineLevel="0" collapsed="false">
      <c r="A245" s="62" t="s">
        <v>626</v>
      </c>
      <c r="B245" s="62" t="s">
        <v>131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768</v>
      </c>
    </row>
    <row r="246" customFormat="false" ht="15" hidden="false" customHeight="false" outlineLevel="0" collapsed="false">
      <c r="A246" s="62" t="s">
        <v>576</v>
      </c>
      <c r="B246" s="62" t="s">
        <v>570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768</v>
      </c>
    </row>
    <row r="247" customFormat="false" ht="15" hidden="false" customHeight="false" outlineLevel="0" collapsed="false">
      <c r="A247" s="62" t="s">
        <v>628</v>
      </c>
      <c r="B247" s="62" t="s">
        <v>418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768</v>
      </c>
    </row>
    <row r="248" customFormat="false" ht="15" hidden="false" customHeight="false" outlineLevel="0" collapsed="false">
      <c r="A248" s="61" t="s">
        <v>705</v>
      </c>
      <c r="B248" s="62" t="s">
        <v>418</v>
      </c>
      <c r="C248" s="69" t="n">
        <f aca="false">IF(C244&gt;0,C213/(C212/C247+C213/C244),0)</f>
        <v>8475.6133196664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768</v>
      </c>
    </row>
    <row r="249" customFormat="false" ht="26.85" hidden="false" customHeight="false" outlineLevel="0" collapsed="false">
      <c r="A249" s="61" t="s">
        <v>645</v>
      </c>
      <c r="B249" s="62" t="s">
        <v>136</v>
      </c>
      <c r="C249" s="106" t="n">
        <f aca="false">IF(ISNUMBER(C217),IF(C217&gt;0,C248/C217,"—"),"—")</f>
        <v>1.25527448454775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784</v>
      </c>
      <c r="K249" s="65" t="s">
        <v>768</v>
      </c>
    </row>
    <row r="250" customFormat="false" ht="15" hidden="false" customHeight="false" outlineLevel="0" collapsed="false">
      <c r="A250" s="61" t="s">
        <v>751</v>
      </c>
      <c r="B250" s="62" t="s">
        <v>696</v>
      </c>
      <c r="C250" s="107" t="n">
        <f aca="false">C235*C219</f>
        <v>0.843818790597254</v>
      </c>
      <c r="D250" s="107" t="n">
        <f aca="false">D235*D219</f>
        <v>0.536325502498254</v>
      </c>
      <c r="E250" s="107" t="n">
        <f aca="false">E235*E219</f>
        <v>0.0849110535555236</v>
      </c>
      <c r="K250" s="65" t="s">
        <v>768</v>
      </c>
    </row>
    <row r="251" customFormat="false" ht="15" hidden="false" customHeight="false" outlineLevel="0" collapsed="false">
      <c r="A251" s="61" t="s">
        <v>753</v>
      </c>
      <c r="B251" s="62" t="s">
        <v>593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768</v>
      </c>
    </row>
    <row r="252" customFormat="false" ht="15" hidden="false" customHeight="false" outlineLevel="0" collapsed="false">
      <c r="A252" s="61" t="s">
        <v>785</v>
      </c>
      <c r="B252" s="62" t="s">
        <v>418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768</v>
      </c>
    </row>
    <row r="253" customFormat="false" ht="15" hidden="false" customHeight="false" outlineLevel="0" collapsed="false">
      <c r="A253" s="61" t="s">
        <v>754</v>
      </c>
      <c r="B253" s="62" t="s">
        <v>593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768</v>
      </c>
    </row>
    <row r="254" customFormat="false" ht="39.55" hidden="false" customHeight="false" outlineLevel="0" collapsed="false">
      <c r="A254" s="61" t="s">
        <v>786</v>
      </c>
      <c r="B254" s="62" t="s">
        <v>136</v>
      </c>
      <c r="C254" s="104" t="n">
        <f aca="false">IF(ISNUMBER(C253),IF(C253&lt;=C251,"無解（非算力項下限）",((C232+1)*C231/C219/1000/C253)/INDEX($C$70:$G$70,C211)),"—")</f>
        <v>1.8297158924656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787</v>
      </c>
      <c r="K254" s="65" t="s">
        <v>768</v>
      </c>
    </row>
    <row r="256" customFormat="false" ht="15" hidden="false" customHeight="false" outlineLevel="0" collapsed="false">
      <c r="A256" s="77" t="s">
        <v>788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789</v>
      </c>
      <c r="B257" s="62" t="s">
        <v>136</v>
      </c>
      <c r="C257" s="79" t="n">
        <v>2</v>
      </c>
      <c r="J257" s="88" t="s">
        <v>790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791</v>
      </c>
    </row>
    <row r="2" customFormat="false" ht="15" hidden="false" customHeight="false" outlineLevel="0" collapsed="false">
      <c r="A2" s="65" t="s">
        <v>792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793</v>
      </c>
      <c r="B4" s="84" t="s">
        <v>794</v>
      </c>
      <c r="C4" s="84" t="s">
        <v>795</v>
      </c>
      <c r="D4" s="84" t="s">
        <v>796</v>
      </c>
      <c r="E4" s="84" t="s">
        <v>797</v>
      </c>
      <c r="F4" s="84" t="s">
        <v>798</v>
      </c>
      <c r="G4" s="84" t="s">
        <v>799</v>
      </c>
      <c r="H4" s="84" t="s">
        <v>800</v>
      </c>
      <c r="I4" s="84" t="s">
        <v>801</v>
      </c>
      <c r="J4" s="84" t="s">
        <v>802</v>
      </c>
      <c r="K4" s="84" t="s">
        <v>803</v>
      </c>
      <c r="L4" s="85" t="s">
        <v>804</v>
      </c>
      <c r="M4" s="84" t="s">
        <v>805</v>
      </c>
      <c r="N4" s="84" t="s">
        <v>806</v>
      </c>
      <c r="O4" s="84" t="s">
        <v>807</v>
      </c>
      <c r="P4" s="84" t="s">
        <v>808</v>
      </c>
      <c r="Q4" s="84" t="s">
        <v>809</v>
      </c>
      <c r="R4" s="84" t="s">
        <v>118</v>
      </c>
      <c r="S4" s="84" t="s">
        <v>810</v>
      </c>
      <c r="T4" s="84" t="s">
        <v>811</v>
      </c>
    </row>
    <row r="5" customFormat="false" ht="42" hidden="false" customHeight="true" outlineLevel="0" collapsed="false">
      <c r="A5" s="62" t="s">
        <v>812</v>
      </c>
      <c r="B5" s="6" t="s">
        <v>813</v>
      </c>
      <c r="C5" s="62" t="s">
        <v>814</v>
      </c>
      <c r="D5" s="62" t="s">
        <v>815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816</v>
      </c>
      <c r="J5" s="68" t="n">
        <v>3</v>
      </c>
      <c r="K5" s="61" t="str">
        <f aca="false">IF(J5&gt;=CST_MainMin,"主流","非主流")</f>
        <v>主流</v>
      </c>
      <c r="L5" s="109"/>
      <c r="M5" s="109" t="s">
        <v>817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168</v>
      </c>
      <c r="R5" s="88" t="s">
        <v>818</v>
      </c>
      <c r="S5" s="88" t="s">
        <v>814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819</v>
      </c>
      <c r="B6" s="5" t="s">
        <v>820</v>
      </c>
      <c r="C6" s="62" t="s">
        <v>814</v>
      </c>
      <c r="D6" s="62" t="s">
        <v>821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816</v>
      </c>
      <c r="J6" s="68" t="n">
        <v>3</v>
      </c>
      <c r="K6" s="61" t="str">
        <f aca="false">IF(J6&gt;=CST_MainMin,"主流","非主流")</f>
        <v>主流</v>
      </c>
      <c r="L6" s="109"/>
      <c r="M6" s="109" t="s">
        <v>817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168</v>
      </c>
      <c r="R6" s="88" t="s">
        <v>822</v>
      </c>
      <c r="S6" s="88" t="s">
        <v>814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823</v>
      </c>
      <c r="B7" s="6" t="s">
        <v>824</v>
      </c>
      <c r="C7" s="62" t="s">
        <v>814</v>
      </c>
      <c r="D7" s="62" t="s">
        <v>825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816</v>
      </c>
      <c r="J7" s="68" t="n">
        <v>2</v>
      </c>
      <c r="K7" s="61" t="str">
        <f aca="false">IF(J7&gt;=CST_MainMin,"主流","非主流")</f>
        <v>主流</v>
      </c>
      <c r="L7" s="109"/>
      <c r="M7" s="109" t="s">
        <v>817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168</v>
      </c>
      <c r="R7" s="88" t="s">
        <v>826</v>
      </c>
      <c r="S7" s="88" t="s">
        <v>814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827</v>
      </c>
      <c r="B8" s="6" t="s">
        <v>828</v>
      </c>
      <c r="C8" s="62" t="s">
        <v>814</v>
      </c>
      <c r="D8" s="62" t="s">
        <v>825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816</v>
      </c>
      <c r="J8" s="68" t="n">
        <v>2</v>
      </c>
      <c r="K8" s="61" t="str">
        <f aca="false">IF(J8&gt;=CST_MainMin,"主流","非主流")</f>
        <v>主流</v>
      </c>
      <c r="L8" s="109"/>
      <c r="M8" s="109" t="s">
        <v>817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245</v>
      </c>
      <c r="R8" s="88" t="s">
        <v>829</v>
      </c>
      <c r="S8" s="88" t="s">
        <v>814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830</v>
      </c>
      <c r="B9" s="6" t="s">
        <v>831</v>
      </c>
      <c r="C9" s="62" t="s">
        <v>814</v>
      </c>
      <c r="D9" s="62" t="s">
        <v>832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816</v>
      </c>
      <c r="J9" s="68" t="n">
        <v>2</v>
      </c>
      <c r="K9" s="61" t="str">
        <f aca="false">IF(J9&gt;=CST_MainMin,"主流","非主流")</f>
        <v>主流</v>
      </c>
      <c r="L9" s="109"/>
      <c r="M9" s="109" t="s">
        <v>817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245</v>
      </c>
      <c r="R9" s="88" t="s">
        <v>833</v>
      </c>
      <c r="S9" s="88" t="s">
        <v>814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834</v>
      </c>
      <c r="B10" s="6" t="s">
        <v>835</v>
      </c>
      <c r="C10" s="62" t="s">
        <v>836</v>
      </c>
      <c r="D10" s="61" t="s">
        <v>837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838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817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245</v>
      </c>
      <c r="R10" s="88" t="s">
        <v>839</v>
      </c>
      <c r="S10" s="93" t="s">
        <v>840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841</v>
      </c>
      <c r="B11" s="6" t="s">
        <v>842</v>
      </c>
      <c r="C11" s="62" t="s">
        <v>843</v>
      </c>
      <c r="D11" s="61" t="s">
        <v>844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838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845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245</v>
      </c>
      <c r="R11" s="93" t="s">
        <v>846</v>
      </c>
      <c r="S11" s="93" t="s">
        <v>847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848</v>
      </c>
      <c r="B12" s="6" t="s">
        <v>849</v>
      </c>
      <c r="C12" s="62" t="s">
        <v>850</v>
      </c>
      <c r="D12" s="61" t="s">
        <v>851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852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845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132</v>
      </c>
      <c r="R12" s="93" t="s">
        <v>853</v>
      </c>
      <c r="S12" s="93" t="s">
        <v>854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855</v>
      </c>
      <c r="B13" s="6" t="s">
        <v>856</v>
      </c>
      <c r="C13" s="62" t="s">
        <v>857</v>
      </c>
      <c r="D13" s="61" t="s">
        <v>858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852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845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132</v>
      </c>
      <c r="R13" s="93" t="s">
        <v>859</v>
      </c>
      <c r="S13" s="93" t="s">
        <v>860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861</v>
      </c>
      <c r="B14" s="5" t="s">
        <v>862</v>
      </c>
      <c r="C14" s="62" t="s">
        <v>863</v>
      </c>
      <c r="D14" s="62" t="s">
        <v>864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816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817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245</v>
      </c>
      <c r="R14" s="93" t="s">
        <v>865</v>
      </c>
      <c r="S14" s="93" t="s">
        <v>866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867</v>
      </c>
      <c r="B15" s="6" t="s">
        <v>868</v>
      </c>
      <c r="C15" s="62" t="s">
        <v>869</v>
      </c>
      <c r="D15" s="62" t="s">
        <v>554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838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845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132</v>
      </c>
      <c r="R15" s="88" t="s">
        <v>870</v>
      </c>
      <c r="S15" s="93" t="s">
        <v>871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872</v>
      </c>
      <c r="B16" s="6" t="s">
        <v>873</v>
      </c>
      <c r="C16" s="62" t="s">
        <v>874</v>
      </c>
      <c r="D16" s="62" t="s">
        <v>875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876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845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132</v>
      </c>
      <c r="R16" s="88" t="s">
        <v>877</v>
      </c>
      <c r="S16" s="93" t="s">
        <v>878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879</v>
      </c>
      <c r="B17" s="5" t="s">
        <v>880</v>
      </c>
      <c r="J17" s="68" t="n">
        <v>2</v>
      </c>
      <c r="Q17" s="59" t="s">
        <v>122</v>
      </c>
      <c r="R17" s="88" t="s">
        <v>881</v>
      </c>
    </row>
    <row r="18" customFormat="false" ht="15" hidden="false" customHeight="false" outlineLevel="0" collapsed="false">
      <c r="A18" s="70" t="s">
        <v>882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883</v>
      </c>
      <c r="B19" s="60" t="s">
        <v>884</v>
      </c>
      <c r="C19" s="60"/>
      <c r="D19" s="60" t="s">
        <v>885</v>
      </c>
      <c r="E19" s="60" t="s">
        <v>886</v>
      </c>
    </row>
    <row r="20" customFormat="false" ht="15" hidden="false" customHeight="false" outlineLevel="0" collapsed="false">
      <c r="A20" s="10" t="s">
        <v>887</v>
      </c>
      <c r="B20" s="62" t="s">
        <v>888</v>
      </c>
      <c r="D20" s="88" t="s">
        <v>889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857</v>
      </c>
      <c r="B21" s="61" t="s">
        <v>614</v>
      </c>
      <c r="D21" s="88" t="s">
        <v>890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850</v>
      </c>
      <c r="B22" s="61" t="s">
        <v>891</v>
      </c>
      <c r="D22" s="88" t="s">
        <v>892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869</v>
      </c>
      <c r="B23" s="62" t="s">
        <v>893</v>
      </c>
      <c r="D23" s="88" t="s">
        <v>894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895</v>
      </c>
      <c r="B24" s="61" t="s">
        <v>896</v>
      </c>
      <c r="D24" s="88" t="s">
        <v>897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843</v>
      </c>
      <c r="B25" s="61" t="s">
        <v>898</v>
      </c>
      <c r="D25" s="88" t="s">
        <v>899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900</v>
      </c>
      <c r="B26" s="61" t="s">
        <v>901</v>
      </c>
      <c r="D26" s="88" t="s">
        <v>902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836</v>
      </c>
      <c r="B27" s="61" t="s">
        <v>903</v>
      </c>
      <c r="D27" s="88" t="s">
        <v>904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863</v>
      </c>
      <c r="B28" s="62" t="s">
        <v>905</v>
      </c>
      <c r="D28" s="88" t="s">
        <v>906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907</v>
      </c>
      <c r="B29" s="61" t="s">
        <v>908</v>
      </c>
      <c r="D29" s="88" t="s">
        <v>909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874</v>
      </c>
      <c r="B30" s="62" t="s">
        <v>910</v>
      </c>
      <c r="D30" s="88" t="s">
        <v>911</v>
      </c>
      <c r="E30" s="106" t="n">
        <f aca="false">EXP(SUMPRODUCT(($C$5:$C$16="H_HAR")*LN($P$5:$P$16)))</f>
        <v>1</v>
      </c>
      <c r="U30" s="65" t="s">
        <v>912</v>
      </c>
    </row>
    <row r="32" customFormat="false" ht="30" hidden="false" customHeight="true" outlineLevel="0" collapsed="false">
      <c r="A32" s="60" t="s">
        <v>913</v>
      </c>
      <c r="B32" s="110" t="s">
        <v>914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915</v>
      </c>
    </row>
    <row r="2" customFormat="false" ht="15" hidden="false" customHeight="false" outlineLevel="0" collapsed="false">
      <c r="A2" s="59" t="s">
        <v>916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918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920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921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922</v>
      </c>
      <c r="B10" s="62" t="s">
        <v>136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923</v>
      </c>
      <c r="B11" s="62" t="s">
        <v>136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924</v>
      </c>
      <c r="B12" s="62" t="s">
        <v>136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925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529</v>
      </c>
      <c r="B14" s="62" t="s">
        <v>530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532</v>
      </c>
      <c r="B15" s="62" t="s">
        <v>926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535</v>
      </c>
      <c r="B16" s="62" t="s">
        <v>406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927</v>
      </c>
      <c r="B17" s="62" t="s">
        <v>406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266</v>
      </c>
      <c r="B18" s="62" t="s">
        <v>730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928</v>
      </c>
      <c r="B19" s="62" t="s">
        <v>315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929</v>
      </c>
      <c r="B20" s="62" t="s">
        <v>315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930</v>
      </c>
      <c r="B21" s="62" t="s">
        <v>730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217</v>
      </c>
      <c r="B22" s="61" t="s">
        <v>931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932</v>
      </c>
      <c r="B23" s="62" t="s">
        <v>933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934</v>
      </c>
      <c r="B24" s="62" t="s">
        <v>935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936</v>
      </c>
      <c r="B25" s="61" t="s">
        <v>937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938</v>
      </c>
      <c r="B26" s="62" t="s">
        <v>939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940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317</v>
      </c>
      <c r="B28" s="62" t="s">
        <v>315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319</v>
      </c>
      <c r="B29" s="61" t="s">
        <v>320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322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941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551</v>
      </c>
      <c r="B32" s="62" t="s">
        <v>315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357</v>
      </c>
      <c r="B33" s="62" t="s">
        <v>315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942</v>
      </c>
      <c r="B34" s="62" t="s">
        <v>315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556</v>
      </c>
      <c r="B35" s="62" t="s">
        <v>359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334</v>
      </c>
      <c r="B36" s="62" t="s">
        <v>131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943</v>
      </c>
      <c r="B37" s="62" t="s">
        <v>337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339</v>
      </c>
      <c r="B38" s="62" t="s">
        <v>136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341</v>
      </c>
      <c r="B39" s="62" t="s">
        <v>337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944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417</v>
      </c>
      <c r="B41" s="62" t="s">
        <v>418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945</v>
      </c>
      <c r="B42" s="62" t="s">
        <v>421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946</v>
      </c>
      <c r="B43" s="62" t="s">
        <v>337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424</v>
      </c>
      <c r="B44" s="62" t="s">
        <v>337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565</v>
      </c>
      <c r="B45" s="62" t="s">
        <v>337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572</v>
      </c>
      <c r="B46" s="62" t="s">
        <v>337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947</v>
      </c>
      <c r="B47" s="62" t="s">
        <v>337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948</v>
      </c>
      <c r="B48" s="62" t="s">
        <v>131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949</v>
      </c>
      <c r="B49" s="62" t="s">
        <v>337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412</v>
      </c>
      <c r="B50" s="62" t="s">
        <v>136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950</v>
      </c>
      <c r="B51" s="62" t="s">
        <v>131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951</v>
      </c>
      <c r="B52" s="62" t="s">
        <v>136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952</v>
      </c>
      <c r="B53" s="62" t="s">
        <v>131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953</v>
      </c>
      <c r="B54" s="62" t="s">
        <v>136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954</v>
      </c>
      <c r="B55" s="62" t="s">
        <v>606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955</v>
      </c>
      <c r="B56" s="62" t="s">
        <v>131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956</v>
      </c>
      <c r="B57" s="62" t="s">
        <v>131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957</v>
      </c>
      <c r="B58" s="62" t="s">
        <v>131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958</v>
      </c>
      <c r="B59" s="62" t="s">
        <v>315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959</v>
      </c>
      <c r="B60" s="62" t="s">
        <v>131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960</v>
      </c>
      <c r="B61" s="62" t="s">
        <v>131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961</v>
      </c>
      <c r="B62" s="62" t="s">
        <v>536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962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963</v>
      </c>
      <c r="B64" s="62" t="s">
        <v>337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569</v>
      </c>
      <c r="B65" s="62" t="s">
        <v>570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964</v>
      </c>
      <c r="B66" s="62" t="s">
        <v>337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576</v>
      </c>
      <c r="B67" s="62" t="s">
        <v>570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965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578</v>
      </c>
      <c r="B69" s="62" t="s">
        <v>533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966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967</v>
      </c>
      <c r="B71" s="62" t="s">
        <v>730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584</v>
      </c>
      <c r="B72" s="62" t="s">
        <v>533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968</v>
      </c>
      <c r="B73" s="62" t="s">
        <v>131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969</v>
      </c>
    </row>
    <row r="74" customFormat="false" ht="15" hidden="false" customHeight="false" outlineLevel="0" collapsed="false">
      <c r="A74" s="77" t="s">
        <v>970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971</v>
      </c>
      <c r="B75" s="62" t="s">
        <v>418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972</v>
      </c>
      <c r="B76" s="62" t="s">
        <v>421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973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974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975</v>
      </c>
      <c r="B79" s="62" t="s">
        <v>593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976</v>
      </c>
      <c r="B80" s="62" t="s">
        <v>593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0.43326149865173</v>
      </c>
      <c r="G80" s="74" t="n">
        <f aca="false">(G47+1)*G65/(G14*G53)/1000</f>
        <v>1.49211697714465</v>
      </c>
      <c r="H80" s="74" t="n">
        <f aca="false">(H47+1)*H65/(H14*H53)/1000</f>
        <v>5.94184987354833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977</v>
      </c>
      <c r="B81" s="62" t="s">
        <v>593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978</v>
      </c>
      <c r="B82" s="62" t="s">
        <v>593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979</v>
      </c>
      <c r="B83" s="62" t="s">
        <v>593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0.43326149865173</v>
      </c>
      <c r="G83" s="74" t="n">
        <f aca="false">MAX(G80,G81,G82)</f>
        <v>1.49211697714465</v>
      </c>
      <c r="H83" s="74" t="n">
        <f aca="false">MAX(H80,H81,H82)</f>
        <v>5.94184987354833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980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981</v>
      </c>
      <c r="B85" s="61" t="s">
        <v>599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982</v>
      </c>
      <c r="B86" s="61" t="s">
        <v>599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983</v>
      </c>
      <c r="B87" s="61" t="s">
        <v>599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984</v>
      </c>
      <c r="B88" s="62" t="s">
        <v>418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4152.97302302101</v>
      </c>
      <c r="G88" s="72" t="n">
        <f aca="false">IF(G87&gt;0,G87*G49/((G79+G87*G83)/1000),0)</f>
        <v>1223.81965598695</v>
      </c>
      <c r="H88" s="72" t="n">
        <f aca="false">IF(H87&gt;0,H87*H49/((H79+H87*H83)/1000),0)</f>
        <v>234.988617384446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985</v>
      </c>
      <c r="B89" s="62" t="s">
        <v>418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986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987</v>
      </c>
      <c r="B91" s="62" t="s">
        <v>131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988</v>
      </c>
    </row>
    <row r="92" customFormat="false" ht="15" hidden="false" customHeight="false" outlineLevel="0" collapsed="false">
      <c r="A92" s="77" t="s">
        <v>989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990</v>
      </c>
      <c r="B93" s="62" t="s">
        <v>991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992</v>
      </c>
      <c r="B94" s="62" t="s">
        <v>131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993</v>
      </c>
    </row>
    <row r="95" customFormat="false" ht="15" hidden="false" customHeight="false" outlineLevel="0" collapsed="false">
      <c r="A95" s="61" t="s">
        <v>994</v>
      </c>
      <c r="B95" s="62" t="s">
        <v>418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2260177.59312208</v>
      </c>
      <c r="G95" s="72" t="n">
        <f aca="false">IF(ISNUMBER(G93),IF(G93&gt;0,G22*(G43+G44)/G93,0),G93)</f>
        <v>663618.88067237</v>
      </c>
      <c r="H95" s="72" t="n">
        <f aca="false">IF(ISNUMBER(H93),IF(H93&gt;0,H22*(H43+H44)/H93,0),H93)</f>
        <v>135446.917360121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995</v>
      </c>
      <c r="B96" s="62" t="s">
        <v>418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251130.843680231</v>
      </c>
      <c r="G96" s="69" t="n">
        <f aca="false">IF(ISNUMBER(G95),G95*G44/(G43+G44),G95)</f>
        <v>73735.4311858188</v>
      </c>
      <c r="H96" s="69" t="n">
        <f aca="false">IF(ISNUMBER(H95),H95*H44/(H43+H44),H95)</f>
        <v>15049.6574844579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996</v>
      </c>
      <c r="B97" s="62" t="s">
        <v>418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2009046.74944184</v>
      </c>
      <c r="G97" s="69" t="n">
        <f aca="false">IF(ISNUMBER(G95),G95-G96,G95)</f>
        <v>589883.449486551</v>
      </c>
      <c r="H97" s="69" t="n">
        <f aca="false">IF(ISNUMBER(H95),H95-H96,H95)</f>
        <v>120397.259875663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997</v>
      </c>
      <c r="B98" s="62" t="s">
        <v>998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496729138259.007</v>
      </c>
      <c r="G98" s="72" t="n">
        <f aca="false">IF(ISNUMBER(G95),G95*G25*8760*3600/1000000,G95)</f>
        <v>145846430710.54</v>
      </c>
      <c r="H98" s="72" t="n">
        <f aca="false">IF(ISNUMBER(H95),H95*H25*8760*3600/1000000,H95)</f>
        <v>29767762827.5194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999</v>
      </c>
      <c r="B99" s="62" t="s">
        <v>998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55192126473.223</v>
      </c>
      <c r="G99" s="69" t="n">
        <f aca="false">IF(ISNUMBER(G96),G96*G25*8760*3600/1000000,G96)</f>
        <v>16205158967.8377</v>
      </c>
      <c r="H99" s="69" t="n">
        <f aca="false">IF(ISNUMBER(H96),H96*H25*8760*3600/1000000,H96)</f>
        <v>3307529203.05772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1000</v>
      </c>
    </row>
    <row r="100" customFormat="false" ht="15" hidden="false" customHeight="false" outlineLevel="0" collapsed="false">
      <c r="A100" s="77" t="s">
        <v>1001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1002</v>
      </c>
      <c r="B101" s="62" t="s">
        <v>1003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1004</v>
      </c>
      <c r="B102" s="62" t="s">
        <v>1003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1005</v>
      </c>
      <c r="B103" s="62" t="s">
        <v>1003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1006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1007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1008</v>
      </c>
      <c r="B107" s="62" t="s">
        <v>1009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1010</v>
      </c>
      <c r="B108" s="62" t="s">
        <v>935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1011</v>
      </c>
      <c r="B109" s="62" t="s">
        <v>570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1012</v>
      </c>
      <c r="B110" s="62" t="s">
        <v>533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1013</v>
      </c>
      <c r="B111" s="62" t="s">
        <v>533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1014</v>
      </c>
      <c r="B112" s="62" t="s">
        <v>1015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0.00675887963004748</v>
      </c>
      <c r="G112" s="74" t="n">
        <f aca="false">(G109*G107+G110*G24+G111*G108)/1000</f>
        <v>0.0327526840799709</v>
      </c>
      <c r="H112" s="74" t="n">
        <f aca="false">(H109*H107+H110*H24+H111*H108)/1000</f>
        <v>0.23528862439504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1016</v>
      </c>
      <c r="B113" s="62" t="s">
        <v>1015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1017</v>
      </c>
      <c r="B114" s="62" t="s">
        <v>939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1018</v>
      </c>
      <c r="B115" s="62" t="s">
        <v>939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1019</v>
      </c>
      <c r="B116" s="62" t="s">
        <v>131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1020</v>
      </c>
      <c r="B117" s="62" t="s">
        <v>1021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1022</v>
      </c>
      <c r="B118" s="62" t="s">
        <v>1015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65" t="s">
        <v>1023</v>
      </c>
    </row>
    <row r="119" customFormat="false" ht="15" hidden="false" customHeight="false" outlineLevel="0" collapsed="false">
      <c r="A119" s="77" t="s">
        <v>1024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1025</v>
      </c>
      <c r="B120" s="62" t="s">
        <v>136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1026</v>
      </c>
    </row>
    <row r="2" customFormat="false" ht="15" hidden="false" customHeight="false" outlineLevel="0" collapsed="false">
      <c r="A2" s="65" t="s">
        <v>1027</v>
      </c>
    </row>
    <row r="3" customFormat="false" ht="43.5" hidden="false" customHeight="true" outlineLevel="0" collapsed="false">
      <c r="A3" s="60" t="s">
        <v>1028</v>
      </c>
      <c r="C3" s="119" t="s">
        <v>115</v>
      </c>
      <c r="D3" s="119"/>
      <c r="E3" s="120" t="s">
        <v>1029</v>
      </c>
      <c r="F3" s="120"/>
      <c r="G3" s="120" t="s">
        <v>1030</v>
      </c>
      <c r="H3" s="120"/>
      <c r="I3" s="120" t="s">
        <v>1031</v>
      </c>
      <c r="J3" s="120"/>
      <c r="K3" s="120" t="s">
        <v>1032</v>
      </c>
      <c r="L3" s="120"/>
      <c r="M3" s="120" t="s">
        <v>1033</v>
      </c>
      <c r="N3" s="120"/>
      <c r="O3" s="120" t="s">
        <v>1034</v>
      </c>
      <c r="P3" s="120"/>
      <c r="Q3" s="120" t="s">
        <v>1035</v>
      </c>
      <c r="R3" s="120"/>
      <c r="S3" s="120" t="s">
        <v>1036</v>
      </c>
      <c r="T3" s="120"/>
      <c r="U3" s="120" t="s">
        <v>1037</v>
      </c>
      <c r="V3" s="120"/>
      <c r="W3" s="120" t="s">
        <v>1038</v>
      </c>
      <c r="X3" s="120"/>
      <c r="Y3" s="120" t="s">
        <v>1039</v>
      </c>
      <c r="Z3" s="120"/>
      <c r="AA3" s="119" t="s">
        <v>1040</v>
      </c>
      <c r="AB3" s="119"/>
      <c r="AC3" s="120" t="s">
        <v>1041</v>
      </c>
      <c r="AD3" s="120"/>
      <c r="AE3" s="120" t="s">
        <v>1042</v>
      </c>
      <c r="AF3" s="120"/>
      <c r="AG3" s="120" t="s">
        <v>1043</v>
      </c>
      <c r="AH3" s="120"/>
    </row>
    <row r="4" customFormat="false" ht="15" hidden="false" customHeight="false" outlineLevel="0" collapsed="false">
      <c r="A4" s="60" t="s">
        <v>204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918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498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920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921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922</v>
      </c>
      <c r="B10" s="62" t="s">
        <v>136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923</v>
      </c>
      <c r="B11" s="62" t="s">
        <v>136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924</v>
      </c>
      <c r="B12" s="62" t="s">
        <v>136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925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529</v>
      </c>
      <c r="B14" s="62" t="s">
        <v>530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532</v>
      </c>
      <c r="B15" s="62" t="s">
        <v>926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535</v>
      </c>
      <c r="B16" s="62" t="s">
        <v>406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927</v>
      </c>
      <c r="B17" s="62" t="s">
        <v>406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266</v>
      </c>
      <c r="B18" s="62" t="s">
        <v>730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928</v>
      </c>
      <c r="B19" s="62" t="s">
        <v>315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929</v>
      </c>
      <c r="B20" s="62" t="s">
        <v>315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930</v>
      </c>
      <c r="B21" s="62" t="s">
        <v>730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217</v>
      </c>
      <c r="B22" s="61" t="s">
        <v>931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932</v>
      </c>
      <c r="B23" s="62" t="s">
        <v>933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934</v>
      </c>
      <c r="B24" s="62" t="s">
        <v>935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936</v>
      </c>
      <c r="B25" s="61" t="s">
        <v>937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938</v>
      </c>
      <c r="B26" s="62" t="s">
        <v>939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940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317</v>
      </c>
      <c r="B28" s="62" t="s">
        <v>315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319</v>
      </c>
      <c r="B29" s="61" t="s">
        <v>320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322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941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551</v>
      </c>
      <c r="B32" s="62" t="s">
        <v>315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357</v>
      </c>
      <c r="B33" s="62" t="s">
        <v>315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942</v>
      </c>
      <c r="B34" s="62" t="s">
        <v>315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556</v>
      </c>
      <c r="B35" s="62" t="s">
        <v>359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334</v>
      </c>
      <c r="B36" s="62" t="s">
        <v>131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943</v>
      </c>
      <c r="B37" s="62" t="s">
        <v>337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339</v>
      </c>
      <c r="B38" s="62" t="s">
        <v>136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341</v>
      </c>
      <c r="B39" s="62" t="s">
        <v>337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944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417</v>
      </c>
      <c r="B41" s="62" t="s">
        <v>418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945</v>
      </c>
      <c r="B42" s="62" t="s">
        <v>421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946</v>
      </c>
      <c r="B43" s="62" t="s">
        <v>337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424</v>
      </c>
      <c r="B44" s="62" t="s">
        <v>337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565</v>
      </c>
      <c r="B45" s="62" t="s">
        <v>337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572</v>
      </c>
      <c r="B46" s="62" t="s">
        <v>337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947</v>
      </c>
      <c r="B47" s="62" t="s">
        <v>337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948</v>
      </c>
      <c r="B48" s="62" t="s">
        <v>131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949</v>
      </c>
      <c r="B49" s="62" t="s">
        <v>337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412</v>
      </c>
      <c r="B50" s="62" t="s">
        <v>136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950</v>
      </c>
      <c r="B51" s="62" t="s">
        <v>131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951</v>
      </c>
      <c r="B52" s="62" t="s">
        <v>136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952</v>
      </c>
      <c r="B53" s="62" t="s">
        <v>131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953</v>
      </c>
      <c r="B54" s="62" t="s">
        <v>136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954</v>
      </c>
      <c r="B55" s="62" t="s">
        <v>606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955</v>
      </c>
      <c r="B56" s="62" t="s">
        <v>131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956</v>
      </c>
      <c r="B57" s="62" t="s">
        <v>131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957</v>
      </c>
      <c r="B58" s="62" t="s">
        <v>131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958</v>
      </c>
      <c r="B59" s="62" t="s">
        <v>315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959</v>
      </c>
      <c r="B60" s="62" t="s">
        <v>131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960</v>
      </c>
      <c r="B61" s="62" t="s">
        <v>131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961</v>
      </c>
      <c r="B62" s="62" t="s">
        <v>536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962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963</v>
      </c>
      <c r="B64" s="62" t="s">
        <v>337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569</v>
      </c>
      <c r="B65" s="62" t="s">
        <v>570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964</v>
      </c>
      <c r="B66" s="62" t="s">
        <v>337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576</v>
      </c>
      <c r="B67" s="62" t="s">
        <v>570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965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578</v>
      </c>
      <c r="B69" s="62" t="s">
        <v>533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966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967</v>
      </c>
      <c r="B71" s="62" t="s">
        <v>730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584</v>
      </c>
      <c r="B72" s="62" t="s">
        <v>533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968</v>
      </c>
      <c r="B73" s="62" t="s">
        <v>131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970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971</v>
      </c>
      <c r="B75" s="62" t="s">
        <v>418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972</v>
      </c>
      <c r="B76" s="62" t="s">
        <v>421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973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974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975</v>
      </c>
      <c r="B79" s="62" t="s">
        <v>593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976</v>
      </c>
      <c r="B80" s="62" t="s">
        <v>593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977</v>
      </c>
      <c r="B81" s="62" t="s">
        <v>593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978</v>
      </c>
      <c r="B82" s="62" t="s">
        <v>593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979</v>
      </c>
      <c r="B83" s="62" t="s">
        <v>593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980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981</v>
      </c>
      <c r="B85" s="61" t="s">
        <v>599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982</v>
      </c>
      <c r="B86" s="61" t="s">
        <v>599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983</v>
      </c>
      <c r="B87" s="61" t="s">
        <v>599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984</v>
      </c>
      <c r="B88" s="62" t="s">
        <v>418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985</v>
      </c>
      <c r="B89" s="62" t="s">
        <v>418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986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987</v>
      </c>
      <c r="B91" s="62" t="s">
        <v>131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989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990</v>
      </c>
      <c r="B93" s="62" t="s">
        <v>991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992</v>
      </c>
      <c r="B94" s="62" t="s">
        <v>131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994</v>
      </c>
      <c r="B95" s="62" t="s">
        <v>418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995</v>
      </c>
      <c r="B96" s="62" t="s">
        <v>418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996</v>
      </c>
      <c r="B97" s="62" t="s">
        <v>418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997</v>
      </c>
      <c r="B98" s="62" t="s">
        <v>998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999</v>
      </c>
      <c r="B99" s="62" t="s">
        <v>998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1001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1002</v>
      </c>
      <c r="B101" s="62" t="s">
        <v>1003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1004</v>
      </c>
      <c r="B102" s="62" t="s">
        <v>1003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1005</v>
      </c>
      <c r="B103" s="62" t="s">
        <v>1003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1044</v>
      </c>
      <c r="B104" s="62" t="s">
        <v>1045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1046</v>
      </c>
      <c r="B105" s="62" t="s">
        <v>1045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1007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1008</v>
      </c>
      <c r="B107" s="62" t="s">
        <v>1009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1010</v>
      </c>
      <c r="B108" s="62" t="s">
        <v>935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1011</v>
      </c>
      <c r="B109" s="62" t="s">
        <v>570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1012</v>
      </c>
      <c r="B110" s="62" t="s">
        <v>533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1013</v>
      </c>
      <c r="B111" s="62" t="s">
        <v>533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1014</v>
      </c>
      <c r="B112" s="62" t="s">
        <v>1015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1016</v>
      </c>
      <c r="B113" s="62" t="s">
        <v>1015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1017</v>
      </c>
      <c r="B114" s="62" t="s">
        <v>939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1018</v>
      </c>
      <c r="B115" s="62" t="s">
        <v>939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1019</v>
      </c>
      <c r="B116" s="62" t="s">
        <v>131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1020</v>
      </c>
      <c r="B117" s="62" t="s">
        <v>1021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1022</v>
      </c>
      <c r="B118" s="62" t="s">
        <v>1015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1047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1048</v>
      </c>
      <c r="B120" s="62" t="s">
        <v>136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1049</v>
      </c>
      <c r="B121" s="62" t="s">
        <v>136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1050</v>
      </c>
    </row>
    <row r="2" customFormat="false" ht="15" hidden="false" customHeight="false" outlineLevel="0" collapsed="false">
      <c r="A2" s="65" t="s">
        <v>1051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1052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1053</v>
      </c>
      <c r="B8" s="62" t="s">
        <v>1054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1055</v>
      </c>
      <c r="B9" s="62" t="s">
        <v>1054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1056</v>
      </c>
      <c r="B10" s="62" t="s">
        <v>131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1057</v>
      </c>
    </row>
    <row r="12" customFormat="false" ht="15" hidden="false" customHeight="false" outlineLevel="0" collapsed="false">
      <c r="A12" s="77" t="s">
        <v>306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1058</v>
      </c>
      <c r="B13" s="62" t="s">
        <v>991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1059</v>
      </c>
      <c r="B14" s="62" t="s">
        <v>991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1060</v>
      </c>
      <c r="B15" s="62" t="s">
        <v>991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1061</v>
      </c>
      <c r="B16" s="62" t="s">
        <v>1045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1062</v>
      </c>
      <c r="B17" s="62" t="s">
        <v>1045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1063</v>
      </c>
      <c r="B18" s="62" t="s">
        <v>1045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1064</v>
      </c>
      <c r="B19" s="62" t="s">
        <v>1045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1065</v>
      </c>
    </row>
    <row r="20" customFormat="false" ht="15" hidden="false" customHeight="false" outlineLevel="0" collapsed="false">
      <c r="A20" s="61" t="s">
        <v>1066</v>
      </c>
      <c r="B20" s="62" t="s">
        <v>1045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1067</v>
      </c>
    </row>
    <row r="21" customFormat="false" ht="15" hidden="false" customHeight="false" outlineLevel="0" collapsed="false">
      <c r="A21" s="62" t="s">
        <v>1068</v>
      </c>
      <c r="B21" s="62" t="s">
        <v>1045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1069</v>
      </c>
    </row>
    <row r="22" customFormat="false" ht="15" hidden="false" customHeight="false" outlineLevel="0" collapsed="false">
      <c r="A22" s="62" t="s">
        <v>1070</v>
      </c>
      <c r="B22" s="62" t="s">
        <v>1045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1071</v>
      </c>
    </row>
    <row r="25" customFormat="false" ht="15" hidden="false" customHeight="false" outlineLevel="0" collapsed="false">
      <c r="A25" s="77" t="s">
        <v>307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1058</v>
      </c>
      <c r="B26" s="62" t="s">
        <v>991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1059</v>
      </c>
      <c r="B27" s="62" t="s">
        <v>991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1060</v>
      </c>
      <c r="B28" s="62" t="s">
        <v>991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1061</v>
      </c>
      <c r="B29" s="62" t="s">
        <v>1045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1062</v>
      </c>
      <c r="B30" s="62" t="s">
        <v>1045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1063</v>
      </c>
      <c r="B31" s="62" t="s">
        <v>1045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1064</v>
      </c>
      <c r="B32" s="62" t="s">
        <v>1045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1072</v>
      </c>
    </row>
    <row r="33" customFormat="false" ht="15" hidden="false" customHeight="false" outlineLevel="0" collapsed="false">
      <c r="A33" s="61" t="s">
        <v>1066</v>
      </c>
      <c r="B33" s="62" t="s">
        <v>1045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1073</v>
      </c>
    </row>
    <row r="34" customFormat="false" ht="15" hidden="false" customHeight="false" outlineLevel="0" collapsed="false">
      <c r="A34" s="62" t="s">
        <v>1068</v>
      </c>
      <c r="B34" s="62" t="s">
        <v>1045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1074</v>
      </c>
    </row>
    <row r="35" customFormat="false" ht="15" hidden="false" customHeight="false" outlineLevel="0" collapsed="false">
      <c r="A35" s="62" t="s">
        <v>1070</v>
      </c>
      <c r="B35" s="62" t="s">
        <v>1045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1075</v>
      </c>
    </row>
    <row r="38" customFormat="false" ht="15" hidden="false" customHeight="false" outlineLevel="0" collapsed="false">
      <c r="A38" s="77" t="s">
        <v>308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1058</v>
      </c>
      <c r="B39" s="62" t="s">
        <v>991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1059</v>
      </c>
      <c r="B40" s="62" t="s">
        <v>991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1060</v>
      </c>
      <c r="B41" s="62" t="s">
        <v>991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1061</v>
      </c>
      <c r="B42" s="62" t="s">
        <v>1045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1062</v>
      </c>
      <c r="B43" s="62" t="s">
        <v>1045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1063</v>
      </c>
      <c r="B44" s="62" t="s">
        <v>1045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1064</v>
      </c>
      <c r="B45" s="62" t="s">
        <v>1045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1076</v>
      </c>
    </row>
    <row r="46" customFormat="false" ht="15" hidden="false" customHeight="false" outlineLevel="0" collapsed="false">
      <c r="A46" s="61" t="s">
        <v>1066</v>
      </c>
      <c r="B46" s="62" t="s">
        <v>1045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1077</v>
      </c>
    </row>
    <row r="47" customFormat="false" ht="15" hidden="false" customHeight="false" outlineLevel="0" collapsed="false">
      <c r="A47" s="62" t="s">
        <v>1068</v>
      </c>
      <c r="B47" s="62" t="s">
        <v>1045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1078</v>
      </c>
    </row>
    <row r="48" customFormat="false" ht="15" hidden="false" customHeight="false" outlineLevel="0" collapsed="false">
      <c r="A48" s="62" t="s">
        <v>1070</v>
      </c>
      <c r="B48" s="62" t="s">
        <v>1045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1080</v>
      </c>
    </row>
    <row r="2" customFormat="false" ht="15" hidden="false" customHeight="true" outlineLevel="0" collapsed="false">
      <c r="A2" s="11" t="s">
        <v>1081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204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1082</v>
      </c>
    </row>
    <row r="5" customFormat="false" ht="15" hidden="false" customHeight="true" outlineLevel="0" collapsed="false">
      <c r="A5" s="22" t="s">
        <v>28</v>
      </c>
      <c r="C5" s="36" t="s">
        <v>114</v>
      </c>
      <c r="D5" s="36" t="s">
        <v>115</v>
      </c>
      <c r="E5" s="36" t="s">
        <v>116</v>
      </c>
      <c r="F5" s="36" t="s">
        <v>114</v>
      </c>
      <c r="G5" s="36" t="s">
        <v>115</v>
      </c>
      <c r="H5" s="36" t="s">
        <v>116</v>
      </c>
      <c r="I5" s="36" t="s">
        <v>114</v>
      </c>
      <c r="J5" s="36" t="s">
        <v>115</v>
      </c>
      <c r="K5" s="36" t="s">
        <v>116</v>
      </c>
      <c r="L5" s="36" t="s">
        <v>114</v>
      </c>
      <c r="M5" s="36" t="s">
        <v>115</v>
      </c>
      <c r="N5" s="36" t="s">
        <v>116</v>
      </c>
      <c r="O5" s="36" t="s">
        <v>114</v>
      </c>
      <c r="P5" s="36" t="s">
        <v>115</v>
      </c>
      <c r="Q5" s="36" t="s">
        <v>116</v>
      </c>
    </row>
    <row r="7" customFormat="false" ht="15" hidden="false" customHeight="true" outlineLevel="0" collapsed="false">
      <c r="A7" s="27" t="s">
        <v>1083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1084</v>
      </c>
      <c r="B8" s="17" t="s">
        <v>1085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130</v>
      </c>
      <c r="B9" s="17" t="s">
        <v>131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1086</v>
      </c>
      <c r="B10" s="17" t="s">
        <v>1085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938</v>
      </c>
      <c r="B11" s="17" t="s">
        <v>939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1087</v>
      </c>
      <c r="B12" s="23" t="s">
        <v>937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217</v>
      </c>
      <c r="B13" s="23" t="s">
        <v>931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1088</v>
      </c>
      <c r="B14" s="23" t="s">
        <v>931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135</v>
      </c>
      <c r="B15" s="17" t="s">
        <v>136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1089</v>
      </c>
      <c r="B16" s="17" t="s">
        <v>1085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1090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1091</v>
      </c>
      <c r="B18" s="17" t="s">
        <v>1092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1093</v>
      </c>
      <c r="B19" s="17" t="s">
        <v>1094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146</v>
      </c>
      <c r="B20" s="17" t="s">
        <v>131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1095</v>
      </c>
      <c r="B21" s="17" t="s">
        <v>1094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1096</v>
      </c>
      <c r="B22" s="17" t="s">
        <v>149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1096</v>
      </c>
      <c r="B23" s="17" t="s">
        <v>1094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1097</v>
      </c>
      <c r="B24" s="17" t="s">
        <v>1094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152</v>
      </c>
      <c r="B25" s="17" t="s">
        <v>1094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1098</v>
      </c>
      <c r="B26" s="17" t="s">
        <v>1094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1099</v>
      </c>
      <c r="B27" s="17" t="s">
        <v>1094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1100</v>
      </c>
      <c r="B28" s="17" t="s">
        <v>1094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1101</v>
      </c>
      <c r="B29" s="17" t="s">
        <v>1094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1102</v>
      </c>
      <c r="B30" s="17" t="s">
        <v>131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162</v>
      </c>
      <c r="B31" s="17" t="s">
        <v>1094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1103</v>
      </c>
      <c r="B32" s="17" t="s">
        <v>1094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1104</v>
      </c>
      <c r="B33" s="17" t="s">
        <v>1094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1105</v>
      </c>
      <c r="B34" s="17" t="s">
        <v>1106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1107</v>
      </c>
    </row>
    <row r="35" customFormat="false" ht="15" hidden="false" customHeight="true" outlineLevel="0" collapsed="false">
      <c r="A35" s="22" t="s">
        <v>1108</v>
      </c>
      <c r="B35" s="17" t="s">
        <v>1092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1109</v>
      </c>
    </row>
    <row r="36" customFormat="false" ht="15" hidden="false" customHeight="true" outlineLevel="0" collapsed="false">
      <c r="A36" s="22" t="s">
        <v>1110</v>
      </c>
      <c r="B36" s="17" t="s">
        <v>1092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1111</v>
      </c>
    </row>
    <row r="37" customFormat="false" ht="15" hidden="false" customHeight="true" outlineLevel="0" collapsed="false">
      <c r="A37" s="27" t="s">
        <v>1112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1113</v>
      </c>
      <c r="B38" s="23" t="s">
        <v>167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1114</v>
      </c>
      <c r="B39" s="17" t="s">
        <v>1094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1115</v>
      </c>
      <c r="B40" s="17" t="s">
        <v>1094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139</v>
      </c>
      <c r="B41" s="17" t="s">
        <v>131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141</v>
      </c>
      <c r="B42" s="17" t="s">
        <v>142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1116</v>
      </c>
      <c r="B43" s="17" t="s">
        <v>1094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1117</v>
      </c>
      <c r="B44" s="17" t="s">
        <v>1094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182</v>
      </c>
      <c r="B45" s="17" t="s">
        <v>1094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1118</v>
      </c>
      <c r="B46" s="17" t="s">
        <v>1094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193</v>
      </c>
      <c r="B47" s="17" t="s">
        <v>1094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1119</v>
      </c>
      <c r="B48" s="17" t="s">
        <v>1094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1120</v>
      </c>
      <c r="B49" s="17" t="s">
        <v>1094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1121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1122</v>
      </c>
      <c r="B51" s="17" t="s">
        <v>131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1123</v>
      </c>
      <c r="B52" s="17" t="s">
        <v>136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1124</v>
      </c>
      <c r="B53" s="17" t="s">
        <v>1094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1125</v>
      </c>
      <c r="B54" s="17" t="s">
        <v>1094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1126</v>
      </c>
      <c r="B55" s="17" t="s">
        <v>1094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1127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1128</v>
      </c>
      <c r="B57" s="17" t="s">
        <v>1054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1129</v>
      </c>
      <c r="B58" s="17" t="s">
        <v>1054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1130</v>
      </c>
      <c r="B59" s="17" t="s">
        <v>1131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1132</v>
      </c>
    </row>
    <row r="60" customFormat="false" ht="15" hidden="false" customHeight="true" outlineLevel="0" collapsed="false">
      <c r="A60" s="22" t="s">
        <v>1133</v>
      </c>
      <c r="B60" s="17" t="s">
        <v>1134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1135</v>
      </c>
    </row>
    <row r="61" customFormat="false" ht="15" hidden="false" customHeight="true" outlineLevel="0" collapsed="false">
      <c r="A61" s="22" t="s">
        <v>1136</v>
      </c>
      <c r="B61" s="17" t="s">
        <v>131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1137</v>
      </c>
    </row>
    <row r="62" customFormat="false" ht="15" hidden="false" customHeight="true" outlineLevel="0" collapsed="false">
      <c r="A62" s="22" t="s">
        <v>1138</v>
      </c>
      <c r="B62" s="17" t="s">
        <v>131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1140</v>
      </c>
    </row>
    <row r="2" customFormat="false" ht="15" hidden="false" customHeight="false" outlineLevel="0" collapsed="false">
      <c r="A2" s="59" t="s">
        <v>1141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381</v>
      </c>
      <c r="B4" s="60" t="s">
        <v>113</v>
      </c>
      <c r="C4" s="60" t="s">
        <v>382</v>
      </c>
      <c r="D4" s="60" t="s">
        <v>117</v>
      </c>
      <c r="H4" s="60" t="s">
        <v>383</v>
      </c>
    </row>
    <row r="5" customFormat="false" ht="15" hidden="false" customHeight="false" outlineLevel="0" collapsed="false">
      <c r="A5" s="61" t="s">
        <v>1142</v>
      </c>
      <c r="B5" s="61"/>
      <c r="C5" s="136" t="s">
        <v>1143</v>
      </c>
      <c r="D5" s="59" t="s">
        <v>122</v>
      </c>
      <c r="H5" s="88" t="s">
        <v>1144</v>
      </c>
    </row>
    <row r="6" customFormat="false" ht="26.85" hidden="false" customHeight="false" outlineLevel="0" collapsed="false">
      <c r="A6" s="61" t="s">
        <v>1145</v>
      </c>
      <c r="B6" s="62" t="s">
        <v>131</v>
      </c>
      <c r="C6" s="67" t="n">
        <v>0.25</v>
      </c>
      <c r="D6" s="59" t="s">
        <v>137</v>
      </c>
      <c r="H6" s="88" t="s">
        <v>1146</v>
      </c>
    </row>
    <row r="7" customFormat="false" ht="15" hidden="false" customHeight="false" outlineLevel="0" collapsed="false">
      <c r="A7" s="62" t="s">
        <v>1147</v>
      </c>
      <c r="B7" s="62" t="s">
        <v>131</v>
      </c>
      <c r="C7" s="67" t="n">
        <v>0.9</v>
      </c>
      <c r="D7" s="59" t="s">
        <v>137</v>
      </c>
      <c r="H7" s="88" t="s">
        <v>1148</v>
      </c>
    </row>
    <row r="8" customFormat="false" ht="15" hidden="false" customHeight="false" outlineLevel="0" collapsed="false">
      <c r="A8" s="62" t="s">
        <v>1149</v>
      </c>
      <c r="B8" s="62" t="s">
        <v>136</v>
      </c>
      <c r="C8" s="80" t="n">
        <v>0.8</v>
      </c>
      <c r="D8" s="59" t="s">
        <v>132</v>
      </c>
      <c r="H8" s="93" t="s">
        <v>1150</v>
      </c>
    </row>
    <row r="9" customFormat="false" ht="15" hidden="false" customHeight="false" outlineLevel="0" collapsed="false">
      <c r="A9" s="62" t="s">
        <v>1151</v>
      </c>
      <c r="B9" s="62" t="s">
        <v>136</v>
      </c>
      <c r="C9" s="80" t="n">
        <v>0.6</v>
      </c>
      <c r="D9" s="59" t="s">
        <v>132</v>
      </c>
      <c r="H9" s="93" t="s">
        <v>1152</v>
      </c>
    </row>
    <row r="10" customFormat="false" ht="15" hidden="false" customHeight="false" outlineLevel="0" collapsed="false">
      <c r="A10" s="61" t="s">
        <v>1153</v>
      </c>
      <c r="B10" s="61" t="s">
        <v>126</v>
      </c>
      <c r="C10" s="68" t="n">
        <v>0</v>
      </c>
      <c r="D10" s="59" t="s">
        <v>132</v>
      </c>
      <c r="H10" s="88" t="s">
        <v>1154</v>
      </c>
    </row>
    <row r="11" customFormat="false" ht="26.85" hidden="false" customHeight="false" outlineLevel="0" collapsed="false">
      <c r="A11" s="62" t="s">
        <v>1155</v>
      </c>
      <c r="B11" s="62" t="s">
        <v>131</v>
      </c>
      <c r="C11" s="67" t="n">
        <v>0.85</v>
      </c>
      <c r="D11" s="59" t="s">
        <v>137</v>
      </c>
      <c r="H11" s="88" t="s">
        <v>1156</v>
      </c>
    </row>
    <row r="12" customFormat="false" ht="15" hidden="false" customHeight="false" outlineLevel="0" collapsed="false">
      <c r="A12" s="62" t="s">
        <v>1157</v>
      </c>
      <c r="B12" s="61" t="s">
        <v>374</v>
      </c>
      <c r="C12" s="68" t="n">
        <v>16</v>
      </c>
      <c r="D12" s="59" t="s">
        <v>137</v>
      </c>
      <c r="H12" s="88" t="s">
        <v>1158</v>
      </c>
    </row>
    <row r="13" customFormat="false" ht="26.85" hidden="false" customHeight="false" outlineLevel="0" collapsed="false">
      <c r="A13" s="61" t="s">
        <v>1159</v>
      </c>
      <c r="B13" s="62" t="s">
        <v>136</v>
      </c>
      <c r="C13" s="79" t="n">
        <v>8</v>
      </c>
      <c r="D13" s="59" t="s">
        <v>137</v>
      </c>
      <c r="H13" s="88" t="s">
        <v>1160</v>
      </c>
    </row>
    <row r="14" customFormat="false" ht="15" hidden="false" customHeight="false" outlineLevel="0" collapsed="false">
      <c r="A14" s="61" t="s">
        <v>1161</v>
      </c>
      <c r="B14" s="61"/>
      <c r="C14" s="109" t="s">
        <v>1162</v>
      </c>
      <c r="D14" s="59" t="s">
        <v>122</v>
      </c>
      <c r="H14" s="88" t="s">
        <v>1163</v>
      </c>
    </row>
    <row r="15" customFormat="false" ht="15" hidden="false" customHeight="false" outlineLevel="0" collapsed="false">
      <c r="A15" s="61" t="s">
        <v>1164</v>
      </c>
      <c r="B15" s="61" t="s">
        <v>126</v>
      </c>
      <c r="C15" s="68" t="n">
        <v>3</v>
      </c>
      <c r="D15" s="59" t="s">
        <v>132</v>
      </c>
      <c r="H15" s="93" t="s">
        <v>1165</v>
      </c>
    </row>
    <row r="16" customFormat="false" ht="15" hidden="false" customHeight="false" outlineLevel="0" collapsed="false">
      <c r="A16" s="61" t="s">
        <v>1166</v>
      </c>
      <c r="B16" s="61" t="s">
        <v>1167</v>
      </c>
      <c r="C16" s="68" t="n">
        <v>4</v>
      </c>
      <c r="D16" s="59" t="s">
        <v>122</v>
      </c>
      <c r="E16" s="83" t="str">
        <f aca="false">INDEX(Spec_Rack!$C$4:$G$4,$C$16)</f>
        <v>VR200 NVL72</v>
      </c>
      <c r="H16" s="88" t="s">
        <v>1168</v>
      </c>
      <c r="I16" s="65" t="s">
        <v>1169</v>
      </c>
    </row>
    <row r="17" customFormat="false" ht="15" hidden="false" customHeight="false" outlineLevel="0" collapsed="false">
      <c r="A17" s="61" t="s">
        <v>1170</v>
      </c>
      <c r="B17" s="61" t="s">
        <v>1167</v>
      </c>
      <c r="C17" s="68" t="n">
        <v>3</v>
      </c>
      <c r="D17" s="59" t="s">
        <v>122</v>
      </c>
      <c r="E17" s="83" t="str">
        <f aca="false">INDEX(Spec_Rack!$C$4:$G$4,$C$17)</f>
        <v>GB300 NVL72</v>
      </c>
      <c r="H17" s="88" t="s">
        <v>1171</v>
      </c>
      <c r="I17" s="65" t="s">
        <v>1172</v>
      </c>
    </row>
    <row r="19" customFormat="false" ht="15" hidden="false" customHeight="false" outlineLevel="0" collapsed="false">
      <c r="A19" s="70" t="s">
        <v>1173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204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1174</v>
      </c>
    </row>
    <row r="21" customFormat="false" ht="37.3" hidden="false" customHeight="false" outlineLevel="0" collapsed="false">
      <c r="A21" s="61" t="s">
        <v>1175</v>
      </c>
      <c r="B21" s="62" t="s">
        <v>136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1176</v>
      </c>
    </row>
    <row r="23" customFormat="false" ht="15" hidden="false" customHeight="false" outlineLevel="0" collapsed="false">
      <c r="A23" s="70" t="s">
        <v>1177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415</v>
      </c>
      <c r="B24" s="60" t="s">
        <v>113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383</v>
      </c>
      <c r="I24" s="65" t="s">
        <v>1178</v>
      </c>
    </row>
    <row r="25" customFormat="false" ht="24.6" hidden="false" customHeight="false" outlineLevel="0" collapsed="false">
      <c r="A25" s="61" t="s">
        <v>1179</v>
      </c>
      <c r="B25" s="62" t="s">
        <v>1180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1181</v>
      </c>
    </row>
    <row r="26" customFormat="false" ht="15" hidden="false" customHeight="false" outlineLevel="0" collapsed="false">
      <c r="A26" s="61" t="s">
        <v>1182</v>
      </c>
      <c r="B26" s="62" t="s">
        <v>337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1183</v>
      </c>
    </row>
    <row r="27" customFormat="false" ht="15" hidden="false" customHeight="false" outlineLevel="0" collapsed="false">
      <c r="A27" s="61" t="s">
        <v>1184</v>
      </c>
      <c r="B27" s="62" t="s">
        <v>1180</v>
      </c>
      <c r="C27" s="137" t="n">
        <v>1</v>
      </c>
      <c r="D27" s="137" t="n">
        <v>1</v>
      </c>
      <c r="E27" s="137" t="n">
        <v>2</v>
      </c>
      <c r="H27" s="88" t="s">
        <v>1185</v>
      </c>
    </row>
    <row r="28" customFormat="false" ht="15" hidden="false" customHeight="false" outlineLevel="0" collapsed="false">
      <c r="A28" s="61" t="s">
        <v>1186</v>
      </c>
      <c r="B28" s="62" t="s">
        <v>337</v>
      </c>
      <c r="C28" s="64" t="n">
        <v>131072</v>
      </c>
      <c r="D28" s="64" t="n">
        <v>131072</v>
      </c>
      <c r="E28" s="64" t="n">
        <v>131072</v>
      </c>
      <c r="H28" s="88" t="s">
        <v>132</v>
      </c>
    </row>
    <row r="29" customFormat="false" ht="15" hidden="false" customHeight="false" outlineLevel="0" collapsed="false">
      <c r="A29" s="62" t="s">
        <v>1187</v>
      </c>
      <c r="B29" s="62" t="s">
        <v>1180</v>
      </c>
      <c r="C29" s="138" t="n">
        <v>0.05</v>
      </c>
      <c r="D29" s="138" t="n">
        <v>0.05</v>
      </c>
      <c r="E29" s="138" t="n">
        <v>0.1</v>
      </c>
      <c r="H29" s="88" t="s">
        <v>1188</v>
      </c>
    </row>
    <row r="30" customFormat="false" ht="15" hidden="false" customHeight="false" outlineLevel="0" collapsed="false">
      <c r="A30" s="62" t="s">
        <v>1189</v>
      </c>
      <c r="B30" s="62" t="s">
        <v>337</v>
      </c>
      <c r="C30" s="64" t="n">
        <v>16384</v>
      </c>
      <c r="D30" s="64" t="n">
        <v>16384</v>
      </c>
      <c r="E30" s="64" t="n">
        <v>16384</v>
      </c>
      <c r="H30" s="88" t="s">
        <v>132</v>
      </c>
    </row>
    <row r="31" customFormat="false" ht="15" hidden="false" customHeight="false" outlineLevel="0" collapsed="false">
      <c r="A31" s="61" t="s">
        <v>1190</v>
      </c>
      <c r="B31" s="62" t="s">
        <v>418</v>
      </c>
      <c r="C31" s="64" t="n">
        <v>20</v>
      </c>
      <c r="D31" s="64" t="n">
        <v>20</v>
      </c>
      <c r="E31" s="64" t="n">
        <v>20</v>
      </c>
      <c r="H31" s="93" t="s">
        <v>1191</v>
      </c>
    </row>
    <row r="32" customFormat="false" ht="15" hidden="false" customHeight="false" outlineLevel="0" collapsed="false">
      <c r="A32" s="62" t="s">
        <v>1192</v>
      </c>
      <c r="B32" s="62" t="s">
        <v>337</v>
      </c>
      <c r="C32" s="64" t="n">
        <v>4096</v>
      </c>
      <c r="D32" s="64" t="n">
        <v>8192</v>
      </c>
      <c r="E32" s="64" t="n">
        <v>16384</v>
      </c>
      <c r="H32" s="88" t="s">
        <v>132</v>
      </c>
    </row>
    <row r="33" customFormat="false" ht="15" hidden="false" customHeight="false" outlineLevel="0" collapsed="false">
      <c r="A33" s="62" t="s">
        <v>1193</v>
      </c>
      <c r="B33" s="62" t="s">
        <v>337</v>
      </c>
      <c r="C33" s="64" t="n">
        <v>8192</v>
      </c>
      <c r="D33" s="64" t="n">
        <v>16384</v>
      </c>
      <c r="E33" s="64" t="n">
        <v>32768</v>
      </c>
      <c r="H33" s="88" t="s">
        <v>1194</v>
      </c>
    </row>
    <row r="34" customFormat="false" ht="90.25" hidden="false" customHeight="false" outlineLevel="0" collapsed="false">
      <c r="A34" s="62" t="s">
        <v>1195</v>
      </c>
      <c r="B34" s="62" t="s">
        <v>1180</v>
      </c>
      <c r="C34" s="139" t="n">
        <v>2.36</v>
      </c>
      <c r="D34" s="139" t="n">
        <v>2.36</v>
      </c>
      <c r="E34" s="139" t="n">
        <v>9.6</v>
      </c>
      <c r="H34" s="88" t="s">
        <v>1196</v>
      </c>
    </row>
    <row r="35" customFormat="false" ht="15" hidden="false" customHeight="false" outlineLevel="0" collapsed="false">
      <c r="A35" s="62" t="s">
        <v>1197</v>
      </c>
      <c r="B35" s="62" t="s">
        <v>1180</v>
      </c>
      <c r="C35" s="138" t="n">
        <v>0.2</v>
      </c>
      <c r="D35" s="138" t="n">
        <v>0.2</v>
      </c>
      <c r="E35" s="138" t="n">
        <v>0.2</v>
      </c>
      <c r="H35" s="88" t="s">
        <v>1198</v>
      </c>
    </row>
    <row r="36" customFormat="false" ht="15" hidden="false" customHeight="false" outlineLevel="0" collapsed="false">
      <c r="A36" s="61" t="s">
        <v>1199</v>
      </c>
      <c r="B36" s="61" t="s">
        <v>126</v>
      </c>
      <c r="C36" s="68" t="n">
        <v>1</v>
      </c>
      <c r="D36" s="68" t="n">
        <v>2</v>
      </c>
      <c r="E36" s="68" t="n">
        <v>3</v>
      </c>
      <c r="H36" s="88" t="s">
        <v>1200</v>
      </c>
    </row>
    <row r="37" customFormat="false" ht="15" hidden="false" customHeight="false" outlineLevel="0" collapsed="false">
      <c r="A37" s="61" t="s">
        <v>1201</v>
      </c>
      <c r="B37" s="62" t="s">
        <v>1180</v>
      </c>
      <c r="C37" s="137" t="n">
        <v>1</v>
      </c>
      <c r="D37" s="137" t="n">
        <v>2</v>
      </c>
      <c r="E37" s="137" t="n">
        <v>3</v>
      </c>
      <c r="H37" s="88" t="s">
        <v>1202</v>
      </c>
    </row>
    <row r="38" customFormat="false" ht="15" hidden="false" customHeight="false" outlineLevel="0" collapsed="false">
      <c r="A38" s="61" t="s">
        <v>1203</v>
      </c>
      <c r="B38" s="62" t="s">
        <v>1180</v>
      </c>
      <c r="C38" s="138" t="n">
        <v>0.02</v>
      </c>
      <c r="D38" s="138" t="n">
        <v>0.05</v>
      </c>
      <c r="E38" s="138" t="n">
        <v>0.1</v>
      </c>
      <c r="H38" s="88" t="s">
        <v>132</v>
      </c>
    </row>
    <row r="40" customFormat="false" ht="15" hidden="false" customHeight="false" outlineLevel="0" collapsed="false">
      <c r="A40" s="70" t="s">
        <v>1204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1205</v>
      </c>
      <c r="B41" s="62" t="s">
        <v>1180</v>
      </c>
      <c r="C41" s="98" t="n">
        <f aca="false">SRC_MOD_039</f>
        <v>14.8</v>
      </c>
      <c r="H41" s="88" t="s">
        <v>1206</v>
      </c>
    </row>
    <row r="42" customFormat="false" ht="15" hidden="false" customHeight="false" outlineLevel="0" collapsed="false">
      <c r="A42" s="62" t="s">
        <v>1207</v>
      </c>
      <c r="B42" s="62" t="s">
        <v>1208</v>
      </c>
      <c r="C42" s="94" t="n">
        <f aca="false">SRC_MOD_040</f>
        <v>2.664</v>
      </c>
      <c r="H42" s="88" t="s">
        <v>1209</v>
      </c>
    </row>
    <row r="43" customFormat="false" ht="15" hidden="false" customHeight="false" outlineLevel="0" collapsed="false">
      <c r="A43" s="62" t="s">
        <v>1210</v>
      </c>
      <c r="B43" s="62" t="s">
        <v>337</v>
      </c>
      <c r="C43" s="63" t="n">
        <f aca="false">SRC_MOD_042</f>
        <v>4096</v>
      </c>
      <c r="H43" s="88" t="s">
        <v>1211</v>
      </c>
    </row>
    <row r="44" customFormat="false" ht="15" hidden="false" customHeight="false" outlineLevel="0" collapsed="false">
      <c r="A44" s="62" t="s">
        <v>1212</v>
      </c>
      <c r="B44" s="62" t="s">
        <v>136</v>
      </c>
      <c r="C44" s="112" t="n">
        <f aca="false">SRC_MOD_034/SRC_MOD_040</f>
        <v>0.0551801801801802</v>
      </c>
      <c r="H44" s="88" t="s">
        <v>1213</v>
      </c>
      <c r="I44" s="65" t="s">
        <v>1214</v>
      </c>
    </row>
    <row r="45" customFormat="false" ht="15" hidden="false" customHeight="false" outlineLevel="0" collapsed="false">
      <c r="A45" s="62" t="s">
        <v>1215</v>
      </c>
      <c r="B45" s="62" t="s">
        <v>136</v>
      </c>
      <c r="C45" s="111" t="n">
        <f aca="false">SRC_MOD_036</f>
        <v>1</v>
      </c>
      <c r="H45" s="88" t="s">
        <v>1216</v>
      </c>
      <c r="I45" s="65" t="s">
        <v>1217</v>
      </c>
    </row>
    <row r="46" customFormat="false" ht="15" hidden="false" customHeight="false" outlineLevel="0" collapsed="false">
      <c r="A46" s="61" t="s">
        <v>1218</v>
      </c>
      <c r="B46" s="62" t="s">
        <v>359</v>
      </c>
      <c r="C46" s="140" t="n">
        <v>2E+026</v>
      </c>
      <c r="H46" s="88" t="s">
        <v>1219</v>
      </c>
      <c r="I46" s="65" t="s">
        <v>1220</v>
      </c>
    </row>
    <row r="47" customFormat="false" ht="15" hidden="false" customHeight="false" outlineLevel="0" collapsed="false">
      <c r="A47" s="61" t="s">
        <v>1221</v>
      </c>
      <c r="B47" s="62" t="s">
        <v>359</v>
      </c>
      <c r="C47" s="140" t="n">
        <v>5E+026</v>
      </c>
      <c r="H47" s="93" t="s">
        <v>158</v>
      </c>
    </row>
    <row r="48" customFormat="false" ht="15" hidden="false" customHeight="false" outlineLevel="0" collapsed="false">
      <c r="A48" s="61" t="s">
        <v>1222</v>
      </c>
      <c r="B48" s="62" t="s">
        <v>359</v>
      </c>
      <c r="C48" s="140" t="n">
        <v>2E+027</v>
      </c>
      <c r="H48" s="93" t="s">
        <v>158</v>
      </c>
      <c r="I48" s="65" t="s">
        <v>1223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1224</v>
      </c>
    </row>
    <row r="2" customFormat="false" ht="15" hidden="false" customHeight="false" outlineLevel="0" collapsed="false">
      <c r="A2" s="59" t="s">
        <v>1225</v>
      </c>
    </row>
    <row r="3" customFormat="false" ht="15" hidden="false" customHeight="false" outlineLevel="0" collapsed="false">
      <c r="A3" s="60" t="s">
        <v>1226</v>
      </c>
      <c r="R3" s="60" t="s">
        <v>1227</v>
      </c>
      <c r="S3" s="60" t="s">
        <v>1227</v>
      </c>
      <c r="T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1228</v>
      </c>
    </row>
    <row r="5" customFormat="false" ht="15" hidden="false" customHeight="false" outlineLevel="0" collapsed="false">
      <c r="A5" s="60" t="s">
        <v>918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1229</v>
      </c>
    </row>
    <row r="6" customFormat="false" ht="15" hidden="false" customHeight="false" outlineLevel="0" collapsed="false">
      <c r="A6" s="60" t="s">
        <v>498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920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921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922</v>
      </c>
      <c r="B10" s="62" t="s">
        <v>136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923</v>
      </c>
      <c r="B11" s="62" t="s">
        <v>136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924</v>
      </c>
      <c r="B12" s="62" t="s">
        <v>136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1230</v>
      </c>
    </row>
    <row r="13" customFormat="false" ht="15" hidden="false" customHeight="false" outlineLevel="0" collapsed="false">
      <c r="A13" s="77" t="s">
        <v>925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529</v>
      </c>
      <c r="B14" s="62" t="s">
        <v>530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532</v>
      </c>
      <c r="B15" s="62" t="s">
        <v>926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535</v>
      </c>
      <c r="B16" s="62" t="s">
        <v>406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927</v>
      </c>
      <c r="B17" s="62" t="s">
        <v>406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266</v>
      </c>
      <c r="B18" s="62" t="s">
        <v>730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928</v>
      </c>
      <c r="B19" s="62" t="s">
        <v>315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929</v>
      </c>
      <c r="B20" s="62" t="s">
        <v>315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930</v>
      </c>
      <c r="B21" s="62" t="s">
        <v>730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217</v>
      </c>
      <c r="B22" s="61" t="s">
        <v>931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1231</v>
      </c>
    </row>
    <row r="23" customFormat="false" ht="15" hidden="false" customHeight="false" outlineLevel="0" collapsed="false">
      <c r="A23" s="62" t="s">
        <v>932</v>
      </c>
      <c r="B23" s="62" t="s">
        <v>933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1232</v>
      </c>
    </row>
    <row r="24" customFormat="false" ht="15" hidden="false" customHeight="false" outlineLevel="0" collapsed="false">
      <c r="A24" s="62" t="s">
        <v>934</v>
      </c>
      <c r="B24" s="62" t="s">
        <v>935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1233</v>
      </c>
    </row>
    <row r="25" customFormat="false" ht="15" hidden="false" customHeight="false" outlineLevel="0" collapsed="false">
      <c r="A25" s="61" t="s">
        <v>936</v>
      </c>
      <c r="B25" s="61" t="s">
        <v>937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1234</v>
      </c>
    </row>
    <row r="26" customFormat="false" ht="15" hidden="false" customHeight="false" outlineLevel="0" collapsed="false">
      <c r="A26" s="61" t="s">
        <v>938</v>
      </c>
      <c r="B26" s="62" t="s">
        <v>939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1235</v>
      </c>
    </row>
    <row r="27" customFormat="false" ht="15" hidden="false" customHeight="false" outlineLevel="0" collapsed="false">
      <c r="A27" s="77" t="s">
        <v>940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317</v>
      </c>
      <c r="B28" s="62" t="s">
        <v>315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319</v>
      </c>
      <c r="B29" s="61" t="s">
        <v>320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322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941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551</v>
      </c>
      <c r="B32" s="62" t="s">
        <v>315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357</v>
      </c>
      <c r="B33" s="62" t="s">
        <v>315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942</v>
      </c>
      <c r="B34" s="62" t="s">
        <v>315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556</v>
      </c>
      <c r="B35" s="62" t="s">
        <v>359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334</v>
      </c>
      <c r="B36" s="62" t="s">
        <v>131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943</v>
      </c>
      <c r="B37" s="62" t="s">
        <v>337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339</v>
      </c>
      <c r="B38" s="62" t="s">
        <v>136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341</v>
      </c>
      <c r="B39" s="62" t="s">
        <v>337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944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417</v>
      </c>
      <c r="B41" s="62" t="s">
        <v>418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945</v>
      </c>
      <c r="B42" s="62" t="s">
        <v>421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946</v>
      </c>
      <c r="B43" s="62" t="s">
        <v>337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424</v>
      </c>
      <c r="B44" s="62" t="s">
        <v>337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565</v>
      </c>
      <c r="B45" s="62" t="s">
        <v>337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572</v>
      </c>
      <c r="B46" s="62" t="s">
        <v>337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947</v>
      </c>
      <c r="B47" s="62" t="s">
        <v>337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948</v>
      </c>
      <c r="B48" s="62" t="s">
        <v>131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949</v>
      </c>
      <c r="B49" s="62" t="s">
        <v>337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412</v>
      </c>
      <c r="B50" s="62" t="s">
        <v>136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950</v>
      </c>
      <c r="B51" s="62" t="s">
        <v>131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951</v>
      </c>
      <c r="B52" s="62" t="s">
        <v>136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952</v>
      </c>
      <c r="B53" s="62" t="s">
        <v>131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0.0843818790597254</v>
      </c>
      <c r="G53" s="113" t="n">
        <f aca="false">INDEX(Calib!$C$70:$G$70,G$6)*G52*G50*INDEX(CAL_BatchEtaD,1,G$6)</f>
        <v>0.0843818790597254</v>
      </c>
      <c r="H53" s="113" t="n">
        <f aca="false">INDEX(Calib!$C$70:$G$70,H$6)*H52*H50*INDEX(CAL_BatchEtaD,1,H$6)</f>
        <v>0.0843818790597254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953</v>
      </c>
      <c r="B54" s="62" t="s">
        <v>136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954</v>
      </c>
      <c r="B55" s="62" t="s">
        <v>606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955</v>
      </c>
      <c r="B56" s="62" t="s">
        <v>131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956</v>
      </c>
      <c r="B57" s="62" t="s">
        <v>131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957</v>
      </c>
      <c r="B58" s="62" t="s">
        <v>131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958</v>
      </c>
      <c r="B59" s="62" t="s">
        <v>315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959</v>
      </c>
      <c r="B60" s="62" t="s">
        <v>131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960</v>
      </c>
      <c r="B61" s="62" t="s">
        <v>131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961</v>
      </c>
      <c r="B62" s="62" t="s">
        <v>536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1236</v>
      </c>
    </row>
    <row r="63" customFormat="false" ht="15" hidden="false" customHeight="false" outlineLevel="0" collapsed="false">
      <c r="A63" s="77" t="s">
        <v>962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963</v>
      </c>
      <c r="B64" s="62" t="s">
        <v>337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569</v>
      </c>
      <c r="B65" s="62" t="s">
        <v>570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1237</v>
      </c>
    </row>
    <row r="66" customFormat="false" ht="15" hidden="false" customHeight="false" outlineLevel="0" collapsed="false">
      <c r="A66" s="62" t="s">
        <v>964</v>
      </c>
      <c r="B66" s="62" t="s">
        <v>337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576</v>
      </c>
      <c r="B67" s="62" t="s">
        <v>570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1238</v>
      </c>
    </row>
    <row r="68" customFormat="false" ht="15" hidden="false" customHeight="false" outlineLevel="0" collapsed="false">
      <c r="A68" s="77" t="s">
        <v>965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578</v>
      </c>
      <c r="B69" s="62" t="s">
        <v>533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966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967</v>
      </c>
      <c r="B71" s="62" t="s">
        <v>730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584</v>
      </c>
      <c r="B72" s="62" t="s">
        <v>533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968</v>
      </c>
      <c r="B73" s="62" t="s">
        <v>131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1239</v>
      </c>
    </row>
    <row r="74" customFormat="false" ht="15" hidden="false" customHeight="false" outlineLevel="0" collapsed="false">
      <c r="A74" s="77" t="s">
        <v>970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971</v>
      </c>
      <c r="B75" s="62" t="s">
        <v>418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1240</v>
      </c>
      <c r="B76" s="62" t="s">
        <v>421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973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974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975</v>
      </c>
      <c r="B79" s="62" t="s">
        <v>593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976</v>
      </c>
      <c r="B80" s="62" t="s">
        <v>593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0.183533229021648</v>
      </c>
      <c r="G80" s="74" t="n">
        <f aca="false">(G47+1)*G65/(G14*G53)/1000</f>
        <v>0.631944897166114</v>
      </c>
      <c r="H80" s="74" t="n">
        <f aca="false">(H47+1)*H65/(H14*H53)/1000</f>
        <v>2.47001502884852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977</v>
      </c>
      <c r="B81" s="62" t="s">
        <v>593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978</v>
      </c>
      <c r="B82" s="62" t="s">
        <v>593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979</v>
      </c>
      <c r="B83" s="62" t="s">
        <v>593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0.183533229021648</v>
      </c>
      <c r="G83" s="74" t="n">
        <f aca="false">MAX(G80,G81,G82)</f>
        <v>0.631944897166114</v>
      </c>
      <c r="H83" s="74" t="n">
        <f aca="false">MAX(H80,H81,H82)</f>
        <v>2.47001502884852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980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1241</v>
      </c>
    </row>
    <row r="85" customFormat="false" ht="15" hidden="false" customHeight="false" outlineLevel="0" collapsed="false">
      <c r="A85" s="62" t="s">
        <v>981</v>
      </c>
      <c r="B85" s="61" t="s">
        <v>599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982</v>
      </c>
      <c r="B86" s="61" t="s">
        <v>599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983</v>
      </c>
      <c r="B87" s="61" t="s">
        <v>599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642.64571183456</v>
      </c>
      <c r="G87" s="114" t="n">
        <f aca="false">MAX(0,MIN(G85,G86))</f>
        <v>174.585390745362</v>
      </c>
      <c r="H87" s="114" t="n">
        <f aca="false">MAX(0,MIN(H85,H86))</f>
        <v>40.0039257748446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984</v>
      </c>
      <c r="B88" s="62" t="s">
        <v>418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12852.9142366912</v>
      </c>
      <c r="G88" s="72" t="n">
        <f aca="false">IF(G87&gt;0,G87*G49/((G79+G87*G83)/1000),0)</f>
        <v>3491.70781490724</v>
      </c>
      <c r="H88" s="72" t="n">
        <f aca="false">IF(H87&gt;0,H87*H49/((H79+H87*H83)/1000),0)</f>
        <v>800.078515496892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985</v>
      </c>
      <c r="B89" s="62" t="s">
        <v>418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986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1242</v>
      </c>
    </row>
    <row r="91" customFormat="false" ht="15" hidden="false" customHeight="false" outlineLevel="0" collapsed="false">
      <c r="A91" s="62" t="s">
        <v>987</v>
      </c>
      <c r="B91" s="62" t="s">
        <v>131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1243</v>
      </c>
    </row>
    <row r="92" customFormat="false" ht="15" hidden="false" customHeight="false" outlineLevel="0" collapsed="false">
      <c r="A92" s="77" t="s">
        <v>989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1244</v>
      </c>
      <c r="B93" s="62" t="s">
        <v>991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0.681473549873214</v>
      </c>
      <c r="G93" s="107" t="n">
        <f aca="false">IF(ISNUMBER(G88),IF(G88&gt;0,IF(G77="是",G43/G75+G44/G88,"TTFT 不可達"),"SLO 不可達"),"SLO 不可達")</f>
        <v>5.051410318767</v>
      </c>
      <c r="H93" s="107" t="n">
        <f aca="false">IF(ISNUMBER(H88),IF(H88&gt;0,IF(H77="是",H43/H75+H44/H88,"TTFT 不可達"),"SLO 不可達"),"SLO 不可達")</f>
        <v>43.1419627266153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65" t="s">
        <v>1245</v>
      </c>
    </row>
    <row r="94" customFormat="false" ht="15" hidden="false" customHeight="false" outlineLevel="0" collapsed="false">
      <c r="A94" s="62" t="s">
        <v>992</v>
      </c>
      <c r="B94" s="62" t="s">
        <v>131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1246</v>
      </c>
    </row>
    <row r="95" customFormat="false" ht="15" hidden="false" customHeight="false" outlineLevel="0" collapsed="false">
      <c r="A95" s="61" t="s">
        <v>994</v>
      </c>
      <c r="B95" s="62" t="s">
        <v>418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1298269.02330194</v>
      </c>
      <c r="G95" s="72" t="n">
        <f aca="false">IF(ISNUMBER(G93),IF(G93&gt;0,G22*(G43+G44)/G93,0),G93)</f>
        <v>350292.668450642</v>
      </c>
      <c r="H95" s="72" t="n">
        <f aca="false">IF(ISNUMBER(H93),IF(H93&gt;0,H22*(H43+H44)/H93,0),H93)</f>
        <v>82030.203920619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1247</v>
      </c>
    </row>
    <row r="96" customFormat="false" ht="15" hidden="false" customHeight="false" outlineLevel="0" collapsed="false">
      <c r="A96" s="61" t="s">
        <v>995</v>
      </c>
      <c r="B96" s="62" t="s">
        <v>418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865512.682201291</v>
      </c>
      <c r="G96" s="69" t="n">
        <f aca="false">IF(ISNUMBER(G95),G95*G44/(G43+G44),G95)</f>
        <v>233528.445633761</v>
      </c>
      <c r="H96" s="69" t="n">
        <f aca="false">IF(ISNUMBER(H95),H95*H44/(H43+H44),H95)</f>
        <v>54686.802613746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1248</v>
      </c>
    </row>
    <row r="97" customFormat="false" ht="15" hidden="false" customHeight="false" outlineLevel="0" collapsed="false">
      <c r="A97" s="61" t="s">
        <v>996</v>
      </c>
      <c r="B97" s="62" t="s">
        <v>418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432756.341100645</v>
      </c>
      <c r="G97" s="69" t="n">
        <f aca="false">IF(ISNUMBER(G95),G95-G96,G95)</f>
        <v>116764.222816881</v>
      </c>
      <c r="H97" s="69" t="n">
        <f aca="false">IF(ISNUMBER(H95),H95-H96,H95)</f>
        <v>27343.401306873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1249</v>
      </c>
    </row>
    <row r="98" customFormat="false" ht="15" hidden="false" customHeight="false" outlineLevel="0" collapsed="false">
      <c r="A98" s="61" t="s">
        <v>997</v>
      </c>
      <c r="B98" s="62" t="s">
        <v>998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285326274862.465</v>
      </c>
      <c r="G98" s="72" t="n">
        <f aca="false">IF(ISNUMBER(G95),G95*G25*8760*3600/1000000,G95)</f>
        <v>76985355428.456</v>
      </c>
      <c r="H98" s="72" t="n">
        <f aca="false">IF(ISNUMBER(H95),H95*H25*8760*3600/1000000,H95)</f>
        <v>18028137536.0484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1250</v>
      </c>
    </row>
    <row r="99" customFormat="false" ht="15" hidden="false" customHeight="false" outlineLevel="0" collapsed="false">
      <c r="A99" s="61" t="s">
        <v>999</v>
      </c>
      <c r="B99" s="62" t="s">
        <v>998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190217516574.976</v>
      </c>
      <c r="G99" s="69" t="n">
        <f aca="false">IF(ISNUMBER(G96),G96*G25*8760*3600/1000000,G96)</f>
        <v>51323570285.6374</v>
      </c>
      <c r="H99" s="69" t="n">
        <f aca="false">IF(ISNUMBER(H96),H96*H25*8760*3600/1000000,H96)</f>
        <v>12018758357.3656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1251</v>
      </c>
    </row>
    <row r="100" customFormat="false" ht="15" hidden="false" customHeight="false" outlineLevel="0" collapsed="false">
      <c r="A100" s="77" t="s">
        <v>1001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1002</v>
      </c>
      <c r="B101" s="62" t="s">
        <v>1003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1252</v>
      </c>
    </row>
    <row r="102" customFormat="false" ht="15" hidden="false" customHeight="false" outlineLevel="0" collapsed="false">
      <c r="A102" s="61" t="s">
        <v>1004</v>
      </c>
      <c r="B102" s="62" t="s">
        <v>1003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1253</v>
      </c>
    </row>
    <row r="103" customFormat="false" ht="15" hidden="false" customHeight="false" outlineLevel="0" collapsed="false">
      <c r="A103" s="62" t="s">
        <v>1005</v>
      </c>
      <c r="B103" s="62" t="s">
        <v>1003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1254</v>
      </c>
    </row>
    <row r="104" customFormat="false" ht="15" hidden="false" customHeight="false" outlineLevel="0" collapsed="false">
      <c r="A104" s="65" t="s">
        <v>1006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1007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1008</v>
      </c>
      <c r="B107" s="62" t="s">
        <v>1009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1255</v>
      </c>
    </row>
    <row r="108" customFormat="false" ht="15" hidden="false" customHeight="false" outlineLevel="0" collapsed="false">
      <c r="A108" s="62" t="s">
        <v>1010</v>
      </c>
      <c r="B108" s="62" t="s">
        <v>935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1256</v>
      </c>
    </row>
    <row r="109" customFormat="false" ht="15" hidden="false" customHeight="false" outlineLevel="0" collapsed="false">
      <c r="A109" s="62" t="s">
        <v>1011</v>
      </c>
      <c r="B109" s="62" t="s">
        <v>570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1257</v>
      </c>
    </row>
    <row r="110" customFormat="false" ht="15" hidden="false" customHeight="false" outlineLevel="0" collapsed="false">
      <c r="A110" s="62" t="s">
        <v>1012</v>
      </c>
      <c r="B110" s="62" t="s">
        <v>533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0.0153723739642019</v>
      </c>
      <c r="G110" s="107" t="n">
        <f aca="false">IF(G87&gt;0,(G72+G87*G34*G45/1000000000)/(G87*G49),0)</f>
        <v>0.134293343771453</v>
      </c>
      <c r="H110" s="107" t="n">
        <f aca="false">IF(H87&gt;0,(H72+H87*H34*H45/1000000000)/(H87*H49),0)</f>
        <v>1.63234847968924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65" t="s">
        <v>1258</v>
      </c>
    </row>
    <row r="111" customFormat="false" ht="15" hidden="false" customHeight="false" outlineLevel="0" collapsed="false">
      <c r="A111" s="62" t="s">
        <v>1013</v>
      </c>
      <c r="B111" s="62" t="s">
        <v>533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1259</v>
      </c>
    </row>
    <row r="112" customFormat="false" ht="15" hidden="false" customHeight="false" outlineLevel="0" collapsed="false">
      <c r="A112" s="62" t="s">
        <v>1014</v>
      </c>
      <c r="B112" s="62" t="s">
        <v>1015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0.0048364865496644</v>
      </c>
      <c r="G112" s="74" t="n">
        <f aca="false">(G109*G107+G110*G24+G111*G108)/1000</f>
        <v>0.0186390552829001</v>
      </c>
      <c r="H112" s="74" t="n">
        <f aca="false">(H109*H107+H110*H24+H111*H108)/1000</f>
        <v>0.100984370419708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1260</v>
      </c>
    </row>
    <row r="113" customFormat="false" ht="15" hidden="false" customHeight="false" outlineLevel="0" collapsed="false">
      <c r="A113" s="62" t="s">
        <v>1016</v>
      </c>
      <c r="B113" s="62" t="s">
        <v>1015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1261</v>
      </c>
    </row>
    <row r="114" customFormat="false" ht="15" hidden="false" customHeight="false" outlineLevel="0" collapsed="false">
      <c r="A114" s="61" t="s">
        <v>1017</v>
      </c>
      <c r="B114" s="62" t="s">
        <v>939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1262</v>
      </c>
    </row>
    <row r="115" customFormat="false" ht="15" hidden="false" customHeight="false" outlineLevel="0" collapsed="false">
      <c r="A115" s="61" t="s">
        <v>1018</v>
      </c>
      <c r="B115" s="62" t="s">
        <v>939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1263</v>
      </c>
    </row>
    <row r="116" customFormat="false" ht="15" hidden="false" customHeight="false" outlineLevel="0" collapsed="false">
      <c r="A116" s="61" t="s">
        <v>1019</v>
      </c>
      <c r="B116" s="62" t="s">
        <v>131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0.0491727605128019</v>
      </c>
      <c r="G116" s="117" t="n">
        <f aca="false">IF(ISNUMBER(G114),IF(G115&gt;0,G114/G115,0),G114)</f>
        <v>0.0516901738371292</v>
      </c>
      <c r="H116" s="117" t="n">
        <f aca="false">IF(ISNUMBER(H114),IF(H115&gt;0,H114/H115,0),H114)</f>
        <v>0.0597587559544781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1264</v>
      </c>
    </row>
    <row r="117" customFormat="false" ht="15" hidden="false" customHeight="false" outlineLevel="0" collapsed="false">
      <c r="A117" s="62" t="s">
        <v>1020</v>
      </c>
      <c r="B117" s="62" t="s">
        <v>1021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12.2942142358138</v>
      </c>
      <c r="G117" s="118" t="n">
        <f aca="false">IF(ISNUMBER(G95),G95/(G115*1000),G95)</f>
        <v>3.31716542093411</v>
      </c>
      <c r="H117" s="118" t="n">
        <f aca="false">IF(ISNUMBER(H95),H95/(H115*1000),H95)</f>
        <v>0.77680117349071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1265</v>
      </c>
    </row>
    <row r="118" customFormat="false" ht="15" hidden="false" customHeight="false" outlineLevel="0" collapsed="false">
      <c r="A118" s="61" t="s">
        <v>1022</v>
      </c>
      <c r="B118" s="62" t="s">
        <v>1015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0.114111604548</v>
      </c>
      <c r="G118" s="107" t="n">
        <f aca="false">IF(ISNUMBER(G96),IF(G96&gt;0,G115*1000*(1-G94)/G96,0),G96)</f>
        <v>0.420042782619149</v>
      </c>
      <c r="H118" s="107" t="n">
        <f aca="false">IF(ISNUMBER(H96),IF(H96&gt;0,H115*1000*(1-H94)/H96,0),H96)</f>
        <v>1.83315341964381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65" t="s">
        <v>1266</v>
      </c>
    </row>
    <row r="119" customFormat="false" ht="15" hidden="false" customHeight="false" outlineLevel="0" collapsed="false">
      <c r="A119" s="77" t="s">
        <v>1267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1268</v>
      </c>
      <c r="B120" s="62" t="s">
        <v>131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0.0497628810429304</v>
      </c>
      <c r="G120" s="103" t="n">
        <f aca="false">IF(G88&gt;0,G88*G65*1000000000/(G14*1000000000000000),0)</f>
        <v>0.0465485660832268</v>
      </c>
      <c r="H120" s="103" t="n">
        <f aca="false">IF(H88&gt;0,H88*H65*1000000000/(H14*1000000000000000),0)</f>
        <v>0.0416889930264808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1269</v>
      </c>
    </row>
    <row r="121" customFormat="false" ht="15" hidden="false" customHeight="false" outlineLevel="0" collapsed="false">
      <c r="A121" s="62" t="s">
        <v>1270</v>
      </c>
      <c r="B121" s="62" t="s">
        <v>131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0.0995257620858609</v>
      </c>
      <c r="G121" s="143" t="n">
        <f aca="false">IF(G88&gt;0,G88*G65*1000000000/(INDEX(Spec_Rack!$C$40:$G$40,G$6)*1000000000000000),0)</f>
        <v>0.0930971321664535</v>
      </c>
      <c r="H121" s="143" t="n">
        <f aca="false">IF(H88&gt;0,H88*H65*1000000000/(INDEX(Spec_Rack!$C$40:$G$40,H$6)*1000000000000000),0)</f>
        <v>0.0833779860529616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1272</v>
      </c>
    </row>
    <row r="2" customFormat="false" ht="15" hidden="false" customHeight="false" outlineLevel="0" collapsed="false">
      <c r="A2" s="65" t="s">
        <v>1273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918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920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1274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1275</v>
      </c>
      <c r="B10" s="62" t="s">
        <v>530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1276</v>
      </c>
      <c r="B11" s="62" t="s">
        <v>136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1277</v>
      </c>
      <c r="B12" s="62" t="s">
        <v>530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1278</v>
      </c>
      <c r="B13" s="62" t="s">
        <v>131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1279</v>
      </c>
      <c r="B14" s="62" t="s">
        <v>136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1280</v>
      </c>
      <c r="B15" s="62" t="s">
        <v>136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1281</v>
      </c>
      <c r="B16" s="62" t="s">
        <v>131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1282</v>
      </c>
      <c r="B17" s="62" t="s">
        <v>131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1283</v>
      </c>
      <c r="B18" s="61" t="s">
        <v>931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1284</v>
      </c>
      <c r="B19" s="62" t="s">
        <v>1054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1285</v>
      </c>
    </row>
    <row r="20" customFormat="false" ht="15" hidden="false" customHeight="false" outlineLevel="0" collapsed="false">
      <c r="A20" s="61" t="s">
        <v>1286</v>
      </c>
      <c r="B20" s="62" t="s">
        <v>1054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1287</v>
      </c>
    </row>
    <row r="21" customFormat="false" ht="15" hidden="false" customHeight="false" outlineLevel="0" collapsed="false">
      <c r="A21" s="77" t="s">
        <v>1288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317</v>
      </c>
      <c r="B22" s="62" t="s">
        <v>315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556</v>
      </c>
      <c r="B23" s="62" t="s">
        <v>359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334</v>
      </c>
      <c r="B24" s="62" t="s">
        <v>131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943</v>
      </c>
      <c r="B25" s="62" t="s">
        <v>337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339</v>
      </c>
      <c r="B26" s="62" t="s">
        <v>136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341</v>
      </c>
      <c r="B27" s="62" t="s">
        <v>337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922</v>
      </c>
      <c r="B28" s="62" t="s">
        <v>136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1289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1290</v>
      </c>
      <c r="B30" s="62" t="s">
        <v>136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1179</v>
      </c>
      <c r="B31" s="62" t="s">
        <v>1180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1291</v>
      </c>
      <c r="B32" s="62" t="s">
        <v>337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1292</v>
      </c>
      <c r="B33" s="62" t="s">
        <v>337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1293</v>
      </c>
      <c r="B34" s="62" t="s">
        <v>570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1294</v>
      </c>
    </row>
    <row r="35" customFormat="false" ht="15" hidden="false" customHeight="false" outlineLevel="0" collapsed="false">
      <c r="A35" s="61" t="s">
        <v>1295</v>
      </c>
      <c r="B35" s="62" t="s">
        <v>359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1296</v>
      </c>
      <c r="B36" s="62" t="s">
        <v>1297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1298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1299</v>
      </c>
      <c r="B38" s="62" t="s">
        <v>1180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1291</v>
      </c>
      <c r="B39" s="62" t="s">
        <v>337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1300</v>
      </c>
      <c r="B40" s="62" t="s">
        <v>337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1293</v>
      </c>
      <c r="B41" s="62" t="s">
        <v>570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1301</v>
      </c>
    </row>
    <row r="42" customFormat="false" ht="15" hidden="false" customHeight="false" outlineLevel="0" collapsed="false">
      <c r="A42" s="61" t="s">
        <v>1302</v>
      </c>
      <c r="B42" s="62" t="s">
        <v>359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1303</v>
      </c>
      <c r="B43" s="62" t="s">
        <v>1297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1304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1187</v>
      </c>
      <c r="B45" s="62" t="s">
        <v>1180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1291</v>
      </c>
      <c r="B46" s="62" t="s">
        <v>337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1300</v>
      </c>
      <c r="B47" s="62" t="s">
        <v>337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1293</v>
      </c>
      <c r="B48" s="62" t="s">
        <v>570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1301</v>
      </c>
    </row>
    <row r="49" customFormat="false" ht="15" hidden="false" customHeight="false" outlineLevel="0" collapsed="false">
      <c r="A49" s="62" t="s">
        <v>1305</v>
      </c>
      <c r="B49" s="62" t="s">
        <v>359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1306</v>
      </c>
      <c r="B50" s="62" t="s">
        <v>136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1307</v>
      </c>
      <c r="B51" s="62" t="s">
        <v>1297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1308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1309</v>
      </c>
      <c r="B53" s="62" t="s">
        <v>1180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1310</v>
      </c>
      <c r="B54" s="62" t="s">
        <v>337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1311</v>
      </c>
      <c r="B55" s="62" t="s">
        <v>337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1312</v>
      </c>
      <c r="B56" s="61" t="s">
        <v>374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1313</v>
      </c>
      <c r="B57" s="61" t="s">
        <v>374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1314</v>
      </c>
      <c r="B58" s="62" t="s">
        <v>1180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1315</v>
      </c>
      <c r="B59" s="62" t="s">
        <v>1003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77.8033667372729</v>
      </c>
      <c r="G59" s="98" t="n">
        <f aca="false">INDEX(Perf_Batch!$C$103:$Q$103,3*(G$6-1)+G$7)</f>
        <v>286.392806331238</v>
      </c>
      <c r="H59" s="98" t="n">
        <f aca="false">INDEX(Perf_Batch!$C$103:$Q$103,3*(H$6-1)+H$7)</f>
        <v>1249.87733157532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1316</v>
      </c>
      <c r="B60" s="62" t="s">
        <v>1003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1317</v>
      </c>
      <c r="B61" s="62" t="s">
        <v>570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1318</v>
      </c>
      <c r="B62" s="62" t="s">
        <v>570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1319</v>
      </c>
      <c r="B63" s="62" t="s">
        <v>136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1320</v>
      </c>
      <c r="B64" s="62" t="s">
        <v>131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1321</v>
      </c>
      <c r="B65" s="62" t="s">
        <v>1297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60264.7493667512</v>
      </c>
      <c r="G65" s="69" t="n">
        <f aca="false">IF(AND(ISNUMBER(G59)),(G53*1000000*G59+G58*1000000*G60)/3600/G64,"SLO 不可達")</f>
        <v>221934.752508485</v>
      </c>
      <c r="H65" s="69" t="n">
        <f aca="false">IF(AND(ISNUMBER(H59)),(H53*1000000*H59+H58*1000000*H60)/3600/H64,"SLO 不可達")</f>
        <v>3934264.35129513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1322</v>
      </c>
      <c r="B66" s="62" t="s">
        <v>359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1323</v>
      </c>
      <c r="B67" s="62" t="s">
        <v>1180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1324</v>
      </c>
      <c r="B68" s="62" t="s">
        <v>337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1325</v>
      </c>
      <c r="B69" s="62" t="s">
        <v>570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1301</v>
      </c>
    </row>
    <row r="70" customFormat="false" ht="15" hidden="false" customHeight="false" outlineLevel="0" collapsed="false">
      <c r="A70" s="62" t="s">
        <v>1326</v>
      </c>
      <c r="B70" s="62" t="s">
        <v>359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1327</v>
      </c>
      <c r="B71" s="62" t="s">
        <v>136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1328</v>
      </c>
      <c r="B72" s="62" t="s">
        <v>1297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1329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1330</v>
      </c>
      <c r="B74" s="62" t="s">
        <v>1297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1331</v>
      </c>
    </row>
    <row r="75" customFormat="false" ht="15" hidden="false" customHeight="false" outlineLevel="0" collapsed="false">
      <c r="A75" s="62" t="s">
        <v>1332</v>
      </c>
      <c r="B75" s="62" t="s">
        <v>1297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229280.913941452</v>
      </c>
      <c r="G75" s="72" t="n">
        <f aca="false">IF(AND(ISNUMBER(G65)),G65+G72+G74,"SLO 不可達")</f>
        <v>803420.390519744</v>
      </c>
      <c r="H75" s="72" t="n">
        <f aca="false">IF(AND(ISNUMBER(H65)),H65+H72+H74,"SLO 不可達")</f>
        <v>12481747.9992951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1333</v>
      </c>
      <c r="B76" s="62" t="s">
        <v>359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1334</v>
      </c>
    </row>
    <row r="77" customFormat="false" ht="15" hidden="false" customHeight="false" outlineLevel="0" collapsed="false">
      <c r="A77" s="62" t="s">
        <v>1335</v>
      </c>
      <c r="B77" s="62" t="s">
        <v>131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0.12223346909218</v>
      </c>
      <c r="G77" s="101" t="n">
        <f aca="false">IF(AND(ISNUMBER(G75)),G76/(G75*3600*G12*1000000000000000),"SLO 不可達")</f>
        <v>0.120133991950214</v>
      </c>
      <c r="H77" s="101" t="n">
        <f aca="false">IF(AND(ISNUMBER(H75)),H76/(H75*3600*H12*1000000000000000),"SLO 不可達")</f>
        <v>0.11524673684497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1336</v>
      </c>
      <c r="B78" s="62" t="s">
        <v>136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0.257647484510057</v>
      </c>
      <c r="G78" s="104" t="n">
        <f aca="false">IF(AND(ISNUMBER(G75)),G75/G36,"SLO 不可達")</f>
        <v>0.251376042746901</v>
      </c>
      <c r="H78" s="104" t="n">
        <f aca="false">IF(AND(ISNUMBER(H75)),H75/H36,"SLO 不可達")</f>
        <v>0.738792953426245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1337</v>
      </c>
      <c r="B79" s="62" t="s">
        <v>136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1338</v>
      </c>
    </row>
    <row r="80" customFormat="false" ht="15" hidden="false" customHeight="false" outlineLevel="0" collapsed="false">
      <c r="A80" s="77" t="s">
        <v>1339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1340</v>
      </c>
      <c r="B81" s="62" t="s">
        <v>1180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1341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1342</v>
      </c>
      <c r="B83" s="62" t="s">
        <v>1180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1343</v>
      </c>
      <c r="B84" s="62" t="s">
        <v>1003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1344</v>
      </c>
      <c r="B85" s="62" t="s">
        <v>570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1345</v>
      </c>
      <c r="B86" s="62" t="s">
        <v>1297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5085.18736844921</v>
      </c>
      <c r="G86" s="69" t="n">
        <f aca="false">IF(AND(ISNUMBER(G59)),G81*1000000*G59/3600/G64,"SLO 不可達")</f>
        <v>18718.4840739371</v>
      </c>
      <c r="H86" s="69" t="n">
        <f aca="false">IF(AND(ISNUMBER(H59)),H81*1000000*H59/3600/H64,"SLO 不可達")</f>
        <v>81691.3288611321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1346</v>
      </c>
      <c r="B87" s="62" t="s">
        <v>1297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1347</v>
      </c>
      <c r="B88" s="62" t="s">
        <v>359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1348</v>
      </c>
      <c r="B89" s="62" t="s">
        <v>1297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1349</v>
      </c>
      <c r="B90" s="62" t="s">
        <v>1297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20305.9782220054</v>
      </c>
      <c r="G90" s="69" t="n">
        <f aca="false">IF(AND(ISNUMBER(G86)),G86+G87+G89,"SLO 不可達")</f>
        <v>71650.3965994577</v>
      </c>
      <c r="H90" s="69" t="n">
        <f aca="false">IF(AND(ISNUMBER(H86)),H86+H87+H89,"SLO 不可達")</f>
        <v>270882.385927799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1350</v>
      </c>
      <c r="B91" s="62" t="s">
        <v>359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1351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1352</v>
      </c>
      <c r="B93" s="62" t="s">
        <v>1180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1353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1354</v>
      </c>
      <c r="B95" s="62" t="s">
        <v>1003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1249.87733157532</v>
      </c>
      <c r="G95" s="98" t="n">
        <f aca="false">INDEX(Perf_Batch!$C$103:$Q$103,3*(G$6-1)+G94)</f>
        <v>1249.87733157532</v>
      </c>
      <c r="H95" s="98" t="n">
        <f aca="false">INDEX(Perf_Batch!$C$103:$Q$103,3*(H$6-1)+H94)</f>
        <v>1249.87733157532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1355</v>
      </c>
      <c r="B96" s="62" t="s">
        <v>570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7.15" hidden="false" customHeight="false" outlineLevel="0" collapsed="false">
      <c r="A97" s="61" t="s">
        <v>1356</v>
      </c>
      <c r="B97" s="62" t="s">
        <v>1297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347188.147659812</v>
      </c>
      <c r="G97" s="69" t="n">
        <f aca="false">IF(AND(ISNUMBER(G95)),G93*1000000*G95/3600,"SLO 不可達")</f>
        <v>694376.295319623</v>
      </c>
      <c r="H97" s="69" t="n">
        <f aca="false">IF(AND(ISNUMBER(H95)),H93*1000000*H95/3600,"SLO 不可達")</f>
        <v>1041564.44297943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  <c r="R97" s="76" t="s">
        <v>1357</v>
      </c>
    </row>
    <row r="98" customFormat="false" ht="15" hidden="false" customHeight="false" outlineLevel="0" collapsed="false">
      <c r="A98" s="61" t="s">
        <v>1358</v>
      </c>
      <c r="B98" s="62" t="s">
        <v>359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1203</v>
      </c>
      <c r="B99" s="62" t="s">
        <v>1180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7.15" hidden="false" customHeight="false" outlineLevel="0" collapsed="false">
      <c r="A100" s="61" t="s">
        <v>1359</v>
      </c>
      <c r="B100" s="62" t="s">
        <v>1297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432.240926318183</v>
      </c>
      <c r="G100" s="69" t="n">
        <f aca="false">IF(AND(ISNUMBER(G59)),G99*1000000*G59/3600,"SLO 不可達")</f>
        <v>3977.67786571164</v>
      </c>
      <c r="H100" s="69" t="n">
        <f aca="false">IF(AND(ISNUMBER(H59)),H99*1000000*H59/3600,"SLO 不可達")</f>
        <v>34718.8147659812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  <c r="R100" s="76" t="s">
        <v>1357</v>
      </c>
    </row>
    <row r="101" customFormat="false" ht="15" hidden="false" customHeight="false" outlineLevel="0" collapsed="false">
      <c r="A101" s="61" t="s">
        <v>1360</v>
      </c>
      <c r="B101" s="62" t="s">
        <v>359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1361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1362</v>
      </c>
      <c r="B103" s="62" t="s">
        <v>1297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1363</v>
      </c>
      <c r="B104" s="62" t="s">
        <v>1297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251379.354979979</v>
      </c>
      <c r="G104" s="69" t="n">
        <f aca="false">IF(AND(ISNUMBER(G75),ISNUMBER(G90)),G51+G75+G90,"SLO 不可達")</f>
        <v>881218.558061021</v>
      </c>
      <c r="H104" s="69" t="n">
        <f aca="false">IF(AND(ISNUMBER(H75),ISNUMBER(H90)),H51+H75+H90,"SLO 不可達")</f>
        <v>12789691.9887785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1364</v>
      </c>
      <c r="B105" s="62" t="s">
        <v>1297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347620.38858613</v>
      </c>
      <c r="G105" s="69" t="n">
        <f aca="false">IF(AND(ISNUMBER(G97),ISNUMBER(G100)),G97+G100,"SLO 不可達")</f>
        <v>698353.973185335</v>
      </c>
      <c r="H105" s="69" t="n">
        <f aca="false">IF(AND(ISNUMBER(H97),ISNUMBER(H100)),H97+H100,"SLO 不可達")</f>
        <v>1076283.25774542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1365</v>
      </c>
      <c r="B106" s="62" t="s">
        <v>1297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1518493.4992289</v>
      </c>
      <c r="G106" s="72" t="n">
        <f aca="false">IF(AND(ISNUMBER(G104),ISNUMBER(G105)),G103+G104+G105,"SLO 不可達")</f>
        <v>4876722.34219832</v>
      </c>
      <c r="H106" s="72" t="n">
        <f aca="false">IF(AND(ISNUMBER(H104),ISNUMBER(H105)),H103+H104+H105,"SLO 不可達")</f>
        <v>31771312.021635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1366</v>
      </c>
      <c r="B107" s="62" t="s">
        <v>359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1367</v>
      </c>
      <c r="B108" s="62" t="s">
        <v>359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1368</v>
      </c>
      <c r="B109" s="62" t="s">
        <v>359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1369</v>
      </c>
      <c r="B110" s="62" t="s">
        <v>131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1370</v>
      </c>
      <c r="B111" s="62" t="s">
        <v>131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0.214693934547681</v>
      </c>
      <c r="G111" s="101" t="n">
        <f aca="false">IF(AND(ISNUMBER(G104)),G104/(G103+G104),"SLO 不可達")</f>
        <v>0.210900160119004</v>
      </c>
      <c r="H111" s="101" t="n">
        <f aca="false">IF(AND(ISNUMBER(H104)),H104/(H103+H104),"SLO 不可達")</f>
        <v>0.416669816052578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1371</v>
      </c>
      <c r="B112" s="62" t="s">
        <v>1297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413867.712397369</v>
      </c>
      <c r="G112" s="69" t="n">
        <f aca="false">IF(AND(ISNUMBER(G65),ISNUMBER(G86),ISNUMBER(G97),ISNUMBER(G100)),G65+G74+G86+G87+G97+G100,"SLO 不可達")</f>
        <v>942660.678394018</v>
      </c>
      <c r="H112" s="69" t="n">
        <f aca="false">IF(AND(ISNUMBER(H65),ISNUMBER(H86),ISNUMBER(H97),ISNUMBER(H100)),H65+H74+H86+H87+H97+H100,"SLO 不可達")</f>
        <v>5103357.41896834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1372</v>
      </c>
      <c r="B113" s="62" t="s">
        <v>1297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1373</v>
      </c>
    </row>
    <row r="114" customFormat="false" ht="15" hidden="false" customHeight="false" outlineLevel="0" collapsed="false">
      <c r="A114" s="61" t="s">
        <v>1374</v>
      </c>
      <c r="B114" s="62" t="s">
        <v>131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0.272551520706235</v>
      </c>
      <c r="G114" s="103" t="n">
        <f aca="false">IF(AND(ISNUMBER(G112),ISNUMBER(G106)),G112/G106,"SLO 不可達")</f>
        <v>0.193298000633985</v>
      </c>
      <c r="H114" s="103" t="n">
        <f aca="false">IF(AND(ISNUMBER(H112),ISNUMBER(H106)),H112/H106,"SLO 不可達")</f>
        <v>0.160627846136576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1375</v>
      </c>
      <c r="B115" s="62" t="s">
        <v>1092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3.0498349666716</v>
      </c>
      <c r="G115" s="114" t="n">
        <f aca="false">IF(AND(ISNUMBER(G106)),G106*G19/1000000,"SLO 不可達")</f>
        <v>9.79470661516679</v>
      </c>
      <c r="H115" s="114" t="n">
        <f aca="false">IF(AND(ISNUMBER(H106)),H106*H19/1000000,"SLO 不可達")</f>
        <v>63.8114410037457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1376</v>
      </c>
    </row>
    <row r="116" customFormat="false" ht="15" hidden="false" customHeight="false" outlineLevel="0" collapsed="false">
      <c r="A116" s="61" t="s">
        <v>1377</v>
      </c>
      <c r="B116" s="62" t="s">
        <v>1092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1378</v>
      </c>
    </row>
    <row r="117" customFormat="false" ht="15" hidden="false" customHeight="false" outlineLevel="0" collapsed="false">
      <c r="A117" s="61" t="s">
        <v>1379</v>
      </c>
      <c r="B117" s="62" t="s">
        <v>131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0.000345466444175974</v>
      </c>
      <c r="G117" s="145" t="n">
        <f aca="false">IF(AND(ISNUMBER(G106)),G106/(G18*8760),"SLO 不可達")</f>
        <v>0.00110948379275137</v>
      </c>
      <c r="H117" s="145" t="n">
        <f aca="false">IF(AND(ISNUMBER(H106)),H106/(H18*8760),"SLO 不可達")</f>
        <v>0.00722816541295254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1380</v>
      </c>
    </row>
    <row r="118" customFormat="false" ht="15" hidden="false" customHeight="false" outlineLevel="0" collapsed="false">
      <c r="A118" s="77" t="s">
        <v>1381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1382</v>
      </c>
      <c r="B119" s="62" t="s">
        <v>136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1383</v>
      </c>
      <c r="B120" s="62" t="s">
        <v>1297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12147947.9938312</v>
      </c>
      <c r="G120" s="72" t="n">
        <f aca="false">IF(AND(ISNUMBER(G106)),G106*G119,"SLO 不可達")</f>
        <v>39013778.7375866</v>
      </c>
      <c r="H120" s="72" t="n">
        <f aca="false">IF(AND(ISNUMBER(H106)),H106*H119,"SLO 不可達")</f>
        <v>254170496.17308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1384</v>
      </c>
      <c r="B121" s="62" t="s">
        <v>1297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10629454.4946023</v>
      </c>
      <c r="G121" s="69" t="n">
        <f aca="false">IF(AND(ISNUMBER(G120),ISNUMBER(G106)),G120-G106,"SLO 不可達")</f>
        <v>34137056.3953882</v>
      </c>
      <c r="H121" s="69" t="n">
        <f aca="false">IF(AND(ISNUMBER(H120),ISNUMBER(H106)),H120-H106,"SLO 不可達")</f>
        <v>222399184.151445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1385</v>
      </c>
    </row>
    <row r="122" customFormat="false" ht="15" hidden="false" customHeight="false" outlineLevel="0" collapsed="false">
      <c r="A122" s="61" t="s">
        <v>1386</v>
      </c>
      <c r="B122" s="62" t="s">
        <v>1092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24.3986797333728</v>
      </c>
      <c r="G122" s="72" t="n">
        <f aca="false">IF(AND(ISNUMBER(G120)),G120*G19/1000000,"SLO 不可達")</f>
        <v>78.3576529213344</v>
      </c>
      <c r="H122" s="72" t="n">
        <f aca="false">IF(AND(ISNUMBER(H120)),H120*H19/1000000,"SLO 不可達")</f>
        <v>510.491528029966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1387</v>
      </c>
    </row>
    <row r="123" customFormat="false" ht="15" hidden="false" customHeight="false" outlineLevel="0" collapsed="false">
      <c r="A123" s="61" t="s">
        <v>1388</v>
      </c>
      <c r="B123" s="62" t="s">
        <v>131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0.00276373155340779</v>
      </c>
      <c r="G123" s="100" t="n">
        <f aca="false">IF(AND(ISNUMBER(G120)),G120/(G18*8760),"SLO 不可達")</f>
        <v>0.00887587034201096</v>
      </c>
      <c r="H123" s="100" t="n">
        <f aca="false">IF(AND(ISNUMBER(H120)),H120/(H18*8760),"SLO 不可達")</f>
        <v>0.0578253233036203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1389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1390</v>
      </c>
      <c r="B125" s="62" t="s">
        <v>1297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1391</v>
      </c>
    </row>
    <row r="126" customFormat="false" ht="15" hidden="false" customHeight="false" outlineLevel="0" collapsed="false">
      <c r="A126" s="61" t="s">
        <v>1392</v>
      </c>
      <c r="B126" s="62" t="s">
        <v>1297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66247.3238112395</v>
      </c>
      <c r="G126" s="69" t="n">
        <f aca="false">IF(AND(ISNUMBER(G65),ISNUMBER(G86)),G65+G74+G86+G87,"SLO 不可達")</f>
        <v>244306.705208683</v>
      </c>
      <c r="H126" s="69" t="n">
        <f aca="false">IF(AND(ISNUMBER(H65),ISNUMBER(H86)),H65+H74+H86+H87,"SLO 不可達")</f>
        <v>4027074.16122293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1393</v>
      </c>
    </row>
    <row r="127" customFormat="false" ht="15" hidden="false" customHeight="false" outlineLevel="0" collapsed="false">
      <c r="A127" s="61" t="s">
        <v>1394</v>
      </c>
      <c r="B127" s="62" t="s">
        <v>1297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1395</v>
      </c>
    </row>
    <row r="128" customFormat="false" ht="15" hidden="false" customHeight="false" outlineLevel="0" collapsed="false">
      <c r="A128" s="61" t="s">
        <v>1396</v>
      </c>
      <c r="B128" s="62" t="s">
        <v>1297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347620.38858613</v>
      </c>
      <c r="G128" s="69" t="n">
        <f aca="false">IF(AND(ISNUMBER(G105)),G105,"SLO 不可達")</f>
        <v>698353.973185335</v>
      </c>
      <c r="H128" s="69" t="n">
        <f aca="false">IF(AND(ISNUMBER(H105)),H105,"SLO 不可達")</f>
        <v>1076283.25774542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1397</v>
      </c>
    </row>
    <row r="129" customFormat="false" ht="15" hidden="false" customHeight="false" outlineLevel="0" collapsed="false">
      <c r="A129" s="61" t="s">
        <v>1398</v>
      </c>
      <c r="B129" s="62" t="s">
        <v>1297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10629454.4946023</v>
      </c>
      <c r="G129" s="69" t="n">
        <f aca="false">IF(AND(ISNUMBER(G121)),G121,"SLO 不可達")</f>
        <v>34137056.3953882</v>
      </c>
      <c r="H129" s="69" t="n">
        <f aca="false">IF(AND(ISNUMBER(H121)),H121,"SLO 不可達")</f>
        <v>222399184.151445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1399</v>
      </c>
    </row>
    <row r="130" customFormat="false" ht="15" hidden="false" customHeight="false" outlineLevel="0" collapsed="false">
      <c r="A130" s="77" t="s">
        <v>1400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1401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1402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1403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1405</v>
      </c>
    </row>
    <row r="2" customFormat="false" ht="15" hidden="false" customHeight="false" outlineLevel="0" collapsed="false">
      <c r="A2" s="65" t="s">
        <v>1406</v>
      </c>
    </row>
    <row r="3" customFormat="false" ht="43.5" hidden="false" customHeight="true" outlineLevel="0" collapsed="false">
      <c r="A3" s="60" t="s">
        <v>1028</v>
      </c>
      <c r="C3" s="119" t="s">
        <v>115</v>
      </c>
      <c r="D3" s="119"/>
      <c r="E3" s="119" t="s">
        <v>1407</v>
      </c>
      <c r="F3" s="119"/>
      <c r="G3" s="119" t="s">
        <v>1408</v>
      </c>
      <c r="H3" s="119"/>
      <c r="I3" s="120" t="s">
        <v>1409</v>
      </c>
      <c r="J3" s="120"/>
      <c r="K3" s="119" t="s">
        <v>1410</v>
      </c>
      <c r="L3" s="119"/>
      <c r="M3" s="119" t="s">
        <v>1411</v>
      </c>
      <c r="N3" s="119"/>
      <c r="O3" s="120" t="s">
        <v>1412</v>
      </c>
      <c r="P3" s="120"/>
      <c r="Q3" s="120" t="s">
        <v>1413</v>
      </c>
      <c r="R3" s="120"/>
      <c r="S3" s="120" t="s">
        <v>1414</v>
      </c>
      <c r="T3" s="120"/>
      <c r="U3" s="120" t="s">
        <v>1415</v>
      </c>
      <c r="V3" s="120"/>
      <c r="W3" s="120" t="s">
        <v>1416</v>
      </c>
      <c r="X3" s="120"/>
      <c r="Y3" s="119" t="s">
        <v>1417</v>
      </c>
      <c r="Z3" s="119"/>
      <c r="AA3" s="119" t="s">
        <v>1418</v>
      </c>
      <c r="AB3" s="119"/>
      <c r="AC3" s="119" t="s">
        <v>1419</v>
      </c>
      <c r="AD3" s="119"/>
      <c r="AE3" s="119" t="s">
        <v>1420</v>
      </c>
      <c r="AF3" s="119"/>
      <c r="AG3" s="120" t="s">
        <v>1421</v>
      </c>
      <c r="AH3" s="120"/>
    </row>
    <row r="4" customFormat="false" ht="15" hidden="false" customHeight="false" outlineLevel="0" collapsed="false">
      <c r="A4" s="60" t="s">
        <v>204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918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498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920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1422</v>
      </c>
      <c r="B8" s="62" t="s">
        <v>136</v>
      </c>
      <c r="C8" s="59" t="s">
        <v>814</v>
      </c>
      <c r="D8" s="59" t="s">
        <v>814</v>
      </c>
      <c r="E8" s="59" t="s">
        <v>814</v>
      </c>
      <c r="F8" s="59" t="s">
        <v>814</v>
      </c>
      <c r="G8" s="59" t="s">
        <v>814</v>
      </c>
      <c r="H8" s="59" t="s">
        <v>814</v>
      </c>
      <c r="I8" s="59" t="s">
        <v>814</v>
      </c>
      <c r="J8" s="59" t="s">
        <v>814</v>
      </c>
      <c r="K8" s="59" t="s">
        <v>814</v>
      </c>
      <c r="L8" s="59" t="s">
        <v>814</v>
      </c>
      <c r="M8" s="59" t="s">
        <v>814</v>
      </c>
      <c r="N8" s="59" t="s">
        <v>814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814</v>
      </c>
      <c r="T8" s="59" t="s">
        <v>814</v>
      </c>
      <c r="U8" s="59" t="s">
        <v>814</v>
      </c>
      <c r="V8" s="59" t="s">
        <v>814</v>
      </c>
      <c r="W8" s="59" t="s">
        <v>814</v>
      </c>
      <c r="X8" s="59" t="s">
        <v>814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814</v>
      </c>
      <c r="AD8" s="59" t="s">
        <v>814</v>
      </c>
      <c r="AE8" s="59" t="s">
        <v>814</v>
      </c>
      <c r="AF8" s="59" t="s">
        <v>814</v>
      </c>
      <c r="AG8" s="59" t="s">
        <v>814</v>
      </c>
      <c r="AH8" s="59" t="s">
        <v>814</v>
      </c>
    </row>
    <row r="9" customFormat="false" ht="15" hidden="false" customHeight="false" outlineLevel="0" collapsed="false">
      <c r="A9" s="77" t="s">
        <v>1274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1275</v>
      </c>
      <c r="B10" s="62" t="s">
        <v>530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1276</v>
      </c>
      <c r="B11" s="62" t="s">
        <v>136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1277</v>
      </c>
      <c r="B12" s="62" t="s">
        <v>530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1278</v>
      </c>
      <c r="B13" s="62" t="s">
        <v>131</v>
      </c>
      <c r="C13" s="66" t="n">
        <f aca="false">Train_In!$C$6</f>
        <v>0.25</v>
      </c>
      <c r="D13" s="66" t="n">
        <f aca="false">Train_In!$C$6</f>
        <v>0.25</v>
      </c>
      <c r="E13" s="81" t="n">
        <v>0.18</v>
      </c>
      <c r="F13" s="81" t="n">
        <v>0.18</v>
      </c>
      <c r="G13" s="81" t="n">
        <v>0.35</v>
      </c>
      <c r="H13" s="81" t="n">
        <v>0.35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1279</v>
      </c>
      <c r="B14" s="62" t="s">
        <v>136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1280</v>
      </c>
      <c r="B15" s="62" t="s">
        <v>136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1281</v>
      </c>
      <c r="B16" s="62" t="s">
        <v>131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0.162</v>
      </c>
      <c r="F16" s="103" t="n">
        <f aca="false">F13*F14*F15</f>
        <v>0.162</v>
      </c>
      <c r="G16" s="103" t="n">
        <f aca="false">G13*G14*G15</f>
        <v>0.315</v>
      </c>
      <c r="H16" s="103" t="n">
        <f aca="false">H13*H14*H15</f>
        <v>0.315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1282</v>
      </c>
      <c r="B17" s="62" t="s">
        <v>131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1283</v>
      </c>
      <c r="B18" s="61" t="s">
        <v>931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1284</v>
      </c>
      <c r="B19" s="62" t="s">
        <v>1054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1286</v>
      </c>
      <c r="B20" s="62" t="s">
        <v>1054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1288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317</v>
      </c>
      <c r="B22" s="62" t="s">
        <v>315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556</v>
      </c>
      <c r="B23" s="62" t="s">
        <v>359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334</v>
      </c>
      <c r="B24" s="62" t="s">
        <v>131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943</v>
      </c>
      <c r="B25" s="62" t="s">
        <v>337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339</v>
      </c>
      <c r="B26" s="62" t="s">
        <v>136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341</v>
      </c>
      <c r="B27" s="62" t="s">
        <v>337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922</v>
      </c>
      <c r="B28" s="62" t="s">
        <v>136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1289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1290</v>
      </c>
      <c r="B30" s="62" t="s">
        <v>136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1179</v>
      </c>
      <c r="B31" s="62" t="s">
        <v>1180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1291</v>
      </c>
      <c r="B32" s="62" t="s">
        <v>337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1292</v>
      </c>
      <c r="B33" s="62" t="s">
        <v>337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1293</v>
      </c>
      <c r="B34" s="62" t="s">
        <v>570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1295</v>
      </c>
      <c r="B35" s="62" t="s">
        <v>359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1296</v>
      </c>
      <c r="B36" s="62" t="s">
        <v>1297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1409210.64271213</v>
      </c>
      <c r="F36" s="72" t="n">
        <f aca="false">F35/(F12*1000000000000000*F16*1*F17)/3600</f>
        <v>7449199.67078189</v>
      </c>
      <c r="G36" s="72" t="n">
        <f aca="false">G35/(G12*1000000000000000*G16*1*G17)/3600</f>
        <v>724736.901966238</v>
      </c>
      <c r="H36" s="72" t="n">
        <f aca="false">H35/(H12*1000000000000000*H16*1*H17)/3600</f>
        <v>3831016.97354497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1298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1299</v>
      </c>
      <c r="B38" s="62" t="s">
        <v>1180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1291</v>
      </c>
      <c r="B39" s="62" t="s">
        <v>337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1300</v>
      </c>
      <c r="B40" s="62" t="s">
        <v>337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1293</v>
      </c>
      <c r="B41" s="62" t="s">
        <v>570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1302</v>
      </c>
      <c r="B42" s="62" t="s">
        <v>359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1303</v>
      </c>
      <c r="B43" s="62" t="s">
        <v>1297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44559.1152031981</v>
      </c>
      <c r="F43" s="69" t="n">
        <f aca="false">F42/(F12*1000000000000000*F16*1*F17)/3600</f>
        <v>445569.630413482</v>
      </c>
      <c r="G43" s="69" t="n">
        <f aca="false">G42/(G12*1000000000000000*G16*1*G17)/3600</f>
        <v>22916.1163902162</v>
      </c>
      <c r="H43" s="69" t="n">
        <f aca="false">H42/(H12*1000000000000000*H16*1*H17)/3600</f>
        <v>229150.095641219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1304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1187</v>
      </c>
      <c r="B45" s="62" t="s">
        <v>1180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1291</v>
      </c>
      <c r="B46" s="62" t="s">
        <v>337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1300</v>
      </c>
      <c r="B47" s="62" t="s">
        <v>337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1293</v>
      </c>
      <c r="B48" s="62" t="s">
        <v>570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1305</v>
      </c>
      <c r="B49" s="62" t="s">
        <v>359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1306</v>
      </c>
      <c r="B50" s="62" t="s">
        <v>136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1307</v>
      </c>
      <c r="B51" s="62" t="s">
        <v>1297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2710.65738175452</v>
      </c>
      <c r="F51" s="69" t="n">
        <f aca="false">F49/(F12*1000000000000000*F16*F50*F17)/3600</f>
        <v>16341.0950421321</v>
      </c>
      <c r="G51" s="69" t="n">
        <f aca="false">G49/(G12*1000000000000000*G16*G50*G17)/3600</f>
        <v>1394.05236775947</v>
      </c>
      <c r="H51" s="69" t="n">
        <f aca="false">H49/(H12*1000000000000000*H16*H50*H17)/3600</f>
        <v>8403.99173595364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1308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1309</v>
      </c>
      <c r="B53" s="62" t="s">
        <v>1180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1310</v>
      </c>
      <c r="B54" s="62" t="s">
        <v>337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1311</v>
      </c>
      <c r="B55" s="62" t="s">
        <v>337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1312</v>
      </c>
      <c r="B56" s="61" t="s">
        <v>374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1313</v>
      </c>
      <c r="B57" s="61" t="s">
        <v>374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1314</v>
      </c>
      <c r="B58" s="62" t="s">
        <v>1180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1315</v>
      </c>
      <c r="B59" s="62" t="s">
        <v>1003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1316</v>
      </c>
      <c r="B60" s="62" t="s">
        <v>1003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1317</v>
      </c>
      <c r="B61" s="62" t="s">
        <v>570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1318</v>
      </c>
      <c r="B62" s="62" t="s">
        <v>570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1319</v>
      </c>
      <c r="B63" s="62" t="s">
        <v>136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1320</v>
      </c>
      <c r="B64" s="62" t="s">
        <v>131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1321</v>
      </c>
      <c r="B65" s="62" t="s">
        <v>1297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1322</v>
      </c>
      <c r="B66" s="62" t="s">
        <v>359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1323</v>
      </c>
      <c r="B67" s="62" t="s">
        <v>1180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1324</v>
      </c>
      <c r="B68" s="62" t="s">
        <v>337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1325</v>
      </c>
      <c r="B69" s="62" t="s">
        <v>570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1326</v>
      </c>
      <c r="B70" s="62" t="s">
        <v>359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1327</v>
      </c>
      <c r="B71" s="62" t="s">
        <v>136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1328</v>
      </c>
      <c r="B72" s="62" t="s">
        <v>1297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256386.96561343</v>
      </c>
      <c r="F72" s="69" t="n">
        <f aca="false">F70/(F12*1000000000000000*F16*F71*F17)/3600</f>
        <v>3768731.76719577</v>
      </c>
      <c r="G72" s="69" t="n">
        <f aca="false">G70/(G12*1000000000000000*G16*G71*G17)/3600</f>
        <v>131856.15374405</v>
      </c>
      <c r="H72" s="69" t="n">
        <f aca="false">H70/(H12*1000000000000000*H16*H71*H17)/3600</f>
        <v>1938204.90884354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1329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1330</v>
      </c>
      <c r="B74" s="62" t="s">
        <v>1297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1332</v>
      </c>
      <c r="B75" s="62" t="s">
        <v>1297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448620.141623339</v>
      </c>
      <c r="F75" s="72" t="n">
        <f aca="false">IF(AND(ISNUMBER(F65)),F65+F72+F74,"SLO 不可達")</f>
        <v>7100743.99998195</v>
      </c>
      <c r="G75" s="72" t="n">
        <f aca="false">IF(AND(ISNUMBER(G65)),G65+G72+G74,"SLO 不可達")</f>
        <v>324089.329753959</v>
      </c>
      <c r="H75" s="72" t="n">
        <f aca="false">IF(AND(ISNUMBER(H65)),H65+H72+H74,"SLO 不可達")</f>
        <v>5270217.14162972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1333</v>
      </c>
      <c r="B76" s="62" t="s">
        <v>359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1335</v>
      </c>
      <c r="B77" s="62" t="s">
        <v>131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0.0614698206295322</v>
      </c>
      <c r="F77" s="101" t="n">
        <f aca="false">IF(AND(ISNUMBER(F75)),F76/(F75*3600*F12*1000000000000000),"SLO 不可達")</f>
        <v>0.0578804831495185</v>
      </c>
      <c r="G77" s="101" t="n">
        <f aca="false">IF(AND(ISNUMBER(G75)),G76/(G75*3600*G12*1000000000000000),"SLO 不可達")</f>
        <v>0.08508950188924</v>
      </c>
      <c r="H77" s="101" t="n">
        <f aca="false">IF(AND(ISNUMBER(H75)),H76/(H75*3600*H12*1000000000000000),"SLO 不可達")</f>
        <v>0.0779843566963367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1336</v>
      </c>
      <c r="B78" s="62" t="s">
        <v>136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0.318348533587524</v>
      </c>
      <c r="F78" s="104" t="n">
        <f aca="false">IF(AND(ISNUMBER(F75)),F75/F36,"SLO 不可達")</f>
        <v>0.953222401573327</v>
      </c>
      <c r="G78" s="104" t="n">
        <f aca="false">IF(AND(ISNUMBER(G75)),G75/G36,"SLO 不可達")</f>
        <v>0.447182044787139</v>
      </c>
      <c r="H78" s="104" t="n">
        <f aca="false">IF(AND(ISNUMBER(H75)),H75/H36,"SLO 不可達")</f>
        <v>1.37567052770142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1337</v>
      </c>
      <c r="B79" s="62" t="s">
        <v>136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1339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1340</v>
      </c>
      <c r="B81" s="62" t="s">
        <v>1180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1341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1342</v>
      </c>
      <c r="B83" s="62" t="s">
        <v>1180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1343</v>
      </c>
      <c r="B84" s="62" t="s">
        <v>1003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1344</v>
      </c>
      <c r="B85" s="62" t="s">
        <v>570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1345</v>
      </c>
      <c r="B86" s="62" t="s">
        <v>1297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1346</v>
      </c>
      <c r="B87" s="62" t="s">
        <v>1297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1347</v>
      </c>
      <c r="B88" s="62" t="s">
        <v>359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1348</v>
      </c>
      <c r="B89" s="62" t="s">
        <v>1297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21727.7089502907</v>
      </c>
      <c r="F89" s="69" t="n">
        <f aca="false">F88/(F12*1000000000000000*F16*F71*F17)/3600</f>
        <v>78515.2451499118</v>
      </c>
      <c r="G89" s="69" t="n">
        <f aca="false">G88/(G12*1000000000000000*G16*G71*G17)/3600</f>
        <v>11174.2503172923</v>
      </c>
      <c r="H89" s="69" t="n">
        <f aca="false">H88/(H12*1000000000000000*H16*H71*H17)/3600</f>
        <v>40379.2689342404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1349</v>
      </c>
      <c r="B90" s="62" t="s">
        <v>1297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39036.9197345168</v>
      </c>
      <c r="F90" s="69" t="n">
        <f aca="false">IF(AND(ISNUMBER(F86)),F86+F87+F89,"SLO 不可達")</f>
        <v>151031.01503081</v>
      </c>
      <c r="G90" s="69" t="n">
        <f aca="false">IF(AND(ISNUMBER(G86)),G86+G87+G89,"SLO 不可達")</f>
        <v>28483.4611015185</v>
      </c>
      <c r="H90" s="69" t="n">
        <f aca="false">IF(AND(ISNUMBER(H86)),H86+H87+H89,"SLO 不可達")</f>
        <v>112895.038815138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1350</v>
      </c>
      <c r="B91" s="62" t="s">
        <v>359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1351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1352</v>
      </c>
      <c r="B93" s="62" t="s">
        <v>1180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1353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1354</v>
      </c>
      <c r="B95" s="62" t="s">
        <v>1003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1355</v>
      </c>
      <c r="B96" s="62" t="s">
        <v>570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1356</v>
      </c>
      <c r="B97" s="62" t="s">
        <v>1297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1358</v>
      </c>
      <c r="B98" s="62" t="s">
        <v>359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1203</v>
      </c>
      <c r="B99" s="62" t="s">
        <v>1180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1359</v>
      </c>
      <c r="B100" s="62" t="s">
        <v>1297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1360</v>
      </c>
      <c r="B101" s="62" t="s">
        <v>359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1361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1362</v>
      </c>
      <c r="B103" s="62" t="s">
        <v>1297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1453769.75791533</v>
      </c>
      <c r="F103" s="69" t="n">
        <f aca="false">F36+F43</f>
        <v>7894769.30119538</v>
      </c>
      <c r="G103" s="69" t="n">
        <f aca="false">G36+G43</f>
        <v>747653.018356454</v>
      </c>
      <c r="H103" s="69" t="n">
        <f aca="false">H36+H43</f>
        <v>4060167.06918619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1363</v>
      </c>
      <c r="B104" s="62" t="s">
        <v>1297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490367.71873961</v>
      </c>
      <c r="F104" s="69" t="n">
        <f aca="false">IF(AND(ISNUMBER(F75),ISNUMBER(F90)),F51+F75+F90,"SLO 不可達")</f>
        <v>7268116.11005489</v>
      </c>
      <c r="G104" s="69" t="n">
        <f aca="false">IF(AND(ISNUMBER(G75),ISNUMBER(G90)),G51+G75+G90,"SLO 不可達")</f>
        <v>353966.843223237</v>
      </c>
      <c r="H104" s="69" t="n">
        <f aca="false">IF(AND(ISNUMBER(H75),ISNUMBER(H90)),H51+H75+H90,"SLO 不可達")</f>
        <v>5391516.17218081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1364</v>
      </c>
      <c r="B105" s="62" t="s">
        <v>1297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1365</v>
      </c>
      <c r="B106" s="62" t="s">
        <v>1297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2536975.88474858</v>
      </c>
      <c r="F106" s="72" t="n">
        <f aca="false">IF(AND(ISNUMBER(F104),ISNUMBER(F105)),F103+F104+F105,"SLO 不可達")</f>
        <v>16076427.5399873</v>
      </c>
      <c r="G106" s="72" t="n">
        <f aca="false">IF(AND(ISNUMBER(G104),ISNUMBER(G105)),G103+G104+G105,"SLO 不可達")</f>
        <v>1694458.26967333</v>
      </c>
      <c r="H106" s="72" t="n">
        <f aca="false">IF(AND(ISNUMBER(H104),ISNUMBER(H105)),H103+H104+H105,"SLO 不可達")</f>
        <v>10365225.370104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1366</v>
      </c>
      <c r="B107" s="62" t="s">
        <v>359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1367</v>
      </c>
      <c r="B108" s="62" t="s">
        <v>359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1368</v>
      </c>
      <c r="B109" s="62" t="s">
        <v>359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1369</v>
      </c>
      <c r="B110" s="62" t="s">
        <v>131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1370</v>
      </c>
      <c r="B111" s="62" t="s">
        <v>131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0.252228931661423</v>
      </c>
      <c r="F111" s="101" t="n">
        <f aca="false">IF(AND(ISNUMBER(F104)),F104/(F103+F104),"SLO 不可達")</f>
        <v>0.479335951761677</v>
      </c>
      <c r="G111" s="101" t="n">
        <f aca="false">IF(AND(ISNUMBER(G104)),G104/(G103+G104),"SLO 不可達")</f>
        <v>0.321314870554039</v>
      </c>
      <c r="H111" s="101" t="n">
        <f aca="false">IF(AND(ISNUMBER(H104)),H104/(H103+H104),"SLO 不可達")</f>
        <v>0.570429206576017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1371</v>
      </c>
      <c r="B112" s="62" t="s">
        <v>1297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1372</v>
      </c>
      <c r="B113" s="62" t="s">
        <v>1297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1734595.0898608</v>
      </c>
      <c r="F113" s="69" t="n">
        <f aca="false">F36+F43+F51+F72+F89</f>
        <v>11758357.4085832</v>
      </c>
      <c r="G113" s="69" t="n">
        <f aca="false">G36+G43+G51+G72+G89</f>
        <v>892077.474785556</v>
      </c>
      <c r="H113" s="69" t="n">
        <f aca="false">H36+H43+H51+H72+H89</f>
        <v>6047155.23869993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1374</v>
      </c>
      <c r="B114" s="62" t="s">
        <v>131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0.316274506080807</v>
      </c>
      <c r="F114" s="103" t="n">
        <f aca="false">IF(AND(ISNUMBER(F112),ISNUMBER(F106)),F112/F106,"SLO 不可達")</f>
        <v>0.268596373209388</v>
      </c>
      <c r="G114" s="103" t="n">
        <f aca="false">IF(AND(ISNUMBER(G112),ISNUMBER(G106)),G112/G106,"SLO 不可達")</f>
        <v>0.473532343196898</v>
      </c>
      <c r="H114" s="103" t="n">
        <f aca="false">IF(AND(ISNUMBER(H112),ISNUMBER(H106)),H112/H106,"SLO 不可達")</f>
        <v>0.416592015824232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1375</v>
      </c>
      <c r="B115" s="62" t="s">
        <v>1092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12.1360092760074</v>
      </c>
      <c r="F115" s="114" t="n">
        <f aca="false">IF(AND(ISNUMBER(F106)),F106*F19/1000000,"SLO 不可達")</f>
        <v>76.9040316556584</v>
      </c>
      <c r="G115" s="114" t="n">
        <f aca="false">IF(AND(ISNUMBER(G106)),G106*G19/1000000,"SLO 不可達")</f>
        <v>8.1056983640193</v>
      </c>
      <c r="H115" s="114" t="n">
        <f aca="false">IF(AND(ISNUMBER(H106)),H106*H19/1000000,"SLO 不可達")</f>
        <v>49.5836290741708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1377</v>
      </c>
      <c r="B116" s="62" t="s">
        <v>1092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8.92650167218638</v>
      </c>
      <c r="F116" s="75" t="n">
        <f aca="false">IF(AND(ISNUMBER(F106)),F106*F20/1000000,"SLO 不可達")</f>
        <v>56.5658736376604</v>
      </c>
      <c r="G116" s="75" t="n">
        <f aca="false">IF(AND(ISNUMBER(G106)),G106*G20/1000000,"SLO 不可達")</f>
        <v>5.96205295786169</v>
      </c>
      <c r="H116" s="75" t="n">
        <f aca="false">IF(AND(ISNUMBER(H106)),H106*H20/1000000,"SLO 不可達")</f>
        <v>36.470666573952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1379</v>
      </c>
      <c r="B117" s="62" t="s">
        <v>131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0.000992682349126413</v>
      </c>
      <c r="F117" s="145" t="n">
        <f aca="false">IF(AND(ISNUMBER(F106)),F106/(F18*8760),"SLO 不可達")</f>
        <v>0.00629047597649384</v>
      </c>
      <c r="G117" s="145" t="n">
        <f aca="false">IF(AND(ISNUMBER(G106)),G106/(G18*8760),"SLO 不可達")</f>
        <v>0.0006630172662452</v>
      </c>
      <c r="H117" s="145" t="n">
        <f aca="false">IF(AND(ISNUMBER(H106)),H106/(H18*8760),"SLO 不可達")</f>
        <v>0.00405576431824825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1381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1382</v>
      </c>
      <c r="B119" s="62" t="s">
        <v>136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1383</v>
      </c>
      <c r="B120" s="62" t="s">
        <v>1297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20295807.0779886</v>
      </c>
      <c r="F120" s="72" t="n">
        <f aca="false">IF(AND(ISNUMBER(F106)),F106*F119,"SLO 不可達")</f>
        <v>128611420.319898</v>
      </c>
      <c r="G120" s="72" t="n">
        <f aca="false">IF(AND(ISNUMBER(G106)),G106*G119,"SLO 不可達")</f>
        <v>13555666.1573866</v>
      </c>
      <c r="H120" s="72" t="n">
        <f aca="false">IF(AND(ISNUMBER(H106)),H106*H119,"SLO 不可達")</f>
        <v>82921802.9608322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1384</v>
      </c>
      <c r="B121" s="62" t="s">
        <v>1297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17758831.19324</v>
      </c>
      <c r="F121" s="69" t="n">
        <f aca="false">IF(AND(ISNUMBER(F120),ISNUMBER(F106)),F120-F106,"SLO 不可達")</f>
        <v>112534992.779911</v>
      </c>
      <c r="G121" s="69" t="n">
        <f aca="false">IF(AND(ISNUMBER(G120),ISNUMBER(G106)),G120-G106,"SLO 不可達")</f>
        <v>11861207.8877133</v>
      </c>
      <c r="H121" s="69" t="n">
        <f aca="false">IF(AND(ISNUMBER(H120),ISNUMBER(H106)),H120-H106,"SLO 不可達")</f>
        <v>72556577.5907282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1386</v>
      </c>
      <c r="B122" s="62" t="s">
        <v>1092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97.0880742080591</v>
      </c>
      <c r="F122" s="72" t="n">
        <f aca="false">IF(AND(ISNUMBER(F120)),F120*F19/1000000,"SLO 不可達")</f>
        <v>615.232253245267</v>
      </c>
      <c r="G122" s="72" t="n">
        <f aca="false">IF(AND(ISNUMBER(G120)),G120*G19/1000000,"SLO 不可達")</f>
        <v>64.8455869121544</v>
      </c>
      <c r="H122" s="72" t="n">
        <f aca="false">IF(AND(ISNUMBER(H120)),H120*H19/1000000,"SLO 不可達")</f>
        <v>396.669032593366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1388</v>
      </c>
      <c r="B123" s="62" t="s">
        <v>131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0.0079414587930113</v>
      </c>
      <c r="F123" s="100" t="n">
        <f aca="false">IF(AND(ISNUMBER(F120)),F120/(F18*8760),"SLO 不可達")</f>
        <v>0.0503238078119508</v>
      </c>
      <c r="G123" s="100" t="n">
        <f aca="false">IF(AND(ISNUMBER(G120)),G120/(G18*8760),"SLO 不可達")</f>
        <v>0.0053041381299616</v>
      </c>
      <c r="H123" s="100" t="n">
        <f aca="false">IF(AND(ISNUMBER(H120)),H120/(H18*8760),"SLO 不可達")</f>
        <v>0.032446114545986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1389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1390</v>
      </c>
      <c r="B125" s="62" t="s">
        <v>1297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1453769.75791533</v>
      </c>
      <c r="F125" s="69" t="n">
        <f aca="false">F103</f>
        <v>7894769.30119538</v>
      </c>
      <c r="G125" s="69" t="n">
        <f aca="false">G103</f>
        <v>747653.018356454</v>
      </c>
      <c r="H125" s="69" t="n">
        <f aca="false">H103</f>
        <v>4060167.06918619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1392</v>
      </c>
      <c r="B126" s="62" t="s">
        <v>1297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1394</v>
      </c>
      <c r="B127" s="62" t="s">
        <v>1297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280825.331945475</v>
      </c>
      <c r="F127" s="69" t="n">
        <f aca="false">F51+F72+F89</f>
        <v>3863588.10738781</v>
      </c>
      <c r="G127" s="69" t="n">
        <f aca="false">G51+G72+G89</f>
        <v>144424.456429102</v>
      </c>
      <c r="H127" s="69" t="n">
        <f aca="false">H51+H72+H89</f>
        <v>1986988.16951373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1396</v>
      </c>
      <c r="B128" s="62" t="s">
        <v>1297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1398</v>
      </c>
      <c r="B129" s="62" t="s">
        <v>1297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17758831.19324</v>
      </c>
      <c r="F129" s="69" t="n">
        <f aca="false">IF(AND(ISNUMBER(F121)),F121,"SLO 不可達")</f>
        <v>112534992.779911</v>
      </c>
      <c r="G129" s="69" t="n">
        <f aca="false">IF(AND(ISNUMBER(G121)),G121,"SLO 不可達")</f>
        <v>11861207.8877133</v>
      </c>
      <c r="H129" s="69" t="n">
        <f aca="false">IF(AND(ISNUMBER(H121)),H121,"SLO 不可達")</f>
        <v>72556577.5907282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1423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1424</v>
      </c>
      <c r="B131" s="62" t="s">
        <v>136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1.23677139773972</v>
      </c>
      <c r="F131" s="104" t="n">
        <f aca="false">IF(AND(ISNUMBER(F106),ISNUMBER($D$106)),F106/$D$106,"SLO 不可達")</f>
        <v>1.2575342263002</v>
      </c>
      <c r="G131" s="104" t="n">
        <f aca="false">IF(AND(ISNUMBER(G106),ISNUMBER($C$106)),G106/$C$106,"SLO 不可達")</f>
        <v>0.826045503701429</v>
      </c>
      <c r="H131" s="104" t="n">
        <f aca="false">IF(AND(ISNUMBER(H106),ISNUMBER($D$106)),H106/$D$106,"SLO 不可達")</f>
        <v>0.810791180677402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1425</v>
      </c>
      <c r="B132" s="62" t="s">
        <v>136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1.23677139773972</v>
      </c>
      <c r="F132" s="104" t="n">
        <f aca="false">IF(AND(ISNUMBER(F120),ISNUMBER($D$120)),F120/$D$120,"SLO 不可達")</f>
        <v>1.2575342263002</v>
      </c>
      <c r="G132" s="104" t="n">
        <f aca="false">IF(AND(ISNUMBER(G120),ISNUMBER($C$120)),G120/$C$120,"SLO 不可達")</f>
        <v>0.826045503701429</v>
      </c>
      <c r="H132" s="104" t="n">
        <f aca="false">IF(AND(ISNUMBER(H120),ISNUMBER($D$120)),H120/$D$120,"SLO 不可達")</f>
        <v>0.810791180677402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1426</v>
      </c>
      <c r="B133" s="62" t="s">
        <v>136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0.893443714031573</v>
      </c>
      <c r="F133" s="104" t="n">
        <f aca="false">IF(AND(ISNUMBER(F111),ISNUMBER($D$111)),F111/$D$111,"SLO 不可達")</f>
        <v>0.919769268354242</v>
      </c>
      <c r="G133" s="104" t="n">
        <f aca="false">IF(AND(ISNUMBER(G111),ISNUMBER($C$111)),G111/$C$111,"SLO 不可達")</f>
        <v>1.13815948642533</v>
      </c>
      <c r="H133" s="104" t="n">
        <f aca="false">IF(AND(ISNUMBER(H111),ISNUMBER($D$111)),H111/$D$111,"SLO 不可達")</f>
        <v>1.09456270086157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1427</v>
      </c>
    </row>
    <row r="2" customFormat="false" ht="15" hidden="false" customHeight="false" outlineLevel="0" collapsed="false">
      <c r="A2" s="59" t="s">
        <v>1428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1429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415</v>
      </c>
      <c r="B5" s="60" t="s">
        <v>113</v>
      </c>
      <c r="C5" s="60" t="s">
        <v>1430</v>
      </c>
      <c r="D5" s="10" t="s">
        <v>1431</v>
      </c>
      <c r="E5" s="10" t="s">
        <v>1432</v>
      </c>
      <c r="F5" s="60" t="s">
        <v>117</v>
      </c>
      <c r="G5" s="60" t="s">
        <v>383</v>
      </c>
    </row>
    <row r="6" customFormat="false" ht="15" hidden="false" customHeight="false" outlineLevel="0" collapsed="false">
      <c r="A6" s="61" t="s">
        <v>1433</v>
      </c>
      <c r="B6" s="62" t="s">
        <v>1045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168</v>
      </c>
      <c r="G6" s="88" t="s">
        <v>1434</v>
      </c>
    </row>
    <row r="7" customFormat="false" ht="15" hidden="false" customHeight="false" outlineLevel="0" collapsed="false">
      <c r="A7" s="61" t="s">
        <v>1435</v>
      </c>
      <c r="B7" s="62" t="s">
        <v>1045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168</v>
      </c>
      <c r="G7" s="93" t="s">
        <v>1436</v>
      </c>
    </row>
    <row r="8" customFormat="false" ht="15" hidden="false" customHeight="false" outlineLevel="0" collapsed="false">
      <c r="A8" s="61" t="s">
        <v>1437</v>
      </c>
      <c r="B8" s="62" t="s">
        <v>1045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168</v>
      </c>
      <c r="G8" s="93" t="s">
        <v>1438</v>
      </c>
    </row>
    <row r="10" customFormat="false" ht="15" hidden="false" customHeight="false" outlineLevel="0" collapsed="false">
      <c r="A10" s="77" t="s">
        <v>1439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415</v>
      </c>
      <c r="B11" s="60" t="s">
        <v>113</v>
      </c>
      <c r="C11" s="60" t="s">
        <v>115</v>
      </c>
      <c r="D11" s="60" t="s">
        <v>1440</v>
      </c>
      <c r="E11" s="60" t="s">
        <v>1441</v>
      </c>
      <c r="F11" s="60" t="s">
        <v>117</v>
      </c>
      <c r="G11" s="60" t="s">
        <v>383</v>
      </c>
    </row>
    <row r="12" customFormat="false" ht="15" hidden="false" customHeight="false" outlineLevel="0" collapsed="false">
      <c r="A12" s="5" t="s">
        <v>1442</v>
      </c>
      <c r="B12" s="62" t="s">
        <v>131</v>
      </c>
      <c r="C12" s="67" t="n">
        <v>0.2</v>
      </c>
      <c r="D12" s="67" t="n">
        <v>0.1</v>
      </c>
      <c r="E12" s="67" t="n">
        <v>0.4</v>
      </c>
      <c r="F12" s="59" t="s">
        <v>132</v>
      </c>
      <c r="G12" s="93" t="s">
        <v>1443</v>
      </c>
    </row>
    <row r="13" customFormat="false" ht="15" hidden="false" customHeight="false" outlineLevel="0" collapsed="false">
      <c r="A13" s="5" t="s">
        <v>1444</v>
      </c>
      <c r="B13" s="62" t="s">
        <v>131</v>
      </c>
      <c r="C13" s="67" t="n">
        <v>0.55</v>
      </c>
      <c r="D13" s="67" t="n">
        <v>0.3</v>
      </c>
      <c r="E13" s="67" t="n">
        <v>0.75</v>
      </c>
      <c r="F13" s="59" t="s">
        <v>132</v>
      </c>
      <c r="G13" s="93" t="s">
        <v>1445</v>
      </c>
      <c r="O13" s="65" t="s">
        <v>1446</v>
      </c>
    </row>
    <row r="14" customFormat="false" ht="26.85" hidden="false" customHeight="false" outlineLevel="0" collapsed="false">
      <c r="A14" s="5" t="s">
        <v>1447</v>
      </c>
      <c r="B14" s="62" t="s">
        <v>136</v>
      </c>
      <c r="C14" s="80" t="n">
        <v>0</v>
      </c>
      <c r="D14" s="80" t="n">
        <v>0</v>
      </c>
      <c r="E14" s="80" t="n">
        <v>0.5</v>
      </c>
      <c r="F14" s="59" t="s">
        <v>132</v>
      </c>
      <c r="G14" s="88" t="s">
        <v>1448</v>
      </c>
      <c r="O14" s="65" t="s">
        <v>1446</v>
      </c>
    </row>
    <row r="15" customFormat="false" ht="15" hidden="false" customHeight="false" outlineLevel="0" collapsed="false">
      <c r="A15" s="5" t="s">
        <v>1449</v>
      </c>
      <c r="B15" s="62" t="s">
        <v>136</v>
      </c>
      <c r="C15" s="80" t="n">
        <v>1</v>
      </c>
      <c r="D15" s="80" t="n">
        <v>0.5</v>
      </c>
      <c r="E15" s="80" t="n">
        <v>7</v>
      </c>
      <c r="F15" s="59" t="s">
        <v>132</v>
      </c>
      <c r="G15" s="93" t="s">
        <v>1450</v>
      </c>
      <c r="O15" s="65" t="s">
        <v>1446</v>
      </c>
    </row>
    <row r="16" customFormat="false" ht="15" hidden="false" customHeight="false" outlineLevel="0" collapsed="false">
      <c r="A16" s="5" t="s">
        <v>1451</v>
      </c>
      <c r="B16" s="61" t="s">
        <v>126</v>
      </c>
      <c r="C16" s="68" t="n">
        <v>2</v>
      </c>
      <c r="D16" s="68" t="n">
        <v>1</v>
      </c>
      <c r="E16" s="68" t="n">
        <v>2</v>
      </c>
      <c r="F16" s="59" t="s">
        <v>122</v>
      </c>
      <c r="G16" s="88" t="s">
        <v>1452</v>
      </c>
      <c r="O16" s="65" t="s">
        <v>1453</v>
      </c>
    </row>
    <row r="17" customFormat="false" ht="15" hidden="false" customHeight="false" outlineLevel="0" collapsed="false">
      <c r="A17" s="5" t="s">
        <v>1454</v>
      </c>
      <c r="B17" s="62" t="s">
        <v>1455</v>
      </c>
      <c r="C17" s="90" t="n">
        <f aca="false">SRC_PRC_028</f>
        <v>35</v>
      </c>
      <c r="F17" s="59" t="s">
        <v>168</v>
      </c>
      <c r="G17" s="88" t="s">
        <v>1456</v>
      </c>
    </row>
    <row r="18" customFormat="false" ht="15" hidden="false" customHeight="false" outlineLevel="0" collapsed="false">
      <c r="A18" s="5" t="s">
        <v>1457</v>
      </c>
      <c r="B18" s="62" t="s">
        <v>136</v>
      </c>
      <c r="C18" s="97" t="n">
        <f aca="false">SRC_PRC_027</f>
        <v>0.5</v>
      </c>
      <c r="F18" s="59" t="s">
        <v>168</v>
      </c>
      <c r="G18" s="88" t="s">
        <v>1458</v>
      </c>
    </row>
    <row r="20" customFormat="false" ht="15" hidden="false" customHeight="false" outlineLevel="0" collapsed="false">
      <c r="A20" s="77" t="s">
        <v>1459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415</v>
      </c>
      <c r="B21" s="60" t="s">
        <v>113</v>
      </c>
      <c r="C21" s="60" t="s">
        <v>1430</v>
      </c>
      <c r="D21" s="10" t="s">
        <v>1431</v>
      </c>
      <c r="E21" s="10" t="s">
        <v>1432</v>
      </c>
      <c r="F21" s="60" t="s">
        <v>117</v>
      </c>
      <c r="G21" s="60" t="s">
        <v>383</v>
      </c>
    </row>
    <row r="22" customFormat="false" ht="15" hidden="false" customHeight="false" outlineLevel="0" collapsed="false">
      <c r="A22" s="61" t="s">
        <v>1460</v>
      </c>
      <c r="B22" s="61" t="s">
        <v>1461</v>
      </c>
      <c r="C22" s="68" t="n">
        <v>12</v>
      </c>
      <c r="D22" s="68" t="n">
        <v>12</v>
      </c>
      <c r="E22" s="68" t="n">
        <v>9</v>
      </c>
      <c r="F22" s="59" t="s">
        <v>132</v>
      </c>
      <c r="G22" s="65" t="s">
        <v>1462</v>
      </c>
    </row>
    <row r="23" customFormat="false" ht="15" hidden="false" customHeight="false" outlineLevel="0" collapsed="false">
      <c r="A23" s="61" t="s">
        <v>1463</v>
      </c>
      <c r="B23" s="61" t="s">
        <v>1461</v>
      </c>
      <c r="C23" s="68" t="n">
        <v>6</v>
      </c>
      <c r="D23" s="68" t="n">
        <v>6</v>
      </c>
      <c r="E23" s="68" t="n">
        <v>6</v>
      </c>
      <c r="F23" s="59" t="s">
        <v>132</v>
      </c>
      <c r="G23" s="65"/>
      <c r="O23" s="65" t="s">
        <v>1464</v>
      </c>
    </row>
    <row r="24" customFormat="false" ht="15" hidden="false" customHeight="false" outlineLevel="0" collapsed="false">
      <c r="A24" s="61" t="s">
        <v>1465</v>
      </c>
      <c r="B24" s="61" t="s">
        <v>1461</v>
      </c>
      <c r="C24" s="68" t="n">
        <v>24</v>
      </c>
      <c r="D24" s="68" t="n">
        <v>24</v>
      </c>
      <c r="E24" s="68" t="n">
        <v>18</v>
      </c>
      <c r="F24" s="59" t="s">
        <v>132</v>
      </c>
      <c r="G24" s="65"/>
      <c r="O24" s="65" t="s">
        <v>1466</v>
      </c>
    </row>
    <row r="26" customFormat="false" ht="15" hidden="false" customHeight="false" outlineLevel="0" collapsed="false">
      <c r="A26" s="77" t="s">
        <v>1467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415</v>
      </c>
      <c r="B27" s="60" t="s">
        <v>113</v>
      </c>
      <c r="C27" s="60" t="s">
        <v>115</v>
      </c>
      <c r="D27" s="60" t="s">
        <v>1440</v>
      </c>
      <c r="E27" s="60" t="s">
        <v>1441</v>
      </c>
      <c r="F27" s="60" t="s">
        <v>117</v>
      </c>
      <c r="G27" s="60" t="s">
        <v>383</v>
      </c>
    </row>
    <row r="28" customFormat="false" ht="64.9" hidden="false" customHeight="false" outlineLevel="0" collapsed="false">
      <c r="A28" s="61" t="s">
        <v>1468</v>
      </c>
      <c r="B28" s="62" t="s">
        <v>131</v>
      </c>
      <c r="C28" s="67" t="n">
        <v>0.41</v>
      </c>
      <c r="D28" s="67" t="n">
        <v>0.3</v>
      </c>
      <c r="E28" s="67" t="n">
        <v>0.6</v>
      </c>
      <c r="F28" s="59" t="s">
        <v>1469</v>
      </c>
      <c r="G28" s="88" t="s">
        <v>1470</v>
      </c>
      <c r="O28" s="65" t="s">
        <v>1446</v>
      </c>
    </row>
    <row r="29" customFormat="false" ht="52.2" hidden="false" customHeight="false" outlineLevel="0" collapsed="false">
      <c r="A29" s="61" t="s">
        <v>1471</v>
      </c>
      <c r="B29" s="62" t="s">
        <v>131</v>
      </c>
      <c r="C29" s="67" t="n">
        <v>0.46</v>
      </c>
      <c r="D29" s="67" t="n">
        <v>0.35</v>
      </c>
      <c r="E29" s="67" t="n">
        <v>0.6</v>
      </c>
      <c r="F29" s="59" t="s">
        <v>245</v>
      </c>
      <c r="G29" s="88" t="s">
        <v>1472</v>
      </c>
      <c r="O29" s="65" t="s">
        <v>1446</v>
      </c>
    </row>
    <row r="30" customFormat="false" ht="15" hidden="false" customHeight="false" outlineLevel="0" collapsed="false">
      <c r="A30" s="60" t="s">
        <v>415</v>
      </c>
      <c r="B30" s="60" t="s">
        <v>113</v>
      </c>
      <c r="C30" s="60" t="s">
        <v>1430</v>
      </c>
      <c r="D30" s="10" t="s">
        <v>1431</v>
      </c>
      <c r="E30" s="10" t="s">
        <v>1432</v>
      </c>
      <c r="F30" s="60" t="s">
        <v>117</v>
      </c>
      <c r="G30" s="60" t="s">
        <v>383</v>
      </c>
    </row>
    <row r="31" customFormat="false" ht="52.2" hidden="false" customHeight="false" outlineLevel="0" collapsed="false">
      <c r="A31" s="61" t="s">
        <v>1473</v>
      </c>
      <c r="B31" s="62" t="s">
        <v>131</v>
      </c>
      <c r="C31" s="67" t="n">
        <v>0.4</v>
      </c>
      <c r="D31" s="67" t="n">
        <v>0.45</v>
      </c>
      <c r="E31" s="67" t="n">
        <v>0.15</v>
      </c>
      <c r="F31" s="59" t="s">
        <v>132</v>
      </c>
      <c r="G31" s="88" t="s">
        <v>1474</v>
      </c>
    </row>
    <row r="32" customFormat="false" ht="52.2" hidden="false" customHeight="false" outlineLevel="0" collapsed="false">
      <c r="A32" s="61" t="s">
        <v>1475</v>
      </c>
      <c r="B32" s="62" t="s">
        <v>131</v>
      </c>
      <c r="C32" s="67" t="n">
        <v>0.9</v>
      </c>
      <c r="D32" s="67" t="n">
        <v>0.1</v>
      </c>
      <c r="E32" s="67" t="n">
        <v>0</v>
      </c>
      <c r="F32" s="59" t="s">
        <v>132</v>
      </c>
      <c r="G32" s="88" t="s">
        <v>1476</v>
      </c>
    </row>
    <row r="34" customFormat="false" ht="15" hidden="false" customHeight="false" outlineLevel="0" collapsed="false">
      <c r="A34" s="77" t="s">
        <v>1477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415</v>
      </c>
      <c r="B35" s="60" t="s">
        <v>113</v>
      </c>
      <c r="C35" s="60" t="s">
        <v>115</v>
      </c>
      <c r="D35" s="60" t="s">
        <v>1440</v>
      </c>
      <c r="E35" s="60" t="s">
        <v>1441</v>
      </c>
      <c r="F35" s="60" t="s">
        <v>117</v>
      </c>
      <c r="G35" s="60" t="s">
        <v>383</v>
      </c>
    </row>
    <row r="36" customFormat="false" ht="15" hidden="false" customHeight="false" outlineLevel="0" collapsed="false">
      <c r="A36" s="5" t="s">
        <v>1478</v>
      </c>
      <c r="B36" s="61" t="s">
        <v>126</v>
      </c>
      <c r="C36" s="68" t="n">
        <v>2</v>
      </c>
      <c r="D36" s="68" t="n">
        <v>1</v>
      </c>
      <c r="E36" s="68" t="n">
        <v>3</v>
      </c>
      <c r="F36" s="59" t="s">
        <v>132</v>
      </c>
      <c r="G36" s="93" t="s">
        <v>1479</v>
      </c>
      <c r="O36" s="65" t="s">
        <v>1446</v>
      </c>
    </row>
    <row r="37" customFormat="false" ht="15" hidden="false" customHeight="false" outlineLevel="0" collapsed="false">
      <c r="A37" s="5" t="s">
        <v>1480</v>
      </c>
      <c r="B37" s="62" t="s">
        <v>1455</v>
      </c>
      <c r="C37" s="148" t="n">
        <v>0.0833333333333333</v>
      </c>
      <c r="D37" s="148" t="n">
        <v>0.0833333333333333</v>
      </c>
      <c r="E37" s="148" t="n">
        <v>1</v>
      </c>
      <c r="F37" s="59" t="s">
        <v>137</v>
      </c>
      <c r="G37" s="88" t="s">
        <v>1481</v>
      </c>
      <c r="O37" s="65" t="s">
        <v>1446</v>
      </c>
    </row>
    <row r="38" customFormat="false" ht="15" hidden="false" customHeight="false" outlineLevel="0" collapsed="false">
      <c r="A38" s="5" t="s">
        <v>1482</v>
      </c>
      <c r="B38" s="61" t="s">
        <v>1483</v>
      </c>
      <c r="C38" s="68" t="n">
        <v>5</v>
      </c>
      <c r="D38" s="68" t="n">
        <v>1</v>
      </c>
      <c r="E38" s="68" t="n">
        <v>20</v>
      </c>
      <c r="F38" s="59" t="s">
        <v>132</v>
      </c>
      <c r="G38" s="93" t="s">
        <v>1484</v>
      </c>
      <c r="O38" s="65" t="s">
        <v>1446</v>
      </c>
    </row>
    <row r="39" customFormat="false" ht="15" hidden="false" customHeight="false" outlineLevel="0" collapsed="false">
      <c r="A39" s="6" t="s">
        <v>1485</v>
      </c>
      <c r="B39" s="62" t="s">
        <v>1486</v>
      </c>
      <c r="C39" s="80" t="n">
        <v>10</v>
      </c>
      <c r="D39" s="80" t="n">
        <v>5</v>
      </c>
      <c r="E39" s="80" t="n">
        <v>20</v>
      </c>
      <c r="F39" s="59" t="s">
        <v>132</v>
      </c>
      <c r="G39" s="88" t="s">
        <v>1487</v>
      </c>
      <c r="O39" s="65" t="s">
        <v>1446</v>
      </c>
    </row>
    <row r="40" customFormat="false" ht="15" hidden="false" customHeight="false" outlineLevel="0" collapsed="false">
      <c r="A40" s="6" t="s">
        <v>1488</v>
      </c>
      <c r="B40" s="61" t="s">
        <v>167</v>
      </c>
      <c r="C40" s="68" t="n">
        <v>4</v>
      </c>
      <c r="D40" s="68" t="n">
        <v>3</v>
      </c>
      <c r="E40" s="68" t="n">
        <v>6</v>
      </c>
      <c r="F40" s="59" t="s">
        <v>132</v>
      </c>
      <c r="G40" s="93"/>
      <c r="O40" s="65" t="s">
        <v>1446</v>
      </c>
    </row>
    <row r="41" customFormat="false" ht="15" hidden="false" customHeight="false" outlineLevel="0" collapsed="false">
      <c r="A41" s="6" t="s">
        <v>1489</v>
      </c>
      <c r="B41" s="62" t="s">
        <v>1486</v>
      </c>
      <c r="C41" s="80" t="n">
        <v>0.1</v>
      </c>
      <c r="D41" s="80" t="n">
        <v>0.05</v>
      </c>
      <c r="E41" s="80" t="n">
        <v>0.3</v>
      </c>
      <c r="F41" s="59" t="s">
        <v>132</v>
      </c>
      <c r="G41" s="93" t="s">
        <v>1490</v>
      </c>
      <c r="O41" s="65" t="s">
        <v>1446</v>
      </c>
    </row>
    <row r="42" customFormat="false" ht="15" hidden="false" customHeight="false" outlineLevel="0" collapsed="false">
      <c r="A42" s="6" t="s">
        <v>1491</v>
      </c>
      <c r="B42" s="61" t="s">
        <v>167</v>
      </c>
      <c r="C42" s="68" t="n">
        <v>5</v>
      </c>
      <c r="D42" s="68" t="n">
        <v>3</v>
      </c>
      <c r="E42" s="68" t="n">
        <v>6</v>
      </c>
      <c r="F42" s="59" t="s">
        <v>132</v>
      </c>
      <c r="G42" s="93"/>
      <c r="O42" s="65" t="s">
        <v>1446</v>
      </c>
    </row>
    <row r="44" customFormat="false" ht="15" hidden="false" customHeight="false" outlineLevel="0" collapsed="false">
      <c r="A44" s="77" t="s">
        <v>1492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1493</v>
      </c>
      <c r="B45" s="84" t="s">
        <v>1494</v>
      </c>
      <c r="C45" s="84" t="s">
        <v>1495</v>
      </c>
      <c r="D45" s="84" t="s">
        <v>1496</v>
      </c>
      <c r="E45" s="84" t="s">
        <v>1497</v>
      </c>
      <c r="F45" s="84" t="s">
        <v>1498</v>
      </c>
      <c r="G45" s="84" t="s">
        <v>1499</v>
      </c>
      <c r="H45" s="84" t="s">
        <v>1500</v>
      </c>
      <c r="I45" s="84" t="s">
        <v>1501</v>
      </c>
      <c r="J45" s="84" t="s">
        <v>1502</v>
      </c>
      <c r="K45" s="84" t="s">
        <v>1503</v>
      </c>
      <c r="L45" s="84" t="s">
        <v>117</v>
      </c>
      <c r="M45" s="84" t="s">
        <v>516</v>
      </c>
      <c r="N45" s="84" t="s">
        <v>1504</v>
      </c>
    </row>
    <row r="46" customFormat="false" ht="15" hidden="false" customHeight="false" outlineLevel="0" collapsed="false">
      <c r="A46" s="136" t="s">
        <v>1505</v>
      </c>
      <c r="B46" s="136" t="s">
        <v>1506</v>
      </c>
      <c r="C46" s="109" t="s">
        <v>1507</v>
      </c>
      <c r="D46" s="109" t="s">
        <v>845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1508</v>
      </c>
      <c r="K46" s="136" t="s">
        <v>1509</v>
      </c>
      <c r="L46" s="136" t="s">
        <v>168</v>
      </c>
      <c r="M46" s="88" t="s">
        <v>1510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1511</v>
      </c>
      <c r="B47" s="136" t="s">
        <v>1506</v>
      </c>
      <c r="C47" s="109" t="s">
        <v>1507</v>
      </c>
      <c r="D47" s="109" t="s">
        <v>845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1508</v>
      </c>
      <c r="K47" s="136" t="s">
        <v>1509</v>
      </c>
      <c r="L47" s="136" t="s">
        <v>168</v>
      </c>
      <c r="M47" s="88" t="s">
        <v>1512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1513</v>
      </c>
      <c r="B48" s="136" t="s">
        <v>1506</v>
      </c>
      <c r="C48" s="109" t="s">
        <v>1507</v>
      </c>
      <c r="D48" s="109" t="s">
        <v>845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1514</v>
      </c>
      <c r="K48" s="136" t="s">
        <v>1509</v>
      </c>
      <c r="L48" s="136" t="s">
        <v>168</v>
      </c>
      <c r="M48" s="88" t="s">
        <v>1515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1516</v>
      </c>
      <c r="B49" s="136" t="s">
        <v>1517</v>
      </c>
      <c r="C49" s="109" t="s">
        <v>1507</v>
      </c>
      <c r="D49" s="109" t="s">
        <v>845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1514</v>
      </c>
      <c r="K49" s="136" t="s">
        <v>1518</v>
      </c>
      <c r="L49" s="136" t="s">
        <v>245</v>
      </c>
      <c r="M49" s="88" t="s">
        <v>1519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1520</v>
      </c>
      <c r="B50" s="136" t="s">
        <v>1517</v>
      </c>
      <c r="C50" s="109" t="s">
        <v>1507</v>
      </c>
      <c r="D50" s="109" t="s">
        <v>845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1514</v>
      </c>
      <c r="K50" s="136" t="s">
        <v>1521</v>
      </c>
      <c r="L50" s="136" t="s">
        <v>245</v>
      </c>
      <c r="M50" s="88" t="s">
        <v>1522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1523</v>
      </c>
      <c r="B51" s="136" t="s">
        <v>1517</v>
      </c>
      <c r="C51" s="109" t="s">
        <v>1507</v>
      </c>
      <c r="D51" s="109" t="s">
        <v>845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1524</v>
      </c>
      <c r="K51" s="136" t="s">
        <v>1525</v>
      </c>
      <c r="L51" s="136" t="s">
        <v>245</v>
      </c>
      <c r="M51" s="88" t="s">
        <v>1526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1527</v>
      </c>
      <c r="B52" s="136" t="s">
        <v>1528</v>
      </c>
      <c r="C52" s="109" t="s">
        <v>1529</v>
      </c>
      <c r="D52" s="109" t="s">
        <v>817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1508</v>
      </c>
      <c r="K52" s="136" t="s">
        <v>1530</v>
      </c>
      <c r="L52" s="136" t="s">
        <v>168</v>
      </c>
      <c r="M52" s="88" t="s">
        <v>1531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1532</v>
      </c>
      <c r="B53" s="136" t="s">
        <v>1528</v>
      </c>
      <c r="C53" s="109" t="s">
        <v>1529</v>
      </c>
      <c r="D53" s="109" t="s">
        <v>817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1514</v>
      </c>
      <c r="K53" s="136" t="s">
        <v>1530</v>
      </c>
      <c r="L53" s="136" t="s">
        <v>168</v>
      </c>
      <c r="M53" s="88" t="s">
        <v>1533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1534</v>
      </c>
      <c r="B54" s="136" t="s">
        <v>1535</v>
      </c>
      <c r="C54" s="109" t="s">
        <v>1529</v>
      </c>
      <c r="D54" s="109" t="s">
        <v>1536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1508</v>
      </c>
      <c r="K54" s="136" t="s">
        <v>1530</v>
      </c>
      <c r="L54" s="136" t="s">
        <v>168</v>
      </c>
      <c r="M54" s="88" t="s">
        <v>1537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1538</v>
      </c>
      <c r="B55" s="136" t="s">
        <v>1535</v>
      </c>
      <c r="C55" s="109" t="s">
        <v>1529</v>
      </c>
      <c r="D55" s="109" t="s">
        <v>817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1514</v>
      </c>
      <c r="K55" s="136" t="s">
        <v>1530</v>
      </c>
      <c r="L55" s="136" t="s">
        <v>168</v>
      </c>
      <c r="M55" s="88" t="s">
        <v>1539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1540</v>
      </c>
      <c r="B56" s="136" t="s">
        <v>1541</v>
      </c>
      <c r="C56" s="109" t="s">
        <v>1529</v>
      </c>
      <c r="D56" s="109" t="s">
        <v>1542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1514</v>
      </c>
      <c r="K56" s="136" t="s">
        <v>1518</v>
      </c>
      <c r="L56" s="136" t="s">
        <v>245</v>
      </c>
      <c r="M56" s="88" t="s">
        <v>1543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1544</v>
      </c>
      <c r="B57" s="136" t="s">
        <v>1545</v>
      </c>
      <c r="C57" s="109" t="s">
        <v>1529</v>
      </c>
      <c r="D57" s="109" t="s">
        <v>1546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1524</v>
      </c>
      <c r="K57" s="136" t="s">
        <v>1547</v>
      </c>
      <c r="L57" s="136" t="s">
        <v>245</v>
      </c>
      <c r="M57" s="88" t="s">
        <v>1548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1549</v>
      </c>
      <c r="B58" s="136" t="s">
        <v>1550</v>
      </c>
      <c r="C58" s="109" t="s">
        <v>1529</v>
      </c>
      <c r="D58" s="109" t="s">
        <v>845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1524</v>
      </c>
      <c r="K58" s="136" t="s">
        <v>1521</v>
      </c>
      <c r="L58" s="136" t="s">
        <v>245</v>
      </c>
      <c r="M58" s="88" t="s">
        <v>1551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1552</v>
      </c>
    </row>
    <row r="61" customFormat="false" ht="15" hidden="false" customHeight="false" outlineLevel="0" collapsed="false">
      <c r="A61" s="77" t="s">
        <v>1553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415</v>
      </c>
      <c r="B62" s="60" t="s">
        <v>113</v>
      </c>
      <c r="C62" s="60" t="s">
        <v>382</v>
      </c>
      <c r="F62" s="60" t="s">
        <v>117</v>
      </c>
      <c r="G62" s="60" t="s">
        <v>383</v>
      </c>
    </row>
    <row r="63" customFormat="false" ht="52.2" hidden="false" customHeight="false" outlineLevel="0" collapsed="false">
      <c r="A63" s="5" t="s">
        <v>1554</v>
      </c>
      <c r="B63" s="62" t="s">
        <v>136</v>
      </c>
      <c r="C63" s="80" t="n">
        <v>1</v>
      </c>
      <c r="F63" s="59" t="s">
        <v>1555</v>
      </c>
      <c r="G63" s="93" t="s">
        <v>1556</v>
      </c>
    </row>
    <row r="64" customFormat="false" ht="39.55" hidden="false" customHeight="false" outlineLevel="0" collapsed="false">
      <c r="A64" s="5" t="s">
        <v>1557</v>
      </c>
      <c r="B64" s="62" t="s">
        <v>136</v>
      </c>
      <c r="C64" s="80" t="n">
        <v>1</v>
      </c>
      <c r="F64" s="59" t="s">
        <v>132</v>
      </c>
      <c r="G64" s="93" t="s">
        <v>1558</v>
      </c>
    </row>
    <row r="66" customFormat="false" ht="15" hidden="false" customHeight="false" outlineLevel="0" collapsed="false">
      <c r="A66" s="77" t="s">
        <v>1559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415</v>
      </c>
      <c r="B67" s="60" t="s">
        <v>113</v>
      </c>
      <c r="C67" s="60" t="s">
        <v>115</v>
      </c>
      <c r="D67" s="10" t="s">
        <v>1560</v>
      </c>
      <c r="E67" s="10" t="s">
        <v>1561</v>
      </c>
      <c r="F67" s="60" t="s">
        <v>117</v>
      </c>
      <c r="G67" s="60" t="s">
        <v>383</v>
      </c>
    </row>
    <row r="68" customFormat="false" ht="15" hidden="false" customHeight="false" outlineLevel="0" collapsed="false">
      <c r="A68" s="10" t="s">
        <v>1562</v>
      </c>
    </row>
    <row r="69" customFormat="false" ht="15" hidden="false" customHeight="false" outlineLevel="0" collapsed="false">
      <c r="A69" s="6" t="s">
        <v>1563</v>
      </c>
      <c r="B69" s="62" t="s">
        <v>1094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1564</v>
      </c>
      <c r="G69" s="88" t="s">
        <v>1565</v>
      </c>
    </row>
    <row r="70" customFormat="false" ht="39.55" hidden="false" customHeight="false" outlineLevel="0" collapsed="false">
      <c r="A70" s="5" t="s">
        <v>1566</v>
      </c>
      <c r="B70" s="62" t="s">
        <v>131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1567</v>
      </c>
      <c r="G70" s="93" t="s">
        <v>1568</v>
      </c>
    </row>
    <row r="71" customFormat="false" ht="29.85" hidden="false" customHeight="false" outlineLevel="0" collapsed="false">
      <c r="A71" s="6" t="s">
        <v>1569</v>
      </c>
      <c r="B71" s="62" t="s">
        <v>131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180</v>
      </c>
      <c r="G71" s="88" t="s">
        <v>1570</v>
      </c>
      <c r="O71" s="65" t="s">
        <v>1571</v>
      </c>
    </row>
    <row r="72" customFormat="false" ht="15" hidden="false" customHeight="false" outlineLevel="0" collapsed="false">
      <c r="A72" s="5" t="s">
        <v>1572</v>
      </c>
      <c r="B72" s="62" t="s">
        <v>1094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180</v>
      </c>
      <c r="G72" s="93" t="s">
        <v>1573</v>
      </c>
      <c r="O72" s="65" t="s">
        <v>1574</v>
      </c>
    </row>
    <row r="73" customFormat="false" ht="15" hidden="false" customHeight="false" outlineLevel="0" collapsed="false">
      <c r="A73" s="6" t="s">
        <v>1575</v>
      </c>
      <c r="B73" s="62" t="s">
        <v>1094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180</v>
      </c>
      <c r="G73" s="93" t="s">
        <v>1576</v>
      </c>
      <c r="O73" s="65" t="s">
        <v>1577</v>
      </c>
    </row>
    <row r="74" customFormat="false" ht="15" hidden="false" customHeight="false" outlineLevel="0" collapsed="false">
      <c r="A74" s="10" t="s">
        <v>1578</v>
      </c>
    </row>
    <row r="75" customFormat="false" ht="15" hidden="false" customHeight="false" outlineLevel="0" collapsed="false">
      <c r="A75" s="6" t="s">
        <v>1579</v>
      </c>
      <c r="B75" s="61" t="s">
        <v>1580</v>
      </c>
      <c r="C75" s="98" t="n">
        <f aca="false">SRC_DEM_024</f>
        <v>15.5</v>
      </c>
      <c r="D75" s="62" t="s">
        <v>814</v>
      </c>
      <c r="E75" s="62" t="s">
        <v>814</v>
      </c>
      <c r="F75" s="59" t="s">
        <v>1564</v>
      </c>
      <c r="G75" s="88" t="s">
        <v>1581</v>
      </c>
      <c r="O75" s="65" t="s">
        <v>1582</v>
      </c>
    </row>
    <row r="76" customFormat="false" ht="15" hidden="false" customHeight="false" outlineLevel="0" collapsed="false">
      <c r="A76" s="6" t="s">
        <v>1583</v>
      </c>
      <c r="B76" s="61" t="s">
        <v>1580</v>
      </c>
      <c r="C76" s="98" t="n">
        <f aca="false">SRC_DEM_025</f>
        <v>20</v>
      </c>
      <c r="D76" s="62" t="s">
        <v>814</v>
      </c>
      <c r="E76" s="62" t="s">
        <v>814</v>
      </c>
      <c r="F76" s="59" t="s">
        <v>1564</v>
      </c>
      <c r="G76" s="88" t="s">
        <v>1584</v>
      </c>
      <c r="O76" s="65" t="s">
        <v>1585</v>
      </c>
    </row>
    <row r="77" customFormat="false" ht="15" hidden="false" customHeight="false" outlineLevel="0" collapsed="false">
      <c r="A77" s="6" t="s">
        <v>1586</v>
      </c>
      <c r="B77" s="61" t="s">
        <v>1580</v>
      </c>
      <c r="C77" s="98" t="n">
        <f aca="false">SRC_DEM_026</f>
        <v>35</v>
      </c>
      <c r="D77" s="62" t="s">
        <v>814</v>
      </c>
      <c r="E77" s="62" t="s">
        <v>814</v>
      </c>
      <c r="F77" s="59" t="s">
        <v>1564</v>
      </c>
      <c r="G77" s="88" t="s">
        <v>1587</v>
      </c>
      <c r="O77" s="65" t="s">
        <v>1588</v>
      </c>
    </row>
    <row r="78" customFormat="false" ht="15" hidden="false" customHeight="false" outlineLevel="0" collapsed="false">
      <c r="A78" s="6" t="s">
        <v>1589</v>
      </c>
      <c r="B78" s="61" t="s">
        <v>1580</v>
      </c>
      <c r="C78" s="98" t="n">
        <f aca="false">SRC_DEM_019</f>
        <v>50</v>
      </c>
      <c r="D78" s="62" t="s">
        <v>814</v>
      </c>
      <c r="E78" s="62" t="s">
        <v>814</v>
      </c>
      <c r="F78" s="59" t="s">
        <v>1590</v>
      </c>
      <c r="G78" s="88" t="s">
        <v>1591</v>
      </c>
      <c r="O78" s="65" t="s">
        <v>1592</v>
      </c>
    </row>
    <row r="79" customFormat="false" ht="29.85" hidden="false" customHeight="false" outlineLevel="0" collapsed="false">
      <c r="A79" s="6" t="s">
        <v>1593</v>
      </c>
      <c r="B79" s="61" t="s">
        <v>1580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180</v>
      </c>
      <c r="G79" s="88" t="s">
        <v>1594</v>
      </c>
      <c r="O79" s="65" t="s">
        <v>1595</v>
      </c>
    </row>
    <row r="80" customFormat="false" ht="15" hidden="false" customHeight="false" outlineLevel="0" collapsed="false">
      <c r="A80" s="10" t="s">
        <v>1596</v>
      </c>
    </row>
    <row r="81" customFormat="false" ht="52.2" hidden="false" customHeight="false" outlineLevel="0" collapsed="false">
      <c r="A81" s="6" t="s">
        <v>1597</v>
      </c>
      <c r="B81" s="62" t="s">
        <v>998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1598</v>
      </c>
      <c r="G81" s="93" t="s">
        <v>1599</v>
      </c>
    </row>
    <row r="82" customFormat="false" ht="29.85" hidden="false" customHeight="false" outlineLevel="0" collapsed="false">
      <c r="A82" s="6" t="s">
        <v>1600</v>
      </c>
      <c r="B82" s="62" t="s">
        <v>998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1598</v>
      </c>
      <c r="G82" s="93" t="s">
        <v>1601</v>
      </c>
    </row>
    <row r="83" customFormat="false" ht="15" hidden="false" customHeight="false" outlineLevel="0" collapsed="false">
      <c r="A83" s="6" t="s">
        <v>1602</v>
      </c>
      <c r="B83" s="62" t="s">
        <v>998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180</v>
      </c>
      <c r="G83" s="93" t="s">
        <v>1603</v>
      </c>
    </row>
    <row r="84" customFormat="false" ht="15" hidden="false" customHeight="false" outlineLevel="0" collapsed="false">
      <c r="A84" s="5" t="s">
        <v>1604</v>
      </c>
      <c r="B84" s="62" t="s">
        <v>1605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180</v>
      </c>
      <c r="G84" s="88" t="s">
        <v>1606</v>
      </c>
      <c r="O84" s="65" t="s">
        <v>1607</v>
      </c>
    </row>
    <row r="85" customFormat="false" ht="29.85" hidden="false" customHeight="false" outlineLevel="0" collapsed="false">
      <c r="A85" s="6" t="s">
        <v>1608</v>
      </c>
      <c r="B85" s="62" t="s">
        <v>998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1609</v>
      </c>
      <c r="G85" s="88" t="s">
        <v>1610</v>
      </c>
      <c r="O85" s="65" t="s">
        <v>1611</v>
      </c>
    </row>
    <row r="86" customFormat="false" ht="29.85" hidden="false" customHeight="false" outlineLevel="0" collapsed="false">
      <c r="A86" s="6" t="s">
        <v>1612</v>
      </c>
      <c r="B86" s="62" t="s">
        <v>1613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1590</v>
      </c>
      <c r="G86" s="88" t="s">
        <v>1614</v>
      </c>
    </row>
    <row r="87" customFormat="false" ht="52.2" hidden="false" customHeight="false" outlineLevel="0" collapsed="false">
      <c r="A87" s="5" t="s">
        <v>1615</v>
      </c>
      <c r="B87" s="62" t="s">
        <v>131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1616</v>
      </c>
      <c r="G87" s="88" t="s">
        <v>1617</v>
      </c>
    </row>
    <row r="88" customFormat="false" ht="15" hidden="false" customHeight="false" outlineLevel="0" collapsed="false">
      <c r="A88" s="6" t="s">
        <v>1618</v>
      </c>
      <c r="B88" s="62" t="s">
        <v>998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180</v>
      </c>
      <c r="G88" s="88" t="s">
        <v>1619</v>
      </c>
    </row>
    <row r="89" customFormat="false" ht="15" hidden="false" customHeight="false" outlineLevel="0" collapsed="false">
      <c r="A89" s="10" t="s">
        <v>1620</v>
      </c>
    </row>
    <row r="90" customFormat="false" ht="29.85" hidden="false" customHeight="false" outlineLevel="0" collapsed="false">
      <c r="A90" s="5" t="s">
        <v>1621</v>
      </c>
      <c r="B90" s="62" t="s">
        <v>1045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180</v>
      </c>
      <c r="G90" s="93" t="s">
        <v>1622</v>
      </c>
      <c r="O90" s="65" t="s">
        <v>1623</v>
      </c>
    </row>
    <row r="91" customFormat="false" ht="15" hidden="false" customHeight="false" outlineLevel="0" collapsed="false">
      <c r="A91" s="10" t="s">
        <v>1624</v>
      </c>
    </row>
    <row r="92" customFormat="false" ht="15" hidden="false" customHeight="false" outlineLevel="0" collapsed="false">
      <c r="A92" s="5" t="s">
        <v>1625</v>
      </c>
      <c r="B92" s="62" t="s">
        <v>136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59" t="s">
        <v>180</v>
      </c>
      <c r="G92" s="88" t="s">
        <v>1626</v>
      </c>
      <c r="O92" s="65" t="s">
        <v>1627</v>
      </c>
    </row>
    <row r="93" customFormat="false" ht="15" hidden="false" customHeight="false" outlineLevel="0" collapsed="false">
      <c r="A93" s="5" t="s">
        <v>1628</v>
      </c>
      <c r="B93" s="62" t="s">
        <v>136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59" t="s">
        <v>180</v>
      </c>
      <c r="G93" s="93"/>
      <c r="O93" s="65" t="s">
        <v>1629</v>
      </c>
    </row>
    <row r="94" customFormat="false" ht="15" hidden="false" customHeight="false" outlineLevel="0" collapsed="false">
      <c r="A94" s="5" t="s">
        <v>1630</v>
      </c>
      <c r="B94" s="62" t="s">
        <v>136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59" t="s">
        <v>180</v>
      </c>
      <c r="G94" s="93" t="s">
        <v>1631</v>
      </c>
    </row>
    <row r="95" customFormat="false" ht="15" hidden="false" customHeight="false" outlineLevel="0" collapsed="false">
      <c r="A95" s="5" t="s">
        <v>1632</v>
      </c>
      <c r="B95" s="62" t="s">
        <v>136</v>
      </c>
      <c r="C95" s="61" t="s">
        <v>1633</v>
      </c>
      <c r="D95" s="62" t="s">
        <v>814</v>
      </c>
      <c r="E95" s="62" t="s">
        <v>814</v>
      </c>
      <c r="F95" s="59" t="s">
        <v>814</v>
      </c>
      <c r="G95" s="93" t="s">
        <v>1634</v>
      </c>
    </row>
    <row r="96" customFormat="false" ht="29.85" hidden="false" customHeight="false" outlineLevel="0" collapsed="false">
      <c r="A96" s="5" t="s">
        <v>1635</v>
      </c>
      <c r="B96" s="62" t="s">
        <v>136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59" t="s">
        <v>180</v>
      </c>
      <c r="G96" s="93" t="s">
        <v>1636</v>
      </c>
      <c r="O96" s="65" t="s">
        <v>1637</v>
      </c>
    </row>
    <row r="97" customFormat="false" ht="26.85" hidden="false" customHeight="false" outlineLevel="0" collapsed="false">
      <c r="A97" s="5" t="s">
        <v>1638</v>
      </c>
      <c r="B97" s="62" t="s">
        <v>136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59" t="s">
        <v>180</v>
      </c>
      <c r="G97" s="88" t="s">
        <v>1639</v>
      </c>
    </row>
    <row r="98" customFormat="false" ht="15" hidden="false" customHeight="false" outlineLevel="0" collapsed="false">
      <c r="A98" s="10" t="s">
        <v>1640</v>
      </c>
    </row>
    <row r="99" customFormat="false" ht="15" hidden="false" customHeight="false" outlineLevel="0" collapsed="false">
      <c r="A99" s="6" t="s">
        <v>1641</v>
      </c>
      <c r="B99" s="62" t="s">
        <v>1642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1590</v>
      </c>
      <c r="G99" s="88" t="s">
        <v>1643</v>
      </c>
      <c r="O99" s="65" t="s">
        <v>1644</v>
      </c>
    </row>
    <row r="100" customFormat="false" ht="15" hidden="false" customHeight="false" outlineLevel="0" collapsed="false">
      <c r="A100" s="5" t="s">
        <v>1645</v>
      </c>
      <c r="B100" s="61" t="s">
        <v>1646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132</v>
      </c>
      <c r="G100" s="88" t="s">
        <v>1647</v>
      </c>
      <c r="O100" s="65" t="s">
        <v>1648</v>
      </c>
    </row>
    <row r="101" customFormat="false" ht="15" hidden="false" customHeight="false" outlineLevel="0" collapsed="false">
      <c r="A101" s="5" t="s">
        <v>1649</v>
      </c>
      <c r="B101" s="62" t="s">
        <v>1650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180</v>
      </c>
      <c r="G101" s="93"/>
      <c r="O101" s="65" t="s">
        <v>1651</v>
      </c>
    </row>
    <row r="102" customFormat="false" ht="29.85" hidden="false" customHeight="false" outlineLevel="0" collapsed="false">
      <c r="A102" s="5" t="s">
        <v>1652</v>
      </c>
      <c r="B102" s="62" t="s">
        <v>1653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132</v>
      </c>
      <c r="G102" s="88" t="s">
        <v>1654</v>
      </c>
      <c r="O102" s="65" t="s">
        <v>1655</v>
      </c>
    </row>
    <row r="103" customFormat="false" ht="29.85" hidden="false" customHeight="false" outlineLevel="0" collapsed="false">
      <c r="A103" s="5" t="s">
        <v>1656</v>
      </c>
      <c r="B103" s="62" t="s">
        <v>136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137</v>
      </c>
      <c r="G103" s="93" t="s">
        <v>1657</v>
      </c>
      <c r="O103" s="65" t="s">
        <v>1658</v>
      </c>
    </row>
    <row r="104" customFormat="false" ht="26.85" hidden="false" customHeight="false" outlineLevel="0" collapsed="false">
      <c r="A104" s="5" t="s">
        <v>1659</v>
      </c>
      <c r="B104" s="62" t="s">
        <v>131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1660</v>
      </c>
      <c r="G104" s="93" t="s">
        <v>1661</v>
      </c>
      <c r="O104" s="65" t="s">
        <v>1662</v>
      </c>
    </row>
    <row r="105" customFormat="false" ht="26.85" hidden="false" customHeight="false" outlineLevel="0" collapsed="false">
      <c r="A105" s="5" t="s">
        <v>1663</v>
      </c>
      <c r="B105" s="62" t="s">
        <v>131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1664</v>
      </c>
      <c r="G105" s="93" t="s">
        <v>1665</v>
      </c>
      <c r="O105" s="65" t="s">
        <v>1666</v>
      </c>
    </row>
    <row r="106" customFormat="false" ht="15" hidden="false" customHeight="false" outlineLevel="0" collapsed="false">
      <c r="A106" s="5" t="s">
        <v>1667</v>
      </c>
      <c r="B106" s="62" t="s">
        <v>1045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180</v>
      </c>
      <c r="G106" s="88" t="s">
        <v>1668</v>
      </c>
      <c r="O106" s="65" t="s">
        <v>1669</v>
      </c>
    </row>
    <row r="107" customFormat="false" ht="29.85" hidden="false" customHeight="false" outlineLevel="0" collapsed="false">
      <c r="A107" s="5" t="s">
        <v>1670</v>
      </c>
      <c r="B107" s="62" t="s">
        <v>136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180</v>
      </c>
      <c r="G107" s="88" t="s">
        <v>1671</v>
      </c>
      <c r="O107" s="65" t="s">
        <v>1672</v>
      </c>
    </row>
    <row r="108" customFormat="false" ht="15" hidden="false" customHeight="false" outlineLevel="0" collapsed="false">
      <c r="A108" s="10" t="s">
        <v>1673</v>
      </c>
    </row>
    <row r="109" customFormat="false" ht="52.2" hidden="false" customHeight="false" outlineLevel="0" collapsed="false">
      <c r="A109" s="5" t="s">
        <v>1674</v>
      </c>
      <c r="B109" s="62" t="s">
        <v>121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1598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1675</v>
      </c>
    </row>
    <row r="110" customFormat="false" ht="29.85" hidden="false" customHeight="false" outlineLevel="0" collapsed="false">
      <c r="A110" s="5" t="s">
        <v>1676</v>
      </c>
      <c r="B110" s="62" t="s">
        <v>1677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180</v>
      </c>
      <c r="G110" s="88" t="s">
        <v>1678</v>
      </c>
    </row>
    <row r="111" customFormat="false" ht="29.85" hidden="false" customHeight="false" outlineLevel="0" collapsed="false">
      <c r="A111" s="5" t="s">
        <v>1679</v>
      </c>
      <c r="B111" s="62" t="s">
        <v>1677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180</v>
      </c>
      <c r="G111" s="88" t="s">
        <v>1680</v>
      </c>
    </row>
    <row r="112" customFormat="false" ht="26.85" hidden="false" customHeight="false" outlineLevel="0" collapsed="false">
      <c r="A112" s="5" t="s">
        <v>1681</v>
      </c>
      <c r="B112" s="62" t="s">
        <v>136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180</v>
      </c>
      <c r="G112" s="88" t="s">
        <v>1682</v>
      </c>
    </row>
    <row r="113" customFormat="false" ht="29.85" hidden="false" customHeight="false" outlineLevel="0" collapsed="false">
      <c r="A113" s="5" t="s">
        <v>1683</v>
      </c>
      <c r="B113" s="62" t="s">
        <v>136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59" t="s">
        <v>1684</v>
      </c>
      <c r="G113" s="93" t="s">
        <v>1685</v>
      </c>
      <c r="O113" s="65" t="s">
        <v>1686</v>
      </c>
    </row>
    <row r="114" customFormat="false" ht="39.55" hidden="false" customHeight="false" outlineLevel="0" collapsed="false">
      <c r="A114" s="5" t="s">
        <v>1687</v>
      </c>
      <c r="B114" s="62" t="s">
        <v>136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1598</v>
      </c>
      <c r="G114" s="88" t="s">
        <v>1688</v>
      </c>
    </row>
    <row r="115" customFormat="false" ht="44" hidden="false" customHeight="false" outlineLevel="0" collapsed="false">
      <c r="A115" s="5" t="s">
        <v>1689</v>
      </c>
      <c r="B115" s="62" t="s">
        <v>136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59" t="s">
        <v>180</v>
      </c>
      <c r="G115" s="93" t="s">
        <v>1690</v>
      </c>
    </row>
    <row r="116" customFormat="false" ht="29.85" hidden="false" customHeight="false" outlineLevel="0" collapsed="false">
      <c r="A116" s="5" t="s">
        <v>1691</v>
      </c>
      <c r="B116" s="62" t="s">
        <v>998</v>
      </c>
      <c r="C116" s="69" t="n">
        <f aca="false">IF(AND(ISNUMBER(C110),ISNUMBER(C111),ISNUMBER(C112)),C109*C114/(1/C110+C112/C111),AL_UnavailTxt)</f>
        <v>19098300660.0604</v>
      </c>
      <c r="D116" s="69" t="n">
        <f aca="false">IF(AND(ISNUMBER(D110),ISNUMBER(D111),ISNUMBER(D112)),D109*D114/(1/D110+D112/D111),AL_UnavailTxt)</f>
        <v>42305958361.5773</v>
      </c>
      <c r="E116" s="69" t="n">
        <f aca="false">IF(AND(ISNUMBER(E110),ISNUMBER(E111),ISNUMBER(E112)),E109*E114/(1/E110+E112/E111),AL_UnavailTxt)</f>
        <v>6599006325.63064</v>
      </c>
      <c r="F116" s="59" t="s">
        <v>180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  <c r="O116" s="65" t="s">
        <v>1692</v>
      </c>
    </row>
    <row r="117" customFormat="false" ht="15" hidden="false" customHeight="false" outlineLevel="0" collapsed="false">
      <c r="A117" s="5" t="s">
        <v>1693</v>
      </c>
      <c r="B117" s="62" t="s">
        <v>998</v>
      </c>
      <c r="C117" s="69" t="n">
        <f aca="false">IF(AND(ISNUMBER(C110),ISNUMBER(C111),ISNUMBER(C113)),C109*C114/(1/C110+C113/C111),AL_UnavailTxt)</f>
        <v>11968021820.6648</v>
      </c>
      <c r="D117" s="69" t="n">
        <f aca="false">IF(AND(ISNUMBER(D110),ISNUMBER(D111),ISNUMBER(D113)),D109*D114/(1/D110+D113/D111),AL_UnavailTxt)</f>
        <v>26511187661.5462</v>
      </c>
      <c r="E117" s="69" t="n">
        <f aca="false">IF(AND(ISNUMBER(E110),ISNUMBER(E111),ISNUMBER(E113)),E109*E114/(1/E110+E113/E111),AL_UnavailTxt)</f>
        <v>4135292092.50614</v>
      </c>
      <c r="F117" s="59" t="s">
        <v>180</v>
      </c>
      <c r="G117" s="93" t="s">
        <v>1694</v>
      </c>
      <c r="O117" s="65" t="s">
        <v>1695</v>
      </c>
    </row>
    <row r="118" customFormat="false" ht="41" hidden="false" customHeight="false" outlineLevel="0" collapsed="false">
      <c r="A118" s="5" t="s">
        <v>1696</v>
      </c>
      <c r="B118" s="62" t="s">
        <v>998</v>
      </c>
      <c r="C118" s="72" t="n">
        <f aca="false">IF(AND(ISNUMBER(C110),ISNUMBER(C111),ISNUMBER(C112),ISNUMBER(C115)),C109*C115/(1/C110+C112/C111),AL_UnavailTxt)</f>
        <v>25845516859.6077</v>
      </c>
      <c r="D118" s="69" t="n">
        <f aca="false">IF(AND(ISNUMBER(D110),ISNUMBER(D111),ISNUMBER(D112),ISNUMBER(D115)),D109*D115/(1/D110+D112/D111),AL_UnavailTxt)</f>
        <v>36112913968.219</v>
      </c>
      <c r="E118" s="69" t="n">
        <f aca="false">IF(AND(ISNUMBER(E110),ISNUMBER(E111),ISNUMBER(E112),ISNUMBER(E115)),E109*E115/(1/E110+E112/E111),AL_UnavailTxt)</f>
        <v>12204827405.9259</v>
      </c>
      <c r="F118" s="59" t="s">
        <v>180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  <c r="O118" s="65" t="s">
        <v>1697</v>
      </c>
    </row>
    <row r="119" customFormat="false" ht="72.35" hidden="false" customHeight="false" outlineLevel="0" collapsed="false">
      <c r="A119" s="5" t="s">
        <v>1698</v>
      </c>
      <c r="B119" s="62" t="s">
        <v>136</v>
      </c>
      <c r="C119" s="106" t="n">
        <f aca="false">IF(ISNUMBER(C116),MAX(SRC_DEM_007*1000000000/(C116*AL_PriceFleet25),IF(ISNUMBER(C121),C121,0)),AL_UnavailTxt)</f>
        <v>0.407295434678084</v>
      </c>
      <c r="D119" s="107" t="n">
        <f aca="false">IF(ISNUMBER(D116),MAX(SRC_DEM_007*1000000000/(D116*AL_PriceFleet25),IF(ISNUMBER(D121),D121,0)),AL_UnavailTxt)</f>
        <v>0.215398033949784</v>
      </c>
      <c r="E119" s="107" t="n">
        <f aca="false">IF(ISNUMBER(E116),MAX(SRC_DEM_007*1000000000/(E116*AL_PriceFleet25),IF(ISNUMBER(E121),E121,0)),AL_UnavailTxt)</f>
        <v>1.17876090506834</v>
      </c>
      <c r="F119" s="59" t="s">
        <v>180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0.41）；下限截斷：v14.1 起，低端不得低於同欄物理下限（第 121 列同欄）</v>
      </c>
      <c r="O119" s="65" t="s">
        <v>1699</v>
      </c>
    </row>
    <row r="120" customFormat="false" ht="15" hidden="false" customHeight="false" outlineLevel="0" collapsed="false">
      <c r="A120" s="5" t="s">
        <v>1700</v>
      </c>
      <c r="B120" s="62" t="s">
        <v>136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59" t="s">
        <v>180</v>
      </c>
      <c r="G120" s="93"/>
      <c r="O120" s="65" t="s">
        <v>1701</v>
      </c>
    </row>
    <row r="121" customFormat="false" ht="44" hidden="false" customHeight="false" outlineLevel="0" collapsed="false">
      <c r="A121" s="6" t="s">
        <v>1702</v>
      </c>
      <c r="B121" s="62" t="s">
        <v>136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59" t="s">
        <v>180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0.30）；m 不可能低於此值（除非 C23、C24 改）；v14.1 起第 119 列各欄＝MAX(點估計, 本列同欄)，故 L1_MFleet 的 _Lo／基準／_Hi 都不低於各自欄的本列</v>
      </c>
      <c r="O121" s="65" t="s">
        <v>1703</v>
      </c>
    </row>
    <row r="122" customFormat="false" ht="15" hidden="false" customHeight="false" outlineLevel="0" collapsed="false">
      <c r="A122" s="60" t="s">
        <v>1704</v>
      </c>
    </row>
    <row r="123" customFormat="false" ht="15" hidden="false" customHeight="false" outlineLevel="0" collapsed="false">
      <c r="A123" s="6" t="s">
        <v>1705</v>
      </c>
      <c r="B123" s="62" t="s">
        <v>998</v>
      </c>
      <c r="C123" s="69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180</v>
      </c>
      <c r="G123" s="88" t="s">
        <v>1706</v>
      </c>
      <c r="O123" s="65" t="s">
        <v>1707</v>
      </c>
    </row>
    <row r="124" customFormat="false" ht="15" hidden="false" customHeight="false" outlineLevel="0" collapsed="false">
      <c r="A124" s="6" t="s">
        <v>1708</v>
      </c>
      <c r="B124" s="62" t="s">
        <v>998</v>
      </c>
      <c r="C124" s="69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180</v>
      </c>
      <c r="G124" s="88" t="s">
        <v>1706</v>
      </c>
      <c r="O124" s="65" t="s">
        <v>1709</v>
      </c>
    </row>
    <row r="125" customFormat="false" ht="15" hidden="false" customHeight="false" outlineLevel="0" collapsed="false">
      <c r="A125" s="6" t="s">
        <v>1710</v>
      </c>
      <c r="B125" s="62" t="s">
        <v>998</v>
      </c>
      <c r="C125" s="69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180</v>
      </c>
      <c r="G125" s="88" t="s">
        <v>1706</v>
      </c>
      <c r="O125" s="65" t="s">
        <v>1711</v>
      </c>
    </row>
    <row r="126" customFormat="false" ht="15" hidden="false" customHeight="false" outlineLevel="0" collapsed="false">
      <c r="A126" s="60" t="s">
        <v>1712</v>
      </c>
    </row>
    <row r="127" customFormat="false" ht="39.55" hidden="false" customHeight="false" outlineLevel="0" collapsed="false">
      <c r="A127" s="5" t="s">
        <v>1713</v>
      </c>
      <c r="B127" s="62" t="s">
        <v>131</v>
      </c>
      <c r="C127" s="150" t="n">
        <v>0.1</v>
      </c>
      <c r="D127" s="150" t="n">
        <v>0.2</v>
      </c>
      <c r="E127" s="150" t="n">
        <v>0.05</v>
      </c>
      <c r="F127" s="59" t="s">
        <v>132</v>
      </c>
      <c r="G127" s="93" t="s">
        <v>1714</v>
      </c>
      <c r="O127" s="65" t="s">
        <v>1715</v>
      </c>
    </row>
    <row r="128" customFormat="false" ht="15" hidden="false" customHeight="false" outlineLevel="0" collapsed="false">
      <c r="A128" s="5" t="s">
        <v>1716</v>
      </c>
      <c r="B128" s="62" t="s">
        <v>136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59" t="s">
        <v>180</v>
      </c>
      <c r="G128" s="88" t="s">
        <v>1717</v>
      </c>
      <c r="O128" s="65" t="s">
        <v>1718</v>
      </c>
    </row>
    <row r="129" customFormat="false" ht="15" hidden="false" customHeight="false" outlineLevel="0" collapsed="false">
      <c r="A129" s="5" t="s">
        <v>1719</v>
      </c>
      <c r="B129" s="62" t="s">
        <v>136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59" t="s">
        <v>180</v>
      </c>
      <c r="G129" s="88" t="s">
        <v>1720</v>
      </c>
      <c r="O129" s="65" t="s">
        <v>1721</v>
      </c>
    </row>
    <row r="130" customFormat="false" ht="15" hidden="false" customHeight="false" outlineLevel="0" collapsed="false">
      <c r="A130" s="10" t="s">
        <v>1722</v>
      </c>
    </row>
    <row r="131" customFormat="false" ht="39.55" hidden="false" customHeight="false" outlineLevel="0" collapsed="false">
      <c r="A131" s="6" t="s">
        <v>1723</v>
      </c>
      <c r="B131" s="62" t="s">
        <v>131</v>
      </c>
      <c r="C131" s="150" t="n">
        <v>0.1</v>
      </c>
      <c r="D131" s="150" t="n">
        <v>0.05</v>
      </c>
      <c r="E131" s="150" t="n">
        <v>0.15</v>
      </c>
      <c r="F131" s="59" t="s">
        <v>132</v>
      </c>
      <c r="G131" s="93" t="s">
        <v>1724</v>
      </c>
    </row>
    <row r="132" customFormat="false" ht="29.85" hidden="false" customHeight="false" outlineLevel="0" collapsed="false">
      <c r="A132" s="5" t="s">
        <v>1725</v>
      </c>
      <c r="B132" s="62" t="s">
        <v>131</v>
      </c>
      <c r="C132" s="150" t="n">
        <v>0.75</v>
      </c>
      <c r="D132" s="150" t="n">
        <v>0.9</v>
      </c>
      <c r="E132" s="150" t="n">
        <v>0.6</v>
      </c>
      <c r="F132" s="59" t="s">
        <v>132</v>
      </c>
      <c r="G132" s="93" t="s">
        <v>1726</v>
      </c>
    </row>
    <row r="133" customFormat="false" ht="29.85" hidden="false" customHeight="false" outlineLevel="0" collapsed="false">
      <c r="A133" s="6" t="s">
        <v>1727</v>
      </c>
      <c r="B133" s="62" t="s">
        <v>1094</v>
      </c>
      <c r="C133" s="149" t="n">
        <v>0.5</v>
      </c>
      <c r="D133" s="149" t="n">
        <v>0</v>
      </c>
      <c r="E133" s="149" t="n">
        <v>1</v>
      </c>
      <c r="F133" s="59" t="s">
        <v>132</v>
      </c>
      <c r="G133" s="93" t="s">
        <v>1728</v>
      </c>
      <c r="O133" s="65" t="s">
        <v>1729</v>
      </c>
    </row>
    <row r="134" customFormat="false" ht="15" hidden="false" customHeight="false" outlineLevel="0" collapsed="false">
      <c r="A134" s="10" t="s">
        <v>1730</v>
      </c>
    </row>
    <row r="135" customFormat="false" ht="15" hidden="false" customHeight="false" outlineLevel="0" collapsed="false">
      <c r="A135" s="5" t="s">
        <v>1731</v>
      </c>
      <c r="B135" s="62" t="s">
        <v>1094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180</v>
      </c>
      <c r="G135" s="93" t="s">
        <v>1732</v>
      </c>
    </row>
    <row r="136" customFormat="false" ht="15" hidden="false" customHeight="false" outlineLevel="0" collapsed="false">
      <c r="A136" s="5" t="s">
        <v>1733</v>
      </c>
      <c r="B136" s="62" t="s">
        <v>1094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180</v>
      </c>
      <c r="G136" s="93"/>
    </row>
    <row r="137" customFormat="false" ht="26.85" hidden="false" customHeight="false" outlineLevel="0" collapsed="false">
      <c r="A137" s="6" t="s">
        <v>1734</v>
      </c>
      <c r="B137" s="62" t="s">
        <v>1094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180</v>
      </c>
      <c r="G137" s="93" t="s">
        <v>1735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180</v>
      </c>
      <c r="G138" s="93" t="s">
        <v>1736</v>
      </c>
      <c r="O138" s="65" t="s">
        <v>1737</v>
      </c>
    </row>
    <row r="139" customFormat="false" ht="15" hidden="false" customHeight="false" outlineLevel="0" collapsed="false">
      <c r="A139" s="10" t="s">
        <v>1738</v>
      </c>
    </row>
    <row r="140" customFormat="false" ht="15" hidden="false" customHeight="false" outlineLevel="0" collapsed="false">
      <c r="A140" s="6" t="s">
        <v>1739</v>
      </c>
      <c r="B140" s="62" t="s">
        <v>998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1598</v>
      </c>
      <c r="G140" s="88" t="s">
        <v>1740</v>
      </c>
    </row>
    <row r="141" customFormat="false" ht="29.85" hidden="false" customHeight="false" outlineLevel="0" collapsed="false">
      <c r="A141" s="5" t="s">
        <v>1741</v>
      </c>
      <c r="B141" s="62" t="s">
        <v>998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1598</v>
      </c>
      <c r="G141" s="93"/>
    </row>
    <row r="142" customFormat="false" ht="29.85" hidden="false" customHeight="false" outlineLevel="0" collapsed="false">
      <c r="A142" s="5" t="s">
        <v>1742</v>
      </c>
      <c r="B142" s="62" t="s">
        <v>998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1598</v>
      </c>
      <c r="G142" s="93"/>
    </row>
    <row r="143" customFormat="false" ht="15" hidden="false" customHeight="false" outlineLevel="0" collapsed="false">
      <c r="A143" s="10" t="s">
        <v>1743</v>
      </c>
    </row>
    <row r="144" customFormat="false" ht="15" hidden="false" customHeight="false" outlineLevel="0" collapsed="false">
      <c r="A144" s="6" t="s">
        <v>1744</v>
      </c>
      <c r="B144" s="62" t="s">
        <v>136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59" t="s">
        <v>180</v>
      </c>
      <c r="G144" s="93" t="s">
        <v>1745</v>
      </c>
    </row>
    <row r="145" customFormat="false" ht="15" hidden="false" customHeight="false" outlineLevel="0" collapsed="false">
      <c r="A145" s="6" t="s">
        <v>1746</v>
      </c>
      <c r="B145" s="62" t="s">
        <v>136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59" t="s">
        <v>180</v>
      </c>
      <c r="G145" s="88" t="s">
        <v>1747</v>
      </c>
    </row>
    <row r="146" customFormat="false" ht="15" hidden="false" customHeight="false" outlineLevel="0" collapsed="false">
      <c r="A146" s="6" t="s">
        <v>1748</v>
      </c>
      <c r="B146" s="62" t="s">
        <v>136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59" t="s">
        <v>180</v>
      </c>
      <c r="G146" s="93" t="s">
        <v>1749</v>
      </c>
    </row>
    <row r="147" customFormat="false" ht="15" hidden="false" customHeight="false" outlineLevel="0" collapsed="false">
      <c r="A147" s="6" t="s">
        <v>1750</v>
      </c>
      <c r="B147" s="62" t="s">
        <v>136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59" t="s">
        <v>180</v>
      </c>
      <c r="G147" s="93" t="s">
        <v>1751</v>
      </c>
    </row>
    <row r="148" customFormat="false" ht="29.85" hidden="false" customHeight="false" outlineLevel="0" collapsed="false">
      <c r="A148" s="5" t="s">
        <v>1752</v>
      </c>
      <c r="B148" s="62" t="s">
        <v>136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180</v>
      </c>
      <c r="G148" s="93" t="s">
        <v>1753</v>
      </c>
      <c r="O148" s="65" t="s">
        <v>1754</v>
      </c>
    </row>
    <row r="149" customFormat="false" ht="15" hidden="false" customHeight="false" outlineLevel="0" collapsed="false">
      <c r="A149" s="10" t="s">
        <v>1755</v>
      </c>
    </row>
    <row r="150" customFormat="false" ht="26.85" hidden="false" customHeight="false" outlineLevel="0" collapsed="false">
      <c r="A150" s="5" t="s">
        <v>1756</v>
      </c>
      <c r="B150" s="62" t="s">
        <v>136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1598</v>
      </c>
      <c r="G150" s="93" t="s">
        <v>1757</v>
      </c>
    </row>
    <row r="151" customFormat="false" ht="26.85" hidden="false" customHeight="false" outlineLevel="0" collapsed="false">
      <c r="A151" s="5" t="s">
        <v>1758</v>
      </c>
      <c r="B151" s="62" t="s">
        <v>136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59" t="s">
        <v>180</v>
      </c>
      <c r="G151" s="88" t="s">
        <v>1759</v>
      </c>
    </row>
    <row r="152" customFormat="false" ht="29.85" hidden="false" customHeight="false" outlineLevel="0" collapsed="false">
      <c r="A152" s="5" t="s">
        <v>1760</v>
      </c>
      <c r="B152" s="62" t="s">
        <v>136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180</v>
      </c>
      <c r="G152" s="88" t="s">
        <v>1761</v>
      </c>
      <c r="O152" s="65" t="s">
        <v>1762</v>
      </c>
    </row>
    <row r="153" customFormat="false" ht="15" hidden="false" customHeight="false" outlineLevel="0" collapsed="false">
      <c r="A153" s="10" t="s">
        <v>1763</v>
      </c>
    </row>
    <row r="154" customFormat="false" ht="15" hidden="false" customHeight="false" outlineLevel="0" collapsed="false">
      <c r="A154" s="5" t="s">
        <v>1764</v>
      </c>
      <c r="B154" s="62" t="s">
        <v>1653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132</v>
      </c>
      <c r="G154" s="93" t="s">
        <v>1765</v>
      </c>
      <c r="O154" s="65" t="s">
        <v>1766</v>
      </c>
    </row>
    <row r="155" customFormat="false" ht="29.85" hidden="false" customHeight="false" outlineLevel="0" collapsed="false">
      <c r="A155" s="5" t="s">
        <v>1767</v>
      </c>
      <c r="B155" s="62" t="s">
        <v>1653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132</v>
      </c>
      <c r="G155" s="93" t="s">
        <v>1768</v>
      </c>
      <c r="O155" s="65" t="s">
        <v>1769</v>
      </c>
    </row>
    <row r="156" customFormat="false" ht="15" hidden="false" customHeight="false" outlineLevel="0" collapsed="false">
      <c r="A156" s="5" t="s">
        <v>1770</v>
      </c>
      <c r="B156" s="62" t="s">
        <v>1653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132</v>
      </c>
      <c r="G156" s="93" t="s">
        <v>1771</v>
      </c>
      <c r="O156" s="65" t="s">
        <v>1772</v>
      </c>
    </row>
    <row r="157" customFormat="false" ht="29.85" hidden="false" customHeight="false" outlineLevel="0" collapsed="false">
      <c r="A157" s="5" t="s">
        <v>1773</v>
      </c>
      <c r="B157" s="62" t="s">
        <v>1653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132</v>
      </c>
      <c r="G157" s="93" t="s">
        <v>1774</v>
      </c>
      <c r="O157" s="65" t="s">
        <v>1775</v>
      </c>
    </row>
    <row r="158" customFormat="false" ht="29.85" hidden="false" customHeight="false" outlineLevel="0" collapsed="false">
      <c r="A158" s="5" t="s">
        <v>1776</v>
      </c>
      <c r="B158" s="62" t="s">
        <v>136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137</v>
      </c>
      <c r="G158" s="88" t="s">
        <v>1777</v>
      </c>
      <c r="O158" s="65" t="s">
        <v>1778</v>
      </c>
    </row>
    <row r="159" customFormat="false" ht="29.85" hidden="false" customHeight="false" outlineLevel="0" collapsed="false">
      <c r="A159" s="5" t="s">
        <v>1779</v>
      </c>
      <c r="B159" s="62" t="s">
        <v>136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137</v>
      </c>
      <c r="G159" s="88" t="s">
        <v>1780</v>
      </c>
      <c r="O159" s="65" t="s">
        <v>1781</v>
      </c>
    </row>
    <row r="160" customFormat="false" ht="15" hidden="false" customHeight="false" outlineLevel="0" collapsed="false">
      <c r="A160" s="10" t="s">
        <v>1782</v>
      </c>
    </row>
    <row r="161" customFormat="false" ht="29.85" hidden="false" customHeight="false" outlineLevel="0" collapsed="false">
      <c r="A161" s="5" t="s">
        <v>1783</v>
      </c>
      <c r="B161" s="62" t="s">
        <v>1784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180</v>
      </c>
      <c r="G161" s="93" t="s">
        <v>1785</v>
      </c>
      <c r="O161" s="65" t="s">
        <v>1786</v>
      </c>
    </row>
    <row r="162" customFormat="false" ht="15" hidden="false" customHeight="false" outlineLevel="0" collapsed="false">
      <c r="A162" s="6" t="s">
        <v>1787</v>
      </c>
      <c r="B162" s="62" t="s">
        <v>1605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180</v>
      </c>
      <c r="G162" s="88" t="s">
        <v>1788</v>
      </c>
      <c r="O162" s="65" t="s">
        <v>1789</v>
      </c>
    </row>
    <row r="163" customFormat="false" ht="29.85" hidden="false" customHeight="false" outlineLevel="0" collapsed="false">
      <c r="A163" s="5" t="s">
        <v>1790</v>
      </c>
      <c r="B163" s="62" t="s">
        <v>1605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137</v>
      </c>
      <c r="G163" s="88" t="s">
        <v>1791</v>
      </c>
      <c r="O163" s="65" t="s">
        <v>1792</v>
      </c>
    </row>
    <row r="164" customFormat="false" ht="29.85" hidden="false" customHeight="false" outlineLevel="0" collapsed="false">
      <c r="A164" s="5" t="s">
        <v>1793</v>
      </c>
      <c r="B164" s="62" t="s">
        <v>1605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180</v>
      </c>
      <c r="G164" s="93" t="s">
        <v>1794</v>
      </c>
      <c r="O164" s="65" t="s">
        <v>1795</v>
      </c>
    </row>
    <row r="165" customFormat="false" ht="15" hidden="false" customHeight="false" outlineLevel="0" collapsed="false">
      <c r="A165" s="5" t="s">
        <v>1796</v>
      </c>
      <c r="B165" s="62" t="s">
        <v>136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59" t="s">
        <v>180</v>
      </c>
      <c r="G165" s="93" t="s">
        <v>1797</v>
      </c>
      <c r="O165" s="65" t="s">
        <v>1798</v>
      </c>
    </row>
    <row r="166" customFormat="false" ht="15" hidden="false" customHeight="false" outlineLevel="0" collapsed="false">
      <c r="A166" s="10" t="s">
        <v>1799</v>
      </c>
    </row>
    <row r="167" customFormat="false" ht="29.85" hidden="false" customHeight="false" outlineLevel="0" collapsed="false">
      <c r="A167" s="6" t="s">
        <v>1800</v>
      </c>
      <c r="B167" s="62" t="s">
        <v>131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1801</v>
      </c>
      <c r="G167" s="88" t="s">
        <v>1802</v>
      </c>
      <c r="O167" s="65" t="s">
        <v>1803</v>
      </c>
    </row>
    <row r="168" customFormat="false" ht="26.85" hidden="false" customHeight="false" outlineLevel="0" collapsed="false">
      <c r="A168" s="6" t="s">
        <v>1804</v>
      </c>
      <c r="B168" s="62" t="s">
        <v>131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1801</v>
      </c>
      <c r="G168" s="88" t="s">
        <v>1805</v>
      </c>
      <c r="O168" s="65" t="s">
        <v>1806</v>
      </c>
    </row>
    <row r="169" customFormat="false" ht="26.85" hidden="false" customHeight="false" outlineLevel="0" collapsed="false">
      <c r="A169" s="6" t="s">
        <v>1807</v>
      </c>
      <c r="B169" s="62" t="s">
        <v>136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65" t="s">
        <v>1808</v>
      </c>
      <c r="G169" s="93" t="s">
        <v>1809</v>
      </c>
    </row>
    <row r="170" customFormat="false" ht="15" hidden="false" customHeight="false" outlineLevel="0" collapsed="false">
      <c r="A170" s="10" t="s">
        <v>1810</v>
      </c>
    </row>
    <row r="171" customFormat="false" ht="15" hidden="false" customHeight="false" outlineLevel="0" collapsed="false">
      <c r="A171" s="5" t="s">
        <v>1811</v>
      </c>
      <c r="B171" s="62" t="s">
        <v>998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1598</v>
      </c>
      <c r="G171" s="88" t="s">
        <v>1812</v>
      </c>
      <c r="O171" s="65" t="s">
        <v>1813</v>
      </c>
    </row>
    <row r="172" customFormat="false" ht="15" hidden="false" customHeight="false" outlineLevel="0" collapsed="false">
      <c r="A172" s="5" t="s">
        <v>1814</v>
      </c>
      <c r="B172" s="62" t="s">
        <v>998</v>
      </c>
      <c r="C172" s="69" t="n">
        <f aca="false">C116</f>
        <v>19098300660.0604</v>
      </c>
      <c r="D172" s="69" t="n">
        <f aca="false">D116</f>
        <v>42305958361.5773</v>
      </c>
      <c r="E172" s="69" t="n">
        <f aca="false">E116</f>
        <v>6599006325.63064</v>
      </c>
      <c r="F172" s="59" t="s">
        <v>180</v>
      </c>
      <c r="G172" s="88" t="s">
        <v>1815</v>
      </c>
      <c r="O172" s="65" t="s">
        <v>1816</v>
      </c>
    </row>
    <row r="173" customFormat="false" ht="29.85" hidden="false" customHeight="false" outlineLevel="0" collapsed="false">
      <c r="A173" s="5" t="s">
        <v>1817</v>
      </c>
      <c r="B173" s="62" t="s">
        <v>998</v>
      </c>
      <c r="C173" s="69" t="n">
        <f aca="false">C118</f>
        <v>25845516859.6077</v>
      </c>
      <c r="D173" s="69" t="n">
        <f aca="false">D118</f>
        <v>36112913968.219</v>
      </c>
      <c r="E173" s="69" t="n">
        <f aca="false">E118</f>
        <v>12204827405.9259</v>
      </c>
      <c r="F173" s="59" t="s">
        <v>180</v>
      </c>
      <c r="G173" s="88" t="s">
        <v>1818</v>
      </c>
      <c r="O173" s="65" t="s">
        <v>1819</v>
      </c>
    </row>
    <row r="174" customFormat="false" ht="29.85" hidden="false" customHeight="false" outlineLevel="0" collapsed="false">
      <c r="A174" s="5" t="s">
        <v>1820</v>
      </c>
      <c r="B174" s="62" t="s">
        <v>136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59" t="s">
        <v>180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65" t="s">
        <v>1821</v>
      </c>
    </row>
    <row r="175" customFormat="false" ht="15" hidden="false" customHeight="false" outlineLevel="0" collapsed="false">
      <c r="A175" s="5" t="s">
        <v>1822</v>
      </c>
      <c r="B175" s="62" t="s">
        <v>136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59" t="s">
        <v>180</v>
      </c>
      <c r="G175" s="93"/>
      <c r="O175" s="65" t="s">
        <v>1823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  <c r="O176" s="65" t="s">
        <v>1824</v>
      </c>
    </row>
    <row r="177" customFormat="false" ht="29.85" hidden="false" customHeight="false" outlineLevel="0" collapsed="false">
      <c r="A177" s="6" t="s">
        <v>1825</v>
      </c>
      <c r="B177" s="62" t="s">
        <v>121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180</v>
      </c>
      <c r="G177" s="88" t="s">
        <v>1826</v>
      </c>
    </row>
    <row r="178" customFormat="false" ht="44" hidden="false" customHeight="false" outlineLevel="0" collapsed="false">
      <c r="A178" s="6" t="s">
        <v>1827</v>
      </c>
      <c r="B178" s="62" t="s">
        <v>998</v>
      </c>
      <c r="C178" s="69" t="n">
        <f aca="false">IF(AND(ISNUMBER(C110),ISNUMBER(C111)),(C177-C140/C110)/((1-AL_FreeShare)/C110+AL_FreeShare/C111),AL_UnavailTxt)</f>
        <v>34844707076.4463</v>
      </c>
      <c r="D178" s="69" t="n">
        <f aca="false">IF(AND(ISNUMBER(D110),ISNUMBER(D111)),(D177-D140/D110)/((1-AL_FreeShare)/D110+AL_FreeShare/D111),AL_UnavailTxt)</f>
        <v>81412870577.7346</v>
      </c>
      <c r="E178" s="69" t="n">
        <f aca="false">IF(AND(ISNUMBER(E110),ISNUMBER(E111)),(E177-E140/E110)/((1-AL_FreeShare)/E110+AL_FreeShare/E111),AL_UnavailTxt)</f>
        <v>10147954360.655</v>
      </c>
      <c r="F178" s="59" t="s">
        <v>180</v>
      </c>
      <c r="G178" s="93" t="s">
        <v>1828</v>
      </c>
    </row>
    <row r="179" customFormat="false" ht="29.85" hidden="false" customHeight="false" outlineLevel="0" collapsed="false">
      <c r="A179" s="6" t="s">
        <v>1829</v>
      </c>
      <c r="B179" s="62" t="s">
        <v>337</v>
      </c>
      <c r="C179" s="72" t="n">
        <f aca="false">IF(ISNUMBER(C178),C178*1000000/(SRC_DEM_012*1000000000*365),AL_UnavailTxt)</f>
        <v>38185.9803577493</v>
      </c>
      <c r="D179" s="69" t="n">
        <f aca="false">IF(ISNUMBER(D178),D178*1000000/(SRC_DEM_012*1000000000*365),AL_UnavailTxt)</f>
        <v>89219.5841947776</v>
      </c>
      <c r="E179" s="69" t="n">
        <f aca="false">IF(ISNUMBER(E178),E178*1000000/(SRC_DEM_012*1000000000*365),AL_UnavailTxt)</f>
        <v>11121.0458746904</v>
      </c>
      <c r="F179" s="59" t="s">
        <v>180</v>
      </c>
      <c r="G179" s="93" t="s">
        <v>1830</v>
      </c>
    </row>
    <row r="180" customFormat="false" ht="29.85" hidden="false" customHeight="false" outlineLevel="0" collapsed="false">
      <c r="A180" s="6" t="s">
        <v>1831</v>
      </c>
      <c r="B180" s="62" t="s">
        <v>136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180</v>
      </c>
      <c r="G180" s="93" t="s">
        <v>1797</v>
      </c>
      <c r="O180" s="65" t="s">
        <v>1832</v>
      </c>
    </row>
    <row r="181" customFormat="false" ht="29.85" hidden="false" customHeight="false" outlineLevel="0" collapsed="false">
      <c r="A181" s="5" t="s">
        <v>1833</v>
      </c>
      <c r="B181" s="62" t="s">
        <v>131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59" t="s">
        <v>180</v>
      </c>
      <c r="G181" s="93" t="s">
        <v>1834</v>
      </c>
      <c r="O181" s="65" t="s">
        <v>1835</v>
      </c>
    </row>
    <row r="182" customFormat="false" ht="15" hidden="false" customHeight="false" outlineLevel="0" collapsed="false">
      <c r="A182" s="10" t="s">
        <v>1836</v>
      </c>
    </row>
    <row r="183" customFormat="false" ht="15" hidden="false" customHeight="false" outlineLevel="0" collapsed="false">
      <c r="A183" s="60" t="s">
        <v>415</v>
      </c>
      <c r="B183" s="60" t="s">
        <v>113</v>
      </c>
      <c r="C183" s="10" t="s">
        <v>1837</v>
      </c>
      <c r="D183" s="10" t="s">
        <v>1838</v>
      </c>
      <c r="E183" s="10" t="s">
        <v>1839</v>
      </c>
      <c r="F183" s="10" t="s">
        <v>1840</v>
      </c>
      <c r="G183" s="60" t="s">
        <v>117</v>
      </c>
      <c r="H183" s="60" t="s">
        <v>383</v>
      </c>
    </row>
    <row r="184" customFormat="false" ht="15" hidden="false" customHeight="false" outlineLevel="0" collapsed="false">
      <c r="A184" s="10" t="s">
        <v>1841</v>
      </c>
    </row>
    <row r="185" customFormat="false" ht="167.9" hidden="false" customHeight="false" outlineLevel="0" collapsed="false">
      <c r="A185" s="5" t="s">
        <v>1842</v>
      </c>
      <c r="B185" s="62" t="s">
        <v>1094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1843</v>
      </c>
      <c r="H185" s="88" t="s">
        <v>1844</v>
      </c>
      <c r="O185" s="65" t="s">
        <v>1845</v>
      </c>
    </row>
    <row r="186" customFormat="false" ht="314.15" hidden="false" customHeight="false" outlineLevel="0" collapsed="false">
      <c r="A186" s="5" t="s">
        <v>1846</v>
      </c>
      <c r="B186" s="62" t="s">
        <v>1094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1847</v>
      </c>
      <c r="H186" s="88" t="s">
        <v>1848</v>
      </c>
    </row>
    <row r="187" customFormat="false" ht="179.1" hidden="false" customHeight="false" outlineLevel="0" collapsed="false">
      <c r="A187" s="6" t="s">
        <v>1849</v>
      </c>
      <c r="B187" s="62" t="s">
        <v>1094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180</v>
      </c>
      <c r="H187" s="88" t="s">
        <v>1850</v>
      </c>
      <c r="O187" s="65" t="s">
        <v>1851</v>
      </c>
    </row>
    <row r="188" customFormat="false" ht="208.2" hidden="false" customHeight="false" outlineLevel="0" collapsed="false">
      <c r="A188" s="5" t="s">
        <v>1852</v>
      </c>
      <c r="B188" s="62" t="s">
        <v>131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1853</v>
      </c>
      <c r="H188" s="88" t="s">
        <v>1854</v>
      </c>
      <c r="O188" s="65" t="s">
        <v>1855</v>
      </c>
    </row>
    <row r="189" customFormat="false" ht="242.5" hidden="false" customHeight="false" outlineLevel="0" collapsed="false">
      <c r="A189" s="5" t="s">
        <v>1856</v>
      </c>
      <c r="B189" s="62" t="s">
        <v>131</v>
      </c>
      <c r="C189" s="103"/>
      <c r="D189" s="150" t="n">
        <v>0.2</v>
      </c>
      <c r="E189" s="150" t="n">
        <v>0.25</v>
      </c>
      <c r="F189" s="150" t="n">
        <v>0.35</v>
      </c>
      <c r="G189" s="59" t="s">
        <v>132</v>
      </c>
      <c r="H189" s="88" t="s">
        <v>1857</v>
      </c>
      <c r="O189" s="65" t="s">
        <v>1858</v>
      </c>
    </row>
    <row r="190" customFormat="false" ht="15" hidden="false" customHeight="false" outlineLevel="0" collapsed="false">
      <c r="A190" s="5" t="s">
        <v>1859</v>
      </c>
      <c r="B190" s="62" t="s">
        <v>131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180</v>
      </c>
      <c r="H190" s="93" t="s">
        <v>1860</v>
      </c>
      <c r="O190" s="65" t="s">
        <v>1861</v>
      </c>
    </row>
    <row r="191" customFormat="false" ht="64.9" hidden="false" customHeight="false" outlineLevel="0" collapsed="false">
      <c r="A191" s="5" t="s">
        <v>1862</v>
      </c>
      <c r="B191" s="62" t="s">
        <v>1094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180</v>
      </c>
      <c r="H191" s="88" t="s">
        <v>1863</v>
      </c>
      <c r="O191" s="65" t="s">
        <v>1864</v>
      </c>
    </row>
    <row r="192" customFormat="false" ht="39.55" hidden="false" customHeight="false" outlineLevel="0" collapsed="false">
      <c r="A192" s="5" t="s">
        <v>1865</v>
      </c>
      <c r="B192" s="62" t="s">
        <v>1094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180</v>
      </c>
      <c r="H192" s="88" t="s">
        <v>1866</v>
      </c>
      <c r="O192" s="65" t="s">
        <v>1867</v>
      </c>
    </row>
    <row r="193" customFormat="false" ht="77.6" hidden="false" customHeight="false" outlineLevel="0" collapsed="false">
      <c r="A193" s="6" t="s">
        <v>1868</v>
      </c>
      <c r="B193" s="62" t="s">
        <v>1094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180</v>
      </c>
      <c r="H193" s="88" t="s">
        <v>1869</v>
      </c>
      <c r="O193" s="65" t="s">
        <v>1870</v>
      </c>
    </row>
    <row r="194" customFormat="false" ht="15" hidden="false" customHeight="false" outlineLevel="0" collapsed="false">
      <c r="A194" s="10" t="s">
        <v>1871</v>
      </c>
    </row>
    <row r="195" customFormat="false" ht="88.05" hidden="false" customHeight="false" outlineLevel="0" collapsed="false">
      <c r="A195" s="6" t="s">
        <v>1872</v>
      </c>
      <c r="B195" s="62" t="s">
        <v>136</v>
      </c>
      <c r="C195" s="62" t="s">
        <v>814</v>
      </c>
      <c r="D195" s="62" t="s">
        <v>814</v>
      </c>
      <c r="E195" s="62" t="s">
        <v>814</v>
      </c>
      <c r="F195" s="148" t="n">
        <v>1.3</v>
      </c>
      <c r="G195" s="59" t="s">
        <v>132</v>
      </c>
      <c r="H195" s="93" t="s">
        <v>1873</v>
      </c>
    </row>
    <row r="196" customFormat="false" ht="73.1" hidden="false" customHeight="false" outlineLevel="0" collapsed="false">
      <c r="A196" s="6" t="s">
        <v>1874</v>
      </c>
      <c r="B196" s="62" t="s">
        <v>998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1801</v>
      </c>
      <c r="H196" s="88" t="s">
        <v>1875</v>
      </c>
      <c r="O196" s="65" t="s">
        <v>1876</v>
      </c>
    </row>
    <row r="197" customFormat="false" ht="121.6" hidden="false" customHeight="false" outlineLevel="0" collapsed="false">
      <c r="A197" s="6" t="s">
        <v>1877</v>
      </c>
      <c r="B197" s="62" t="s">
        <v>1878</v>
      </c>
      <c r="C197" s="97"/>
      <c r="D197" s="80" t="n">
        <v>3.2</v>
      </c>
      <c r="E197" s="80" t="n">
        <v>3.6</v>
      </c>
      <c r="F197" s="80" t="n">
        <v>3.8</v>
      </c>
      <c r="G197" s="59" t="s">
        <v>1879</v>
      </c>
      <c r="H197" s="88" t="s">
        <v>1880</v>
      </c>
      <c r="O197" s="65" t="s">
        <v>1881</v>
      </c>
    </row>
    <row r="198" customFormat="false" ht="100.7" hidden="false" customHeight="false" outlineLevel="0" collapsed="false">
      <c r="A198" s="6" t="s">
        <v>1882</v>
      </c>
      <c r="B198" s="62" t="s">
        <v>998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1598</v>
      </c>
      <c r="H198" s="88" t="s">
        <v>1883</v>
      </c>
      <c r="O198" s="65" t="s">
        <v>1884</v>
      </c>
    </row>
    <row r="199" customFormat="false" ht="26.85" hidden="false" customHeight="false" outlineLevel="0" collapsed="false">
      <c r="A199" s="6" t="s">
        <v>1885</v>
      </c>
      <c r="B199" s="62" t="s">
        <v>998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1598</v>
      </c>
      <c r="H199" s="88" t="s">
        <v>1886</v>
      </c>
      <c r="O199" s="65" t="s">
        <v>1887</v>
      </c>
    </row>
    <row r="200" customFormat="false" ht="204.45" hidden="false" customHeight="false" outlineLevel="0" collapsed="false">
      <c r="A200" s="6" t="s">
        <v>1888</v>
      </c>
      <c r="B200" s="62" t="s">
        <v>131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1889</v>
      </c>
      <c r="H200" s="93" t="s">
        <v>1890</v>
      </c>
      <c r="O200" s="65" t="s">
        <v>1891</v>
      </c>
    </row>
    <row r="201" customFormat="false" ht="64.9" hidden="false" customHeight="false" outlineLevel="0" collapsed="false">
      <c r="A201" s="5" t="s">
        <v>1892</v>
      </c>
      <c r="B201" s="62" t="s">
        <v>998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1598</v>
      </c>
      <c r="H201" s="88" t="s">
        <v>1893</v>
      </c>
      <c r="O201" s="65" t="s">
        <v>1894</v>
      </c>
    </row>
    <row r="202" customFormat="false" ht="29.85" hidden="false" customHeight="false" outlineLevel="0" collapsed="false">
      <c r="A202" s="5" t="s">
        <v>1742</v>
      </c>
      <c r="B202" s="62" t="s">
        <v>998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1598</v>
      </c>
      <c r="H202" s="93"/>
      <c r="O202" s="65" t="s">
        <v>1895</v>
      </c>
    </row>
    <row r="203" customFormat="false" ht="15" hidden="false" customHeight="false" outlineLevel="0" collapsed="false">
      <c r="A203" s="10" t="s">
        <v>1896</v>
      </c>
    </row>
    <row r="204" customFormat="false" ht="141" hidden="false" customHeight="false" outlineLevel="0" collapsed="false">
      <c r="A204" s="5"/>
      <c r="B204" s="61"/>
      <c r="C204" s="107"/>
      <c r="D204" s="107"/>
      <c r="E204" s="107"/>
      <c r="F204" s="107"/>
      <c r="G204" s="59" t="s">
        <v>1897</v>
      </c>
      <c r="H204" s="88" t="s">
        <v>1898</v>
      </c>
      <c r="O204" s="65" t="s">
        <v>1899</v>
      </c>
    </row>
    <row r="205" customFormat="false" ht="44" hidden="false" customHeight="false" outlineLevel="0" collapsed="false">
      <c r="A205" s="5" t="s">
        <v>1900</v>
      </c>
      <c r="B205" s="62" t="s">
        <v>1045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180</v>
      </c>
      <c r="H205" s="93" t="s">
        <v>1901</v>
      </c>
      <c r="O205" s="65" t="s">
        <v>1902</v>
      </c>
    </row>
    <row r="206" customFormat="false" ht="138.8" hidden="false" customHeight="false" outlineLevel="0" collapsed="false">
      <c r="A206" s="6" t="s">
        <v>1903</v>
      </c>
      <c r="B206" s="62" t="s">
        <v>136</v>
      </c>
      <c r="C206" s="106" t="n">
        <f aca="false">C144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180</v>
      </c>
      <c r="H206" s="93" t="s">
        <v>1904</v>
      </c>
      <c r="O206" s="65" t="s">
        <v>1905</v>
      </c>
    </row>
    <row r="207" customFormat="false" ht="138.8" hidden="false" customHeight="false" outlineLevel="0" collapsed="false">
      <c r="A207" s="6" t="s">
        <v>1906</v>
      </c>
      <c r="B207" s="62" t="s">
        <v>136</v>
      </c>
      <c r="C207" s="107" t="n">
        <f aca="false">C145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180</v>
      </c>
      <c r="H207" s="93" t="s">
        <v>1904</v>
      </c>
      <c r="O207" s="65" t="s">
        <v>1907</v>
      </c>
    </row>
    <row r="208" customFormat="false" ht="138.8" hidden="false" customHeight="false" outlineLevel="0" collapsed="false">
      <c r="A208" s="6" t="s">
        <v>1908</v>
      </c>
      <c r="B208" s="62" t="s">
        <v>136</v>
      </c>
      <c r="C208" s="107" t="n">
        <f aca="false">C146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180</v>
      </c>
      <c r="H208" s="93" t="s">
        <v>1904</v>
      </c>
      <c r="O208" s="65" t="s">
        <v>1909</v>
      </c>
    </row>
    <row r="209" customFormat="false" ht="138.8" hidden="false" customHeight="false" outlineLevel="0" collapsed="false">
      <c r="A209" s="6" t="s">
        <v>1910</v>
      </c>
      <c r="B209" s="62" t="s">
        <v>136</v>
      </c>
      <c r="C209" s="106" t="n">
        <f aca="false">C94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180</v>
      </c>
      <c r="H209" s="93" t="s">
        <v>1904</v>
      </c>
      <c r="O209" s="65" t="s">
        <v>1911</v>
      </c>
    </row>
    <row r="210" customFormat="false" ht="15" hidden="false" customHeight="false" outlineLevel="0" collapsed="false">
      <c r="A210" s="10" t="s">
        <v>1912</v>
      </c>
    </row>
    <row r="211" customFormat="false" ht="88.05" hidden="false" customHeight="false" outlineLevel="0" collapsed="false">
      <c r="A211" s="6" t="s">
        <v>1913</v>
      </c>
      <c r="B211" s="62" t="s">
        <v>131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132</v>
      </c>
      <c r="H211" s="93" t="s">
        <v>1914</v>
      </c>
      <c r="O211" s="65" t="s">
        <v>1915</v>
      </c>
    </row>
    <row r="212" customFormat="false" ht="62.65" hidden="false" customHeight="false" outlineLevel="0" collapsed="false">
      <c r="A212" s="6" t="s">
        <v>1916</v>
      </c>
      <c r="B212" s="62" t="s">
        <v>131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132</v>
      </c>
      <c r="H212" s="93" t="s">
        <v>1917</v>
      </c>
      <c r="O212" s="65" t="s">
        <v>1918</v>
      </c>
    </row>
    <row r="213" customFormat="false" ht="62.65" hidden="false" customHeight="false" outlineLevel="0" collapsed="false">
      <c r="A213" s="6" t="s">
        <v>1919</v>
      </c>
      <c r="B213" s="62" t="s">
        <v>131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132</v>
      </c>
      <c r="H213" s="93" t="s">
        <v>1920</v>
      </c>
      <c r="O213" s="65" t="s">
        <v>1921</v>
      </c>
    </row>
    <row r="214" customFormat="false" ht="113.4" hidden="false" customHeight="false" outlineLevel="0" collapsed="false">
      <c r="A214" s="6" t="s">
        <v>1922</v>
      </c>
      <c r="B214" s="62" t="s">
        <v>131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132</v>
      </c>
      <c r="H214" s="93" t="s">
        <v>1923</v>
      </c>
      <c r="O214" s="65" t="s">
        <v>1924</v>
      </c>
    </row>
    <row r="215" customFormat="false" ht="15" hidden="false" customHeight="false" outlineLevel="0" collapsed="false">
      <c r="A215" s="5" t="s">
        <v>1925</v>
      </c>
      <c r="B215" s="62" t="s">
        <v>131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180</v>
      </c>
      <c r="H215" s="93"/>
    </row>
    <row r="216" customFormat="false" ht="180.55" hidden="false" customHeight="false" outlineLevel="0" collapsed="false">
      <c r="A216" s="5" t="s">
        <v>1926</v>
      </c>
      <c r="B216" s="62" t="s">
        <v>1094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1564</v>
      </c>
      <c r="H216" s="88" t="s">
        <v>1927</v>
      </c>
      <c r="O216" s="65" t="s">
        <v>1928</v>
      </c>
    </row>
    <row r="217" customFormat="false" ht="39.55" hidden="false" customHeight="false" outlineLevel="0" collapsed="false">
      <c r="A217" s="5" t="s">
        <v>1929</v>
      </c>
      <c r="B217" s="62" t="s">
        <v>1930</v>
      </c>
      <c r="C217" s="107"/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180</v>
      </c>
      <c r="H217" s="88" t="s">
        <v>1931</v>
      </c>
      <c r="O217" s="65" t="s">
        <v>1932</v>
      </c>
    </row>
    <row r="218" customFormat="false" ht="261.15" hidden="false" customHeight="false" outlineLevel="0" collapsed="false">
      <c r="A218" s="5" t="s">
        <v>1933</v>
      </c>
      <c r="B218" s="62" t="s">
        <v>121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1598</v>
      </c>
      <c r="H218" s="93" t="s">
        <v>1934</v>
      </c>
      <c r="O218" s="65" t="s">
        <v>1935</v>
      </c>
    </row>
    <row r="219" customFormat="false" ht="64.9" hidden="false" customHeight="false" outlineLevel="0" collapsed="false">
      <c r="A219" s="5" t="s">
        <v>1936</v>
      </c>
      <c r="B219" s="62" t="s">
        <v>1677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180</v>
      </c>
      <c r="H219" s="88" t="s">
        <v>1937</v>
      </c>
      <c r="O219" s="65" t="s">
        <v>1938</v>
      </c>
    </row>
    <row r="220" customFormat="false" ht="26.85" hidden="false" customHeight="false" outlineLevel="0" collapsed="false">
      <c r="A220" s="5" t="s">
        <v>1939</v>
      </c>
      <c r="B220" s="62" t="s">
        <v>1677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180</v>
      </c>
      <c r="H220" s="88" t="s">
        <v>1940</v>
      </c>
      <c r="O220" s="65" t="s">
        <v>1941</v>
      </c>
    </row>
    <row r="221" customFormat="false" ht="37.3" hidden="false" customHeight="false" outlineLevel="0" collapsed="false">
      <c r="A221" s="5" t="s">
        <v>1942</v>
      </c>
      <c r="B221" s="62" t="s">
        <v>136</v>
      </c>
      <c r="C221" s="107"/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180</v>
      </c>
      <c r="H221" s="88" t="s">
        <v>1943</v>
      </c>
      <c r="O221" s="65" t="s">
        <v>1944</v>
      </c>
    </row>
    <row r="222" customFormat="false" ht="29.85" hidden="false" customHeight="false" outlineLevel="0" collapsed="false">
      <c r="A222" s="5" t="s">
        <v>1691</v>
      </c>
      <c r="B222" s="62" t="s">
        <v>998</v>
      </c>
      <c r="C222" s="69"/>
      <c r="D222" s="69" t="n">
        <f aca="false">IF(AND(ISNUMBER(D219),ISNUMBER(D220)),D218/(1/D219+D221/D220),AL_UnavailTxt)</f>
        <v>59427417114.7661</v>
      </c>
      <c r="E222" s="69" t="n">
        <f aca="false">IF(AND(ISNUMBER(E219),ISNUMBER(E220)),E218/(1/E219+E221/E220),AL_UnavailTxt)</f>
        <v>58999446058.5153</v>
      </c>
      <c r="F222" s="69" t="n">
        <f aca="false">IF(AND(ISNUMBER(F219),ISNUMBER(F220)),F218/(1/F219+F221/F220),AL_UnavailTxt)</f>
        <v>59739788241.2839</v>
      </c>
      <c r="G222" s="59" t="s">
        <v>180</v>
      </c>
      <c r="H222" s="88" t="s">
        <v>1945</v>
      </c>
      <c r="O222" s="65" t="s">
        <v>1946</v>
      </c>
    </row>
    <row r="223" customFormat="false" ht="138.8" hidden="false" customHeight="false" outlineLevel="0" collapsed="false">
      <c r="A223" s="6" t="s">
        <v>1947</v>
      </c>
      <c r="B223" s="62" t="s">
        <v>136</v>
      </c>
      <c r="C223" s="106" t="n">
        <f aca="false">C119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59" t="s">
        <v>180</v>
      </c>
      <c r="H223" s="93" t="s">
        <v>1904</v>
      </c>
      <c r="O223" s="65" t="s">
        <v>1948</v>
      </c>
    </row>
    <row r="224" customFormat="false" ht="39.55" hidden="false" customHeight="false" outlineLevel="0" collapsed="false">
      <c r="A224" s="5" t="s">
        <v>1949</v>
      </c>
      <c r="B224" s="62" t="s">
        <v>136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814</v>
      </c>
      <c r="E224" s="62" t="s">
        <v>814</v>
      </c>
      <c r="F224" s="62" t="s">
        <v>814</v>
      </c>
      <c r="G224" s="59" t="s">
        <v>180</v>
      </c>
      <c r="H224" s="88" t="s">
        <v>1950</v>
      </c>
      <c r="O224" s="65" t="s">
        <v>1951</v>
      </c>
    </row>
    <row r="225" customFormat="false" ht="15" hidden="false" customHeight="false" outlineLevel="0" collapsed="false">
      <c r="A225" s="10" t="s">
        <v>1952</v>
      </c>
    </row>
    <row r="226" customFormat="false" ht="102.95" hidden="false" customHeight="false" outlineLevel="0" collapsed="false">
      <c r="A226" s="5" t="s">
        <v>1953</v>
      </c>
      <c r="B226" s="62" t="s">
        <v>131</v>
      </c>
      <c r="C226" s="150" t="n">
        <v>-0.1</v>
      </c>
      <c r="D226" s="150" t="n">
        <v>-0.25</v>
      </c>
      <c r="E226" s="150" t="n">
        <v>0.05</v>
      </c>
      <c r="F226" s="59" t="s">
        <v>132</v>
      </c>
      <c r="G226" s="93" t="s">
        <v>1954</v>
      </c>
    </row>
    <row r="227" customFormat="false" ht="26.85" hidden="false" customHeight="false" outlineLevel="0" collapsed="false">
      <c r="A227" s="5" t="s">
        <v>1955</v>
      </c>
      <c r="B227" s="61" t="s">
        <v>167</v>
      </c>
      <c r="C227" s="68" t="n">
        <v>4</v>
      </c>
      <c r="D227" s="68" t="n">
        <v>3</v>
      </c>
      <c r="E227" s="68" t="n">
        <v>5</v>
      </c>
      <c r="F227" s="59" t="s">
        <v>132</v>
      </c>
      <c r="G227" s="93" t="s">
        <v>1956</v>
      </c>
    </row>
    <row r="228" customFormat="false" ht="29.85" hidden="false" customHeight="false" outlineLevel="0" collapsed="false">
      <c r="A228" s="5" t="s">
        <v>1957</v>
      </c>
      <c r="B228" s="62" t="s">
        <v>136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1958</v>
      </c>
      <c r="G228" s="93" t="s">
        <v>1959</v>
      </c>
    </row>
    <row r="229" customFormat="false" ht="29.85" hidden="false" customHeight="false" outlineLevel="0" collapsed="false">
      <c r="A229" s="5" t="s">
        <v>1960</v>
      </c>
      <c r="B229" s="61" t="s">
        <v>167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1961</v>
      </c>
      <c r="G229" s="88" t="s">
        <v>1962</v>
      </c>
    </row>
    <row r="230" customFormat="false" ht="15" hidden="false" customHeight="false" outlineLevel="0" collapsed="false">
      <c r="A230" s="10" t="s">
        <v>1963</v>
      </c>
    </row>
    <row r="231" customFormat="false" ht="15" hidden="false" customHeight="false" outlineLevel="0" collapsed="false">
      <c r="A231" s="5"/>
      <c r="B231" s="61"/>
      <c r="C231" s="107"/>
      <c r="D231" s="107"/>
      <c r="E231" s="107"/>
      <c r="F231" s="59" t="s">
        <v>180</v>
      </c>
      <c r="G231" s="93" t="s">
        <v>1964</v>
      </c>
      <c r="O231" s="65" t="s">
        <v>1965</v>
      </c>
    </row>
    <row r="232" customFormat="false" ht="15" hidden="false" customHeight="false" outlineLevel="0" collapsed="false">
      <c r="A232" s="6" t="s">
        <v>1966</v>
      </c>
      <c r="B232" s="62" t="s">
        <v>136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180</v>
      </c>
      <c r="G232" s="93" t="s">
        <v>1967</v>
      </c>
    </row>
    <row r="233" customFormat="false" ht="29.85" hidden="false" customHeight="false" outlineLevel="0" collapsed="false">
      <c r="A233" s="6" t="s">
        <v>1968</v>
      </c>
      <c r="B233" s="62" t="s">
        <v>136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180</v>
      </c>
      <c r="G233" s="93" t="s">
        <v>1969</v>
      </c>
    </row>
    <row r="234" customFormat="false" ht="15" hidden="false" customHeight="false" outlineLevel="0" collapsed="false">
      <c r="A234" s="6" t="s">
        <v>1970</v>
      </c>
      <c r="B234" s="62" t="s">
        <v>136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180</v>
      </c>
      <c r="G234" s="93" t="s">
        <v>1971</v>
      </c>
    </row>
    <row r="235" customFormat="false" ht="15" hidden="false" customHeight="false" outlineLevel="0" collapsed="false">
      <c r="A235" s="10" t="s">
        <v>1972</v>
      </c>
    </row>
    <row r="236" customFormat="false" ht="29.85" hidden="false" customHeight="false" outlineLevel="0" collapsed="false">
      <c r="A236" s="5" t="s">
        <v>1973</v>
      </c>
      <c r="B236" s="62" t="s">
        <v>136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1974</v>
      </c>
      <c r="G236" s="88" t="s">
        <v>1975</v>
      </c>
      <c r="O236" s="65" t="s">
        <v>1976</v>
      </c>
    </row>
    <row r="237" customFormat="false" ht="29.85" hidden="false" customHeight="false" outlineLevel="0" collapsed="false">
      <c r="A237" s="5" t="s">
        <v>1977</v>
      </c>
      <c r="B237" s="62" t="s">
        <v>136</v>
      </c>
      <c r="C237" s="62" t="s">
        <v>1978</v>
      </c>
      <c r="D237" s="62" t="s">
        <v>814</v>
      </c>
      <c r="E237" s="62" t="s">
        <v>814</v>
      </c>
      <c r="F237" s="59" t="s">
        <v>1979</v>
      </c>
      <c r="G237" s="88" t="s">
        <v>1980</v>
      </c>
    </row>
    <row r="238" customFormat="false" ht="29.85" hidden="false" customHeight="false" outlineLevel="0" collapsed="false">
      <c r="A238" s="5" t="s">
        <v>1981</v>
      </c>
      <c r="B238" s="62" t="s">
        <v>136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180</v>
      </c>
      <c r="G238" s="93" t="s">
        <v>1982</v>
      </c>
      <c r="O238" s="65" t="s">
        <v>1983</v>
      </c>
    </row>
    <row r="239" customFormat="false" ht="15" hidden="false" customHeight="false" outlineLevel="0" collapsed="false">
      <c r="A239" s="10" t="s">
        <v>1984</v>
      </c>
    </row>
    <row r="240" customFormat="false" ht="41" hidden="false" customHeight="false" outlineLevel="0" collapsed="false">
      <c r="A240" s="5" t="s">
        <v>1985</v>
      </c>
      <c r="B240" s="62" t="s">
        <v>136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3.80253905516642</v>
      </c>
      <c r="F240" s="59" t="s">
        <v>180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  <c r="O240" s="65" t="s">
        <v>1986</v>
      </c>
    </row>
    <row r="241" customFormat="false" ht="29.85" hidden="false" customHeight="false" outlineLevel="0" collapsed="false">
      <c r="A241" s="5" t="s">
        <v>1987</v>
      </c>
      <c r="B241" s="62" t="s">
        <v>136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59" t="s">
        <v>180</v>
      </c>
      <c r="G241" s="88" t="s">
        <v>1988</v>
      </c>
      <c r="O241" s="65" t="s">
        <v>1989</v>
      </c>
    </row>
    <row r="242" customFormat="false" ht="15" hidden="false" customHeight="false" outlineLevel="0" collapsed="false">
      <c r="A242" s="5" t="s">
        <v>1990</v>
      </c>
      <c r="B242" s="62" t="s">
        <v>136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180</v>
      </c>
      <c r="G242" s="93" t="s">
        <v>1991</v>
      </c>
      <c r="O242" s="65" t="s">
        <v>1992</v>
      </c>
    </row>
    <row r="243" customFormat="false" ht="15" hidden="false" customHeight="false" outlineLevel="0" collapsed="false">
      <c r="A243" s="5" t="s">
        <v>1993</v>
      </c>
      <c r="B243" s="62" t="s">
        <v>136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180</v>
      </c>
      <c r="G243" s="93" t="s">
        <v>1994</v>
      </c>
      <c r="O243" s="65" t="s">
        <v>1995</v>
      </c>
    </row>
    <row r="244" customFormat="false" ht="15" hidden="false" customHeight="false" outlineLevel="0" collapsed="false">
      <c r="A244" s="10" t="s">
        <v>1996</v>
      </c>
    </row>
    <row r="245" customFormat="false" ht="15" hidden="false" customHeight="false" outlineLevel="0" collapsed="false">
      <c r="A245" s="5"/>
      <c r="B245" s="61"/>
      <c r="C245" s="107"/>
      <c r="D245" s="107"/>
      <c r="E245" s="107"/>
      <c r="F245" s="59" t="s">
        <v>1997</v>
      </c>
      <c r="G245" s="93" t="s">
        <v>1998</v>
      </c>
      <c r="O245" s="65" t="s">
        <v>1999</v>
      </c>
    </row>
    <row r="246" customFormat="false" ht="29.85" hidden="false" customHeight="false" outlineLevel="0" collapsed="false">
      <c r="A246" s="5" t="s">
        <v>2000</v>
      </c>
      <c r="B246" s="62" t="s">
        <v>136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2001</v>
      </c>
      <c r="G246" s="93" t="s">
        <v>2002</v>
      </c>
      <c r="O246" s="65" t="s">
        <v>2003</v>
      </c>
    </row>
    <row r="247" customFormat="false" ht="15" hidden="false" customHeight="false" outlineLevel="0" collapsed="false">
      <c r="A247" s="10" t="s">
        <v>2004</v>
      </c>
    </row>
    <row r="248" customFormat="false" ht="44" hidden="false" customHeight="false" outlineLevel="0" collapsed="false">
      <c r="A248" s="6" t="s">
        <v>2005</v>
      </c>
      <c r="B248" s="62" t="s">
        <v>337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2006</v>
      </c>
      <c r="G248" s="93" t="s">
        <v>2007</v>
      </c>
    </row>
    <row r="249" customFormat="false" ht="15" hidden="false" customHeight="false" outlineLevel="0" collapsed="false">
      <c r="A249" s="6" t="s">
        <v>2008</v>
      </c>
      <c r="B249" s="62" t="s">
        <v>121</v>
      </c>
      <c r="C249" s="74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4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4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180</v>
      </c>
      <c r="G249" s="93" t="s">
        <v>2009</v>
      </c>
    </row>
    <row r="250" customFormat="false" ht="29.85" hidden="false" customHeight="false" outlineLevel="0" collapsed="false">
      <c r="A250" s="6" t="s">
        <v>2010</v>
      </c>
      <c r="B250" s="62" t="s">
        <v>121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180</v>
      </c>
      <c r="G250" s="88" t="s">
        <v>2011</v>
      </c>
    </row>
    <row r="251" customFormat="false" ht="26.85" hidden="false" customHeight="false" outlineLevel="0" collapsed="false">
      <c r="A251" s="5" t="s">
        <v>2012</v>
      </c>
      <c r="B251" s="62" t="s">
        <v>136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59" t="s">
        <v>180</v>
      </c>
      <c r="G251" s="93" t="s">
        <v>2013</v>
      </c>
    </row>
    <row r="252" customFormat="false" ht="29.85" hidden="false" customHeight="false" outlineLevel="0" collapsed="false">
      <c r="A252" s="5" t="s">
        <v>2014</v>
      </c>
      <c r="B252" s="62" t="s">
        <v>136</v>
      </c>
      <c r="C252" s="107" t="n">
        <f aca="false">IF(AND(ISNUMBER(C249),ISNUMBER(AL_ServeGW)),ABS(C249/AL_ServeGW-1),AL_UnavailTxt)</f>
        <v>0</v>
      </c>
      <c r="D252" s="62" t="s">
        <v>814</v>
      </c>
      <c r="E252" s="62" t="s">
        <v>814</v>
      </c>
      <c r="F252" s="59" t="s">
        <v>180</v>
      </c>
      <c r="G252" s="93" t="s">
        <v>2015</v>
      </c>
      <c r="O252" s="65" t="s">
        <v>2016</v>
      </c>
    </row>
    <row r="253" customFormat="false" ht="29.85" hidden="false" customHeight="false" outlineLevel="0" collapsed="false">
      <c r="A253" s="6" t="s">
        <v>2017</v>
      </c>
      <c r="B253" s="62" t="s">
        <v>136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59" t="s">
        <v>180</v>
      </c>
      <c r="G253" s="88" t="s">
        <v>2018</v>
      </c>
    </row>
    <row r="254" customFormat="false" ht="15" hidden="false" customHeight="false" outlineLevel="0" collapsed="false">
      <c r="A254" s="10" t="s">
        <v>2019</v>
      </c>
    </row>
    <row r="255" customFormat="false" ht="52.2" hidden="false" customHeight="false" outlineLevel="0" collapsed="false">
      <c r="A255" s="5" t="s">
        <v>2020</v>
      </c>
      <c r="B255" s="62" t="s">
        <v>136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814</v>
      </c>
      <c r="E255" s="62" t="s">
        <v>814</v>
      </c>
      <c r="F255" s="59" t="s">
        <v>180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2021</v>
      </c>
    </row>
    <row r="256" customFormat="false" ht="29.85" hidden="false" customHeight="false" outlineLevel="0" collapsed="false">
      <c r="A256" s="5" t="s">
        <v>2022</v>
      </c>
      <c r="B256" s="62" t="s">
        <v>136</v>
      </c>
      <c r="C256" s="107" t="n">
        <f aca="false">IF(AND(ISNUMBER(C255),ISNUMBER(C174)),C255-1/C174,AL_UnavailTxt)</f>
        <v>0</v>
      </c>
      <c r="D256" s="62" t="s">
        <v>814</v>
      </c>
      <c r="E256" s="62" t="s">
        <v>814</v>
      </c>
      <c r="F256" s="59" t="s">
        <v>180</v>
      </c>
      <c r="G256" s="88" t="s">
        <v>2023</v>
      </c>
    </row>
    <row r="257" customFormat="false" ht="15" hidden="false" customHeight="false" outlineLevel="0" collapsed="false">
      <c r="A257" s="10" t="s">
        <v>2024</v>
      </c>
    </row>
    <row r="258" customFormat="false" ht="29.85" hidden="false" customHeight="false" outlineLevel="0" collapsed="false">
      <c r="A258" s="6" t="s">
        <v>2025</v>
      </c>
      <c r="B258" s="62" t="s">
        <v>1045</v>
      </c>
      <c r="C258" s="151" t="n">
        <v>2.722</v>
      </c>
      <c r="D258" s="68" t="n">
        <v>7</v>
      </c>
      <c r="E258" s="62" t="s">
        <v>814</v>
      </c>
      <c r="F258" s="59" t="s">
        <v>2026</v>
      </c>
      <c r="G258" s="93" t="s">
        <v>2027</v>
      </c>
    </row>
    <row r="259" customFormat="false" ht="29.85" hidden="false" customHeight="false" outlineLevel="0" collapsed="false">
      <c r="A259" s="6" t="s">
        <v>2028</v>
      </c>
      <c r="B259" s="62" t="s">
        <v>1045</v>
      </c>
      <c r="C259" s="151" t="n">
        <v>1.672</v>
      </c>
      <c r="D259" s="68" t="n">
        <v>4</v>
      </c>
      <c r="E259" s="62" t="s">
        <v>814</v>
      </c>
      <c r="F259" s="59" t="s">
        <v>2026</v>
      </c>
      <c r="G259" s="93" t="s">
        <v>2029</v>
      </c>
    </row>
    <row r="260" customFormat="false" ht="29.85" hidden="false" customHeight="false" outlineLevel="0" collapsed="false">
      <c r="A260" s="6" t="s">
        <v>2030</v>
      </c>
      <c r="B260" s="62" t="s">
        <v>1045</v>
      </c>
      <c r="C260" s="151" t="n">
        <v>2.341</v>
      </c>
      <c r="D260" s="68" t="n">
        <v>1</v>
      </c>
      <c r="E260" s="62" t="s">
        <v>814</v>
      </c>
      <c r="F260" s="59" t="s">
        <v>2026</v>
      </c>
      <c r="G260" s="93" t="s">
        <v>2031</v>
      </c>
    </row>
    <row r="261" customFormat="false" ht="26.85" hidden="false" customHeight="false" outlineLevel="0" collapsed="false">
      <c r="A261" s="6" t="s">
        <v>2032</v>
      </c>
      <c r="B261" s="62" t="s">
        <v>1045</v>
      </c>
      <c r="C261" s="126" t="n">
        <f aca="false">IF_PriceRef_Sol/(1-B4_Disc)</f>
        <v>2.00888888888889</v>
      </c>
      <c r="D261" s="62" t="s">
        <v>814</v>
      </c>
      <c r="E261" s="62" t="s">
        <v>814</v>
      </c>
      <c r="F261" s="59" t="s">
        <v>345</v>
      </c>
      <c r="G261" s="88" t="s">
        <v>2033</v>
      </c>
    </row>
    <row r="262" customFormat="false" ht="15" hidden="false" customHeight="false" outlineLevel="0" collapsed="false">
      <c r="A262" s="6" t="s">
        <v>2034</v>
      </c>
      <c r="B262" s="62" t="s">
        <v>1045</v>
      </c>
      <c r="C262" s="126" t="n">
        <f aca="false">(C258*D258+C259*D259+C260*D260)/(D258+D259+D260)</f>
        <v>2.34025</v>
      </c>
      <c r="D262" s="62" t="s">
        <v>814</v>
      </c>
      <c r="E262" s="62" t="s">
        <v>814</v>
      </c>
      <c r="F262" s="59" t="s">
        <v>180</v>
      </c>
      <c r="G262" s="88" t="s">
        <v>2035</v>
      </c>
    </row>
    <row r="263" customFormat="false" ht="44" hidden="false" customHeight="false" outlineLevel="0" collapsed="false">
      <c r="A263" s="5" t="s">
        <v>2036</v>
      </c>
      <c r="B263" s="62" t="s">
        <v>136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180</v>
      </c>
      <c r="G263" s="93" t="s">
        <v>2037</v>
      </c>
    </row>
    <row r="264" customFormat="false" ht="15" hidden="false" customHeight="false" outlineLevel="0" collapsed="false">
      <c r="A264" s="65" t="s">
        <v>2038</v>
      </c>
    </row>
    <row r="266" customFormat="false" ht="15" hidden="false" customHeight="false" outlineLevel="0" collapsed="false">
      <c r="A266" s="10" t="s">
        <v>2039</v>
      </c>
    </row>
    <row r="267" customFormat="false" ht="29.85" hidden="false" customHeight="false" outlineLevel="0" collapsed="false">
      <c r="A267" s="5" t="s">
        <v>2040</v>
      </c>
      <c r="B267" s="62" t="s">
        <v>1045</v>
      </c>
      <c r="C267" s="152" t="n">
        <f aca="false">AL_PriceFleet25</f>
        <v>1.68024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2041</v>
      </c>
    </row>
    <row r="268" customFormat="false" ht="44" hidden="false" customHeight="false" outlineLevel="0" collapsed="false">
      <c r="A268" s="5" t="s">
        <v>2042</v>
      </c>
      <c r="B268" s="62" t="s">
        <v>1045</v>
      </c>
      <c r="C268" s="74" t="n">
        <f aca="false">$C$281</f>
        <v>1.68024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2043</v>
      </c>
    </row>
    <row r="269" customFormat="false" ht="15" hidden="false" customHeight="false" outlineLevel="0" collapsed="false">
      <c r="A269" s="5" t="s">
        <v>2044</v>
      </c>
      <c r="B269" s="62" t="s">
        <v>136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2045</v>
      </c>
    </row>
    <row r="271" customFormat="false" ht="15" hidden="false" customHeight="false" outlineLevel="0" collapsed="false">
      <c r="A271" s="10" t="s">
        <v>2046</v>
      </c>
    </row>
    <row r="272" customFormat="false" ht="29.85" hidden="false" customHeight="false" outlineLevel="0" collapsed="false">
      <c r="A272" s="5" t="s">
        <v>2047</v>
      </c>
      <c r="B272" s="61" t="s">
        <v>167</v>
      </c>
      <c r="C272" s="153" t="n">
        <v>1.88</v>
      </c>
      <c r="D272" s="80" t="n">
        <v>1.88</v>
      </c>
      <c r="E272" s="80" t="n">
        <v>2.17</v>
      </c>
      <c r="F272" s="62" t="s">
        <v>2048</v>
      </c>
      <c r="G272" s="65" t="s">
        <v>2049</v>
      </c>
    </row>
    <row r="273" customFormat="false" ht="29.85" hidden="false" customHeight="false" outlineLevel="0" collapsed="false">
      <c r="A273" s="5" t="s">
        <v>2050</v>
      </c>
      <c r="B273" s="61" t="s">
        <v>167</v>
      </c>
      <c r="C273" s="153" t="n">
        <v>0.41</v>
      </c>
      <c r="D273" s="80" t="n">
        <v>0.41</v>
      </c>
      <c r="E273" s="80" t="n">
        <v>0.54</v>
      </c>
      <c r="F273" s="62" t="s">
        <v>2048</v>
      </c>
      <c r="G273" s="65" t="s">
        <v>2051</v>
      </c>
    </row>
    <row r="274" customFormat="false" ht="29.85" hidden="false" customHeight="false" outlineLevel="0" collapsed="false">
      <c r="A274" s="5" t="s">
        <v>2052</v>
      </c>
      <c r="B274" s="61" t="s">
        <v>167</v>
      </c>
      <c r="C274" s="153" t="n">
        <v>1.18</v>
      </c>
      <c r="D274" s="80" t="n">
        <v>1.11</v>
      </c>
      <c r="E274" s="80" t="n">
        <v>1.24</v>
      </c>
      <c r="F274" s="62" t="s">
        <v>2048</v>
      </c>
      <c r="G274" s="65" t="s">
        <v>2053</v>
      </c>
    </row>
    <row r="276" customFormat="false" ht="15" hidden="false" customHeight="false" outlineLevel="0" collapsed="false">
      <c r="A276" s="10" t="s">
        <v>2054</v>
      </c>
    </row>
    <row r="277" customFormat="false" ht="15" hidden="false" customHeight="false" outlineLevel="0" collapsed="false">
      <c r="A277" s="10" t="s">
        <v>2055</v>
      </c>
    </row>
    <row r="278" customFormat="false" ht="29.85" hidden="false" customHeight="false" outlineLevel="0" collapsed="false">
      <c r="A278" s="6" t="s">
        <v>2056</v>
      </c>
      <c r="B278" s="62" t="s">
        <v>1045</v>
      </c>
      <c r="C278" s="154" t="n">
        <v>0.1035</v>
      </c>
      <c r="D278" s="155" t="n">
        <v>0.0669</v>
      </c>
      <c r="E278" s="155" t="n">
        <v>0.3026</v>
      </c>
      <c r="F278" s="62" t="s">
        <v>180</v>
      </c>
      <c r="G278" s="59" t="s">
        <v>2057</v>
      </c>
    </row>
    <row r="279" customFormat="false" ht="29.85" hidden="false" customHeight="false" outlineLevel="0" collapsed="false">
      <c r="A279" s="6" t="s">
        <v>2058</v>
      </c>
      <c r="B279" s="62" t="s">
        <v>1045</v>
      </c>
      <c r="C279" s="154" t="n">
        <v>2.184</v>
      </c>
      <c r="D279" s="155" t="n">
        <v>1.672</v>
      </c>
      <c r="E279" s="155" t="n">
        <v>2.338</v>
      </c>
      <c r="F279" s="62" t="s">
        <v>180</v>
      </c>
      <c r="G279" s="59" t="s">
        <v>2059</v>
      </c>
    </row>
    <row r="280" customFormat="false" ht="29.85" hidden="false" customHeight="false" outlineLevel="0" collapsed="false">
      <c r="A280" s="6" t="s">
        <v>2060</v>
      </c>
      <c r="B280" s="62" t="s">
        <v>1045</v>
      </c>
      <c r="C280" s="154" t="n">
        <v>7.174</v>
      </c>
      <c r="D280" s="155" t="n">
        <v>2.089</v>
      </c>
      <c r="E280" s="155" t="n">
        <v>16.33</v>
      </c>
      <c r="F280" s="62" t="s">
        <v>180</v>
      </c>
      <c r="G280" s="65" t="s">
        <v>2061</v>
      </c>
    </row>
    <row r="281" customFormat="false" ht="44" hidden="false" customHeight="false" outlineLevel="0" collapsed="false">
      <c r="A281" s="6" t="s">
        <v>2062</v>
      </c>
      <c r="B281" s="62" t="s">
        <v>1045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4" t="n">
        <f aca="false">(INDEX(B4_MixPaid,1,1)*CAP_Px25_Luna_Lo*(1-B4_Disc)+INDEX(B4_MixPaid,1,2)*CAP_Px25_Sol_Lo*(1-B4_Disc)+INDEX(B4_MixPaid,1,3)*CAP_Px25_Astra_Lo*(1-B4_Disc))*AL_Kappa</f>
        <v>0.874008</v>
      </c>
      <c r="E281" s="74" t="n">
        <f aca="false">(INDEX(B4_MixPaid,1,1)*CAP_Px25_Luna_Hi*(1-B4_Disc)+INDEX(B4_MixPaid,1,2)*CAP_Px25_Sol_Hi*(1-B4_Disc)+INDEX(B4_MixPaid,1,3)*CAP_Px25_Astra_Hi*(1-B4_Disc))*AL_Kappa</f>
        <v>2.898112</v>
      </c>
      <c r="F281" s="62" t="s">
        <v>180</v>
      </c>
      <c r="G281" s="65" t="s">
        <v>2063</v>
      </c>
    </row>
    <row r="282" customFormat="false" ht="15" hidden="false" customHeight="false" outlineLevel="0" collapsed="false">
      <c r="A282" s="5"/>
      <c r="B282" s="61"/>
      <c r="C282" s="107"/>
      <c r="D282" s="107"/>
      <c r="E282" s="107"/>
      <c r="F282" s="62" t="s">
        <v>180</v>
      </c>
      <c r="G282" s="65" t="s">
        <v>2064</v>
      </c>
      <c r="O282" s="65" t="s">
        <v>2065</v>
      </c>
    </row>
    <row r="283" customFormat="false" ht="15" hidden="false" customHeight="false" outlineLevel="0" collapsed="false">
      <c r="A283" s="10" t="s">
        <v>2066</v>
      </c>
    </row>
    <row r="284" customFormat="false" ht="44" hidden="false" customHeight="false" outlineLevel="0" collapsed="false">
      <c r="A284" s="6" t="s">
        <v>2067</v>
      </c>
      <c r="B284" s="62" t="s">
        <v>136</v>
      </c>
      <c r="C284" s="152" t="n">
        <f aca="false">IF(ISNUMBER(C116),SRC_DEM_007*1000000000/(C116*AL_PriceFleet),AL_UnavailTxt)</f>
        <v>0.349039941475474</v>
      </c>
      <c r="D284" s="74" t="n">
        <f aca="false">IF(ISNUMBER(D116),SRC_DEM_007*1000000000/(D116*AL_PriceFleet),AL_UnavailTxt)</f>
        <v>0.15756810631012</v>
      </c>
      <c r="E284" s="74" t="n">
        <f aca="false">IF(ISNUMBER(E116),SRC_DEM_007*1000000000/(E116*AL_PriceFleet),AL_UnavailTxt)</f>
        <v>1.01016265415255</v>
      </c>
      <c r="F284" s="62" t="s">
        <v>180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  <c r="O284" s="65" t="s">
        <v>2068</v>
      </c>
    </row>
    <row r="285" customFormat="false" ht="29.85" hidden="false" customHeight="false" outlineLevel="0" collapsed="false">
      <c r="A285" s="6" t="s">
        <v>2069</v>
      </c>
      <c r="B285" s="62" t="s">
        <v>136</v>
      </c>
      <c r="C285" s="74" t="n">
        <f aca="false">IF(ISNUMBER(C116),MAX(SRC_DEM_007*1000000000/(C116*AL_PriceFleet25_Lo),IF(ISNUMBER(C118),SRC_DEM_007*1000000000/(C118*AL_PriceFleet25_Lo),0)),AL_UnavailTxt)</f>
        <v>0.783006655732561</v>
      </c>
      <c r="D285" s="74" t="n">
        <f aca="false">IF(ISNUMBER(D116),MAX(SRC_DEM_007*1000000000/(D116*AL_PriceFleet25_Lo),IF(ISNUMBER(D118),SRC_DEM_007*1000000000/(D118*AL_PriceFleet25_Lo),0)),AL_UnavailTxt)</f>
        <v>0.41409276867464</v>
      </c>
      <c r="E285" s="74" t="n">
        <f aca="false">IF(ISNUMBER(E116),MAX(SRC_DEM_007*1000000000/(E116*AL_PriceFleet25_Lo),IF(ISNUMBER(E118),SRC_DEM_007*1000000000/(E118*AL_PriceFleet25_Lo),0)),AL_UnavailTxt)</f>
        <v>2.26611338012012</v>
      </c>
      <c r="F285" s="62" t="s">
        <v>180</v>
      </c>
      <c r="G285" s="65" t="s">
        <v>2070</v>
      </c>
      <c r="O285" s="65" t="s">
        <v>2071</v>
      </c>
    </row>
    <row r="286" customFormat="false" ht="29.85" hidden="false" customHeight="false" outlineLevel="0" collapsed="false">
      <c r="A286" s="6" t="s">
        <v>2072</v>
      </c>
      <c r="B286" s="62" t="s">
        <v>136</v>
      </c>
      <c r="C286" s="74" t="n">
        <f aca="false">IF(ISNUMBER(C116),MAX(SRC_DEM_007*1000000000/(C116*AL_PriceFleet25_Hi),IF(ISNUMBER(C118),SRC_DEM_007*1000000000/(C118*AL_PriceFleet25_Hi),0)),AL_UnavailTxt)</f>
        <v>0.236137899833928</v>
      </c>
      <c r="D286" s="74" t="n">
        <f aca="false">IF(ISNUMBER(D116),MAX(SRC_DEM_007*1000000000/(D116*AL_PriceFleet25_Hi),IF(ISNUMBER(D118),SRC_DEM_007*1000000000/(D118*AL_PriceFleet25_Hi),0)),AL_UnavailTxt)</f>
        <v>0.124881437488884</v>
      </c>
      <c r="E286" s="74" t="n">
        <f aca="false">IF(ISNUMBER(E116),MAX(SRC_DEM_007*1000000000/(E116*AL_PriceFleet25_Hi),IF(ISNUMBER(E118),SRC_DEM_007*1000000000/(E118*AL_PriceFleet25_Hi),0)),AL_UnavailTxt)</f>
        <v>0.683410863048779</v>
      </c>
      <c r="F286" s="62" t="s">
        <v>180</v>
      </c>
      <c r="G286" s="65" t="s">
        <v>2073</v>
      </c>
      <c r="O286" s="65" t="s">
        <v>2074</v>
      </c>
    </row>
    <row r="287" customFormat="false" ht="15" hidden="false" customHeight="false" outlineLevel="0" collapsed="false">
      <c r="A287" s="10" t="s">
        <v>2075</v>
      </c>
    </row>
    <row r="288" customFormat="false" ht="55.2" hidden="false" customHeight="false" outlineLevel="0" collapsed="false">
      <c r="A288" s="5" t="s">
        <v>2076</v>
      </c>
      <c r="B288" s="62" t="s">
        <v>136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2" t="s">
        <v>180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  <c r="O288" s="65" t="s">
        <v>2077</v>
      </c>
    </row>
    <row r="289" customFormat="false" ht="44" hidden="false" customHeight="false" outlineLevel="0" collapsed="false">
      <c r="A289" s="5" t="s">
        <v>2078</v>
      </c>
      <c r="B289" s="62" t="s">
        <v>136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180</v>
      </c>
      <c r="G289" s="65" t="s">
        <v>2079</v>
      </c>
    </row>
    <row r="290" customFormat="false" ht="15" hidden="false" customHeight="false" outlineLevel="0" collapsed="false">
      <c r="A290" s="10" t="s">
        <v>2080</v>
      </c>
    </row>
    <row r="291" customFormat="false" ht="29.85" hidden="false" customHeight="false" outlineLevel="0" collapsed="false">
      <c r="A291" s="6" t="s">
        <v>2081</v>
      </c>
      <c r="B291" s="62" t="s">
        <v>2082</v>
      </c>
      <c r="C291" s="90" t="n">
        <f aca="false">Training!$N$22</f>
        <v>180</v>
      </c>
      <c r="F291" s="62" t="s">
        <v>2083</v>
      </c>
      <c r="G291" s="65" t="s">
        <v>2084</v>
      </c>
    </row>
    <row r="292" customFormat="false" ht="29.85" hidden="false" customHeight="false" outlineLevel="0" collapsed="false">
      <c r="A292" s="6" t="s">
        <v>2085</v>
      </c>
      <c r="B292" s="62" t="s">
        <v>2082</v>
      </c>
      <c r="C292" s="156" t="n">
        <v>400</v>
      </c>
      <c r="F292" s="62" t="s">
        <v>132</v>
      </c>
      <c r="G292" s="59" t="s">
        <v>2086</v>
      </c>
    </row>
    <row r="293" customFormat="false" ht="29.85" hidden="false" customHeight="false" outlineLevel="0" collapsed="false">
      <c r="A293" s="6" t="s">
        <v>2087</v>
      </c>
      <c r="B293" s="62" t="s">
        <v>2082</v>
      </c>
      <c r="C293" s="156" t="n">
        <v>800</v>
      </c>
      <c r="F293" s="62" t="s">
        <v>132</v>
      </c>
      <c r="G293" s="59" t="s">
        <v>2086</v>
      </c>
    </row>
    <row r="294" customFormat="false" ht="41" hidden="false" customHeight="false" outlineLevel="0" collapsed="false">
      <c r="A294" s="6" t="s">
        <v>2088</v>
      </c>
      <c r="B294" s="62" t="s">
        <v>2089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180</v>
      </c>
      <c r="G294" s="59" t="s">
        <v>2090</v>
      </c>
    </row>
    <row r="295" customFormat="false" ht="41" hidden="false" customHeight="false" outlineLevel="0" collapsed="false">
      <c r="A295" s="6" t="s">
        <v>2091</v>
      </c>
      <c r="B295" s="62" t="s">
        <v>2089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180</v>
      </c>
      <c r="G295" s="59" t="s">
        <v>2092</v>
      </c>
    </row>
    <row r="296" customFormat="false" ht="41" hidden="false" customHeight="false" outlineLevel="0" collapsed="false">
      <c r="A296" s="6" t="s">
        <v>2093</v>
      </c>
      <c r="B296" s="62" t="s">
        <v>2089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180</v>
      </c>
      <c r="G296" s="59" t="s">
        <v>2092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2094</v>
      </c>
    </row>
    <row r="2" customFormat="false" ht="15" hidden="false" customHeight="false" outlineLevel="0" collapsed="false">
      <c r="A2" s="65" t="s">
        <v>2095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2096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1493</v>
      </c>
      <c r="B5" s="84" t="s">
        <v>1495</v>
      </c>
      <c r="C5" s="84" t="s">
        <v>1501</v>
      </c>
      <c r="D5" s="84" t="s">
        <v>2097</v>
      </c>
      <c r="E5" s="84" t="s">
        <v>1433</v>
      </c>
      <c r="F5" s="84" t="s">
        <v>1435</v>
      </c>
      <c r="G5" s="84" t="s">
        <v>2098</v>
      </c>
      <c r="H5" s="84" t="s">
        <v>2099</v>
      </c>
      <c r="I5" s="84" t="s">
        <v>2100</v>
      </c>
      <c r="J5" s="84" t="s">
        <v>2101</v>
      </c>
      <c r="K5" s="84" t="s">
        <v>2102</v>
      </c>
      <c r="L5" s="84" t="s">
        <v>2103</v>
      </c>
      <c r="M5" s="84" t="s">
        <v>2104</v>
      </c>
      <c r="N5" s="84" t="s">
        <v>2105</v>
      </c>
      <c r="O5" s="84" t="s">
        <v>2106</v>
      </c>
      <c r="P5" s="84" t="s">
        <v>2107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2108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2109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2110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2111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2112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2113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2114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2115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2116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2117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2118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2119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2120</v>
      </c>
    </row>
    <row r="19" customFormat="false" ht="15" hidden="false" customHeight="false" outlineLevel="0" collapsed="false">
      <c r="A19" s="65" t="s">
        <v>2121</v>
      </c>
    </row>
    <row r="21" customFormat="false" ht="15" hidden="false" customHeight="false" outlineLevel="0" collapsed="false">
      <c r="A21" s="77" t="s">
        <v>2122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415</v>
      </c>
      <c r="B22" s="60" t="s">
        <v>113</v>
      </c>
      <c r="C22" s="10" t="s">
        <v>306</v>
      </c>
      <c r="D22" s="10" t="s">
        <v>307</v>
      </c>
      <c r="E22" s="10" t="s">
        <v>308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2123</v>
      </c>
    </row>
    <row r="24" customFormat="false" ht="29.85" hidden="false" customHeight="false" outlineLevel="0" collapsed="false">
      <c r="A24" s="6" t="s">
        <v>2124</v>
      </c>
      <c r="B24" s="62" t="s">
        <v>1045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2125</v>
      </c>
    </row>
    <row r="25" customFormat="false" ht="15" hidden="false" customHeight="false" outlineLevel="0" collapsed="false">
      <c r="A25" s="5" t="s">
        <v>2126</v>
      </c>
      <c r="B25" s="62" t="s">
        <v>1045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2127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2128</v>
      </c>
      <c r="B27" s="62" t="s">
        <v>1045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2129</v>
      </c>
    </row>
    <row r="28" customFormat="false" ht="15" hidden="false" customHeight="false" outlineLevel="0" collapsed="false">
      <c r="A28" s="5" t="s">
        <v>2130</v>
      </c>
      <c r="B28" s="62" t="s">
        <v>1045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2131</v>
      </c>
    </row>
    <row r="29" customFormat="false" ht="15" hidden="false" customHeight="false" outlineLevel="0" collapsed="false">
      <c r="A29" s="5" t="s">
        <v>2132</v>
      </c>
      <c r="B29" s="62" t="s">
        <v>1045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2133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2134</v>
      </c>
    </row>
    <row r="31" customFormat="false" ht="29.85" hidden="false" customHeight="false" outlineLevel="0" collapsed="false">
      <c r="A31" s="5" t="s">
        <v>2135</v>
      </c>
      <c r="B31" s="62" t="s">
        <v>1045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2136</v>
      </c>
    </row>
    <row r="32" customFormat="false" ht="15" hidden="false" customHeight="false" outlineLevel="0" collapsed="false">
      <c r="A32" s="5" t="s">
        <v>2137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2138</v>
      </c>
    </row>
    <row r="33" customFormat="false" ht="29.85" hidden="false" customHeight="false" outlineLevel="0" collapsed="false">
      <c r="A33" s="5" t="s">
        <v>2139</v>
      </c>
      <c r="B33" s="62" t="s">
        <v>136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2140</v>
      </c>
    </row>
    <row r="34" customFormat="false" ht="29.85" hidden="false" customHeight="false" outlineLevel="0" collapsed="false">
      <c r="A34" s="5" t="s">
        <v>2141</v>
      </c>
      <c r="B34" s="61" t="s">
        <v>374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2142</v>
      </c>
    </row>
    <row r="36" customFormat="false" ht="15" hidden="false" customHeight="false" outlineLevel="0" collapsed="false">
      <c r="A36" s="77" t="s">
        <v>2143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2144</v>
      </c>
      <c r="B37" s="62" t="s">
        <v>136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2145</v>
      </c>
      <c r="B38" s="62" t="s">
        <v>136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2146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2147</v>
      </c>
      <c r="B41" s="62" t="s">
        <v>1045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2148</v>
      </c>
      <c r="B42" s="62" t="s">
        <v>1045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2149</v>
      </c>
      <c r="B43" s="62" t="s">
        <v>1045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2150</v>
      </c>
      <c r="B44" s="62" t="s">
        <v>1045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2151</v>
      </c>
      <c r="B45" s="62" t="s">
        <v>1045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2152</v>
      </c>
      <c r="B46" s="62" t="s">
        <v>1045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2153</v>
      </c>
    </row>
    <row r="2" customFormat="false" ht="15" hidden="false" customHeight="false" outlineLevel="0" collapsed="false">
      <c r="A2" s="65" t="s">
        <v>2154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1082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2155</v>
      </c>
    </row>
    <row r="6" customFormat="false" ht="15" hidden="false" customHeight="false" outlineLevel="0" collapsed="false">
      <c r="A6" s="60" t="s">
        <v>498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2156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2157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2158</v>
      </c>
      <c r="B10" s="62" t="s">
        <v>2159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2160</v>
      </c>
      <c r="B11" s="62" t="s">
        <v>2159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2161</v>
      </c>
      <c r="B12" s="62" t="s">
        <v>2159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2162</v>
      </c>
      <c r="B13" s="62" t="s">
        <v>2159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306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2163</v>
      </c>
      <c r="B16" s="62" t="s">
        <v>315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2164</v>
      </c>
      <c r="B17" s="62" t="s">
        <v>1045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2165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2166</v>
      </c>
    </row>
    <row r="21" customFormat="false" ht="15" hidden="false" customHeight="false" outlineLevel="0" collapsed="false">
      <c r="A21" s="77" t="s">
        <v>307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2163</v>
      </c>
      <c r="B22" s="62" t="s">
        <v>315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2167</v>
      </c>
      <c r="B23" s="62" t="s">
        <v>1045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2168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2169</v>
      </c>
    </row>
    <row r="27" customFormat="false" ht="15" hidden="false" customHeight="false" outlineLevel="0" collapsed="false">
      <c r="A27" s="77" t="s">
        <v>308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2163</v>
      </c>
      <c r="B28" s="62" t="s">
        <v>315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2170</v>
      </c>
      <c r="B29" s="62" t="s">
        <v>1045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2171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2173</v>
      </c>
    </row>
    <row r="2" customFormat="false" ht="15" hidden="false" customHeight="false" outlineLevel="0" collapsed="false">
      <c r="A2" s="65" t="s">
        <v>2174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2175</v>
      </c>
    </row>
    <row r="7" customFormat="false" ht="15" hidden="false" customHeight="false" outlineLevel="0" collapsed="false">
      <c r="A7" s="60" t="s">
        <v>2156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2176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72.35" hidden="false" customHeight="false" outlineLevel="0" collapsed="false">
      <c r="A10" s="5" t="s">
        <v>2177</v>
      </c>
      <c r="B10" s="62" t="s">
        <v>121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65" t="s">
        <v>1057</v>
      </c>
    </row>
    <row r="11" customFormat="false" ht="15" hidden="false" customHeight="false" outlineLevel="0" collapsed="false">
      <c r="A11" s="5" t="s">
        <v>2178</v>
      </c>
      <c r="B11" s="62" t="s">
        <v>121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72.35" hidden="false" customHeight="false" outlineLevel="0" collapsed="false">
      <c r="A12" s="5" t="s">
        <v>2179</v>
      </c>
      <c r="B12" s="62" t="s">
        <v>121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72.35" hidden="false" customHeight="false" outlineLevel="0" collapsed="false">
      <c r="A13" s="5" t="s">
        <v>2180</v>
      </c>
      <c r="B13" s="62" t="s">
        <v>121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2181</v>
      </c>
      <c r="B14" s="62" t="s">
        <v>121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65" t="s">
        <v>2182</v>
      </c>
    </row>
    <row r="15" customFormat="false" ht="15" hidden="false" customHeight="false" outlineLevel="0" collapsed="false">
      <c r="A15" s="5" t="s">
        <v>2183</v>
      </c>
      <c r="B15" s="62" t="s">
        <v>121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65" t="s">
        <v>2184</v>
      </c>
    </row>
    <row r="17" customFormat="false" ht="15" hidden="false" customHeight="false" outlineLevel="0" collapsed="false">
      <c r="A17" s="77" t="s">
        <v>2185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2186</v>
      </c>
      <c r="B18" s="61" t="s">
        <v>2187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2188</v>
      </c>
      <c r="B19" s="62" t="s">
        <v>998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14876177679.3826</v>
      </c>
      <c r="G19" s="69" t="n">
        <f aca="false">IF(G18=1,G11*IF_Util/(IF(G38=1,G44/INDEX(IF_TokGW_Luna,1,G$7),0)+IF(G39=1,G45/INDEX(IF_TokGW_Sol,1,G$7),0)+IF(G40=1,G46/INDEX(IF_TokGW_Astra,1,G$7),0)),"SLO 不可達")</f>
        <v>14876177679.3826</v>
      </c>
      <c r="H19" s="69" t="n">
        <f aca="false">IF(H18=1,H11*IF_Util/(IF(H38=1,H44/INDEX(IF_TokGW_Luna,1,H$7),0)+IF(H39=1,H45/INDEX(IF_TokGW_Sol,1,H$7),0)+IF(H40=1,H46/INDEX(IF_TokGW_Astra,1,H$7),0)),"SLO 不可達")</f>
        <v>14876177679.3826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2189</v>
      </c>
      <c r="B20" s="62" t="s">
        <v>998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45309212326.7925</v>
      </c>
      <c r="G20" s="69" t="n">
        <f aca="false">IF(G18=1,G12*IF_Util/(IF(G38=1,G47/INDEX(IF_TokGW_Luna,1,G$7),0)+IF(G39=1,G48/INDEX(IF_TokGW_Sol,1,G$7),0)+IF(G40=1,G49/INDEX(IF_TokGW_Astra,1,G$7),0)),"SLO 不可達")</f>
        <v>45309212326.7925</v>
      </c>
      <c r="H20" s="69" t="n">
        <f aca="false">IF(H18=1,H12*IF_Util/(IF(H38=1,H47/INDEX(IF_TokGW_Luna,1,H$7),0)+IF(H39=1,H48/INDEX(IF_TokGW_Sol,1,H$7),0)+IF(H40=1,H49/INDEX(IF_TokGW_Astra,1,H$7),0)),"SLO 不可達")</f>
        <v>45309212326.7925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2190</v>
      </c>
      <c r="B21" s="62" t="s">
        <v>998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5950471071.75304</v>
      </c>
      <c r="G21" s="69" t="n">
        <f aca="false">IF(AND(G18=1,G38=1),G19*G44,"SLO 不可達")</f>
        <v>5950471071.75304</v>
      </c>
      <c r="H21" s="69" t="n">
        <f aca="false">IF(AND(H18=1,H38=1),H19*H44,"SLO 不可達")</f>
        <v>5950471071.75304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2191</v>
      </c>
      <c r="B22" s="62" t="s">
        <v>998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40778291094.1132</v>
      </c>
      <c r="G22" s="69" t="n">
        <f aca="false">IF(AND(G18=1,G38=1),G20*G47,"SLO 不可達")</f>
        <v>40778291094.1132</v>
      </c>
      <c r="H22" s="69" t="n">
        <f aca="false">IF(AND(H18=1,H38=1),H20*H47,"SLO 不可達")</f>
        <v>40778291094.1132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2192</v>
      </c>
      <c r="B23" s="62" t="s">
        <v>121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65" t="s">
        <v>2193</v>
      </c>
    </row>
    <row r="24" customFormat="false" ht="15" hidden="false" customHeight="false" outlineLevel="0" collapsed="false">
      <c r="A24" s="6" t="s">
        <v>2194</v>
      </c>
      <c r="B24" s="62" t="s">
        <v>998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6694279955.72217</v>
      </c>
      <c r="G24" s="69" t="n">
        <f aca="false">IF(AND(G18=1,G39=1),G19*G45,"SLO 不可達")</f>
        <v>6694279955.72217</v>
      </c>
      <c r="H24" s="69" t="n">
        <f aca="false">IF(AND(H18=1,H39=1),H19*H45,"SLO 不可達")</f>
        <v>6694279955.72217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2195</v>
      </c>
      <c r="B25" s="62" t="s">
        <v>998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4530921232.67925</v>
      </c>
      <c r="G25" s="69" t="n">
        <f aca="false">IF(AND(G18=1,G39=1),G20*G48,"SLO 不可達")</f>
        <v>4530921232.67925</v>
      </c>
      <c r="H25" s="69" t="n">
        <f aca="false">IF(AND(H18=1,H39=1),H20*H48,"SLO 不可達")</f>
        <v>4530921232.67925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2196</v>
      </c>
      <c r="B26" s="62" t="s">
        <v>121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65" t="s">
        <v>2197</v>
      </c>
    </row>
    <row r="27" customFormat="false" ht="15" hidden="false" customHeight="false" outlineLevel="0" collapsed="false">
      <c r="A27" s="6" t="s">
        <v>2198</v>
      </c>
      <c r="B27" s="62" t="s">
        <v>998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2231426651.90739</v>
      </c>
      <c r="G27" s="69" t="n">
        <f aca="false">IF(AND(G18=1,G40=1),G19*G46,"SLO 不可達")</f>
        <v>2231426651.90739</v>
      </c>
      <c r="H27" s="69" t="n">
        <f aca="false">IF(AND(H18=1,H40=1),H19*H46,"SLO 不可達")</f>
        <v>2231426651.90739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2199</v>
      </c>
      <c r="B28" s="62" t="s">
        <v>998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2200</v>
      </c>
      <c r="B29" s="62" t="s">
        <v>121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65" t="s">
        <v>2201</v>
      </c>
    </row>
    <row r="30" customFormat="false" ht="15" hidden="false" customHeight="false" outlineLevel="0" collapsed="false">
      <c r="A30" s="5" t="s">
        <v>2202</v>
      </c>
      <c r="B30" s="62" t="s">
        <v>121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2203</v>
      </c>
    </row>
    <row r="32" customFormat="false" ht="15" hidden="false" customHeight="false" outlineLevel="0" collapsed="false">
      <c r="A32" s="77" t="s">
        <v>2204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86.55" hidden="false" customHeight="false" outlineLevel="0" collapsed="false">
      <c r="A33" s="5" t="s">
        <v>2205</v>
      </c>
      <c r="B33" s="62" t="s">
        <v>131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2206</v>
      </c>
    </row>
    <row r="34" customFormat="false" ht="86.55" hidden="false" customHeight="false" outlineLevel="0" collapsed="false">
      <c r="A34" s="5" t="s">
        <v>2207</v>
      </c>
      <c r="B34" s="61" t="s">
        <v>374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1074</v>
      </c>
    </row>
    <row r="35" customFormat="false" ht="15" hidden="false" customHeight="false" outlineLevel="0" collapsed="false">
      <c r="A35" s="65" t="s">
        <v>2208</v>
      </c>
    </row>
    <row r="37" customFormat="false" ht="15" hidden="false" customHeight="false" outlineLevel="0" collapsed="false">
      <c r="A37" s="77" t="s">
        <v>2209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2210</v>
      </c>
      <c r="B38" s="61" t="s">
        <v>2187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2211</v>
      </c>
      <c r="B39" s="61" t="s">
        <v>2187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2212</v>
      </c>
      <c r="B40" s="61" t="s">
        <v>2187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2213</v>
      </c>
      <c r="B41" s="62" t="s">
        <v>131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2214</v>
      </c>
      <c r="B42" s="62" t="s">
        <v>131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2215</v>
      </c>
      <c r="B43" s="61" t="s">
        <v>1797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2216</v>
      </c>
    </row>
    <row r="44" customFormat="false" ht="15" hidden="false" customHeight="false" outlineLevel="0" collapsed="false">
      <c r="A44" s="6" t="s">
        <v>2217</v>
      </c>
      <c r="B44" s="62" t="s">
        <v>131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2218</v>
      </c>
      <c r="B45" s="62" t="s">
        <v>131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2219</v>
      </c>
      <c r="B46" s="62" t="s">
        <v>131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2220</v>
      </c>
      <c r="B47" s="62" t="s">
        <v>131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2221</v>
      </c>
      <c r="B48" s="62" t="s">
        <v>131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2222</v>
      </c>
      <c r="B49" s="62" t="s">
        <v>131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2223</v>
      </c>
    </row>
    <row r="2" customFormat="false" ht="15" hidden="false" customHeight="false" outlineLevel="0" collapsed="false">
      <c r="A2" s="65" t="s">
        <v>2224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2175</v>
      </c>
    </row>
    <row r="7" customFormat="false" ht="15" hidden="false" customHeight="false" outlineLevel="0" collapsed="false">
      <c r="A7" s="60" t="s">
        <v>2156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2225</v>
      </c>
      <c r="B10" s="62" t="s">
        <v>1092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2226</v>
      </c>
      <c r="B11" s="62" t="s">
        <v>998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2227</v>
      </c>
      <c r="B12" s="62" t="s">
        <v>2228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2229</v>
      </c>
      <c r="B13" s="62" t="s">
        <v>1045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0.00307089725293388</v>
      </c>
      <c r="G13" s="159" t="n">
        <f aca="false">IF(AND(ISNUMBER(G12),ISNUMBER(G10)),IF(G12&gt;0,G10*1000000/G12,0),"SLO 不可達")</f>
        <v>0.00410029381525669</v>
      </c>
      <c r="H13" s="159" t="n">
        <f aca="false">IF(AND(ISNUMBER(H12),ISNUMBER(H10)),IF(H12&gt;0,H10*1000000/H12,0),"SLO 不可達")</f>
        <v>0.0066503469504659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2230</v>
      </c>
      <c r="B14" s="62" t="s">
        <v>1045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2231</v>
      </c>
      <c r="B15" s="62" t="s">
        <v>1045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2232</v>
      </c>
      <c r="B16" s="62" t="s">
        <v>136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2233</v>
      </c>
    </row>
    <row r="18" customFormat="false" ht="15" hidden="false" customHeight="false" outlineLevel="0" collapsed="false">
      <c r="A18" s="77" t="s">
        <v>307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15" hidden="false" customHeight="false" outlineLevel="0" collapsed="false">
      <c r="A19" s="5" t="s">
        <v>2225</v>
      </c>
      <c r="B19" s="62" t="s">
        <v>1092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2226</v>
      </c>
      <c r="B20" s="62" t="s">
        <v>998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2227</v>
      </c>
      <c r="B21" s="62" t="s">
        <v>2228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2234</v>
      </c>
      <c r="B22" s="62" t="s">
        <v>1045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0.00876653267880038</v>
      </c>
      <c r="G22" s="159" t="n">
        <f aca="false">IF(AND(ISNUMBER(G21),ISNUMBER(G19)),IF(G21&gt;0,G19*1000000/G21,0),"SLO 不可達")</f>
        <v>0.0117051652215942</v>
      </c>
      <c r="H22" s="159" t="n">
        <f aca="false">IF(AND(ISNUMBER(H21),ISNUMBER(H19)),IF(H21&gt;0,H19*1000000/H21,0),"SLO 不可達")</f>
        <v>0.0189848370247231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2230</v>
      </c>
      <c r="B23" s="62" t="s">
        <v>1045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2235</v>
      </c>
      <c r="B24" s="62" t="s">
        <v>1045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2232</v>
      </c>
      <c r="B25" s="62" t="s">
        <v>136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2236</v>
      </c>
    </row>
    <row r="26" customFormat="false" ht="29.85" hidden="false" customHeight="false" outlineLevel="0" collapsed="false">
      <c r="A26" s="5" t="s">
        <v>2237</v>
      </c>
      <c r="B26" s="62" t="s">
        <v>131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0.00574193599420728</v>
      </c>
      <c r="G26" s="162" t="n">
        <f aca="false">IF(ISNUMBER(G22),G22/(INDEX(B4_EffRef,1,2)-INDEX(B4_EffRef,1,1)),"SLO 不可達")</f>
        <v>0.0076666924046888</v>
      </c>
      <c r="H26" s="162" t="n">
        <f aca="false">IF(ISNUMBER(H22),H22/(INDEX(B4_EffRef,1,2)-INDEX(B4_EffRef,1,1)),"SLO 不可達")</f>
        <v>0.0124347587638644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2238</v>
      </c>
    </row>
    <row r="28" customFormat="false" ht="15" hidden="false" customHeight="false" outlineLevel="0" collapsed="false">
      <c r="A28" s="77" t="s">
        <v>308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15" hidden="false" customHeight="false" outlineLevel="0" collapsed="false">
      <c r="A29" s="5" t="s">
        <v>2225</v>
      </c>
      <c r="B29" s="62" t="s">
        <v>1092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2226</v>
      </c>
      <c r="B30" s="62" t="s">
        <v>998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2227</v>
      </c>
      <c r="B31" s="62" t="s">
        <v>2228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2239</v>
      </c>
      <c r="B32" s="62" t="s">
        <v>1045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0.228452001604401</v>
      </c>
      <c r="G32" s="159" t="n">
        <f aca="false">IF(AND(ISNUMBER(G31),ISNUMBER(G29)),IF(G31&gt;0,G29*1000000/G31,0),"SLO 不可達")</f>
        <v>0.305031478460118</v>
      </c>
      <c r="H32" s="159" t="n">
        <f aca="false">IF(AND(ISNUMBER(H31),ISNUMBER(H29)),IF(H31&gt;0,H29*1000000/H31,0),"SLO 不可達")</f>
        <v>0.49473653693433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2230</v>
      </c>
      <c r="B33" s="62" t="s">
        <v>1045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2240</v>
      </c>
      <c r="B34" s="62" t="s">
        <v>1045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2232</v>
      </c>
      <c r="B35" s="62" t="s">
        <v>136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2241</v>
      </c>
    </row>
    <row r="36" customFormat="false" ht="29.85" hidden="false" customHeight="false" outlineLevel="0" collapsed="false">
      <c r="A36" s="5" t="s">
        <v>2237</v>
      </c>
      <c r="B36" s="62" t="s">
        <v>131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0.0355376800062155</v>
      </c>
      <c r="G36" s="162" t="n">
        <f aca="false">IF(ISNUMBER(G32),G32/(INDEX(B4_EffRef,1,3)-INDEX(B4_EffRef,1,2)),"SLO 不可達")</f>
        <v>0.0474502783832456</v>
      </c>
      <c r="H36" s="162" t="n">
        <f aca="false">IF(ISNUMBER(H32),H32/(INDEX(B4_EffRef,1,3)-INDEX(B4_EffRef,1,2)),"SLO 不可達")</f>
        <v>0.0769605370645909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2242</v>
      </c>
    </row>
    <row r="38" customFormat="false" ht="15" hidden="false" customHeight="false" outlineLevel="0" collapsed="false">
      <c r="A38" s="77" t="s">
        <v>2243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2244</v>
      </c>
      <c r="B39" s="62" t="s">
        <v>2245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2246</v>
      </c>
      <c r="B40" s="62" t="s">
        <v>2245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86.55" hidden="false" customHeight="false" outlineLevel="0" collapsed="false">
      <c r="A41" s="5" t="s">
        <v>2247</v>
      </c>
      <c r="B41" s="62" t="s">
        <v>136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6.65405577203961</v>
      </c>
      <c r="G41" s="104" t="n">
        <f aca="false">IF(ISNUMBER(G39),IF(G40&gt;0,G39/G40,0),"SLO 不可達")</f>
        <v>6.65333116055444</v>
      </c>
      <c r="H41" s="104" t="n">
        <f aca="false">IF(ISNUMBER(H39),IF(H40&gt;0,H39/H40,0),"SLO 不可達")</f>
        <v>6.65250227854715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2248</v>
      </c>
      <c r="B42" s="62" t="s">
        <v>2245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2249</v>
      </c>
      <c r="B43" s="62" t="s">
        <v>1045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0.0204339215912253</v>
      </c>
      <c r="G43" s="159" t="n">
        <f aca="false">IF(AND(ISNUMBER(G13),ISNUMBER(G41)),G13*G41,"SLO 不可達")</f>
        <v>0.027280612608476</v>
      </c>
      <c r="H43" s="159" t="n">
        <f aca="false">IF(AND(ISNUMBER(H13),ISNUMBER(H41)),H13*H41,"SLO 不可達")</f>
        <v>0.0442414482411035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2250</v>
      </c>
      <c r="B44" s="62" t="s">
        <v>1045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2251</v>
      </c>
      <c r="B45" s="62" t="s">
        <v>1045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0.0583329973721456</v>
      </c>
      <c r="G45" s="159" t="n">
        <f aca="false">IF(AND(ISNUMBER(G22),ISNUMBER(G41)),G22*G41,"SLO 不可達")</f>
        <v>0.0778783405082709</v>
      </c>
      <c r="H45" s="159" t="n">
        <f aca="false">IF(AND(ISNUMBER(H22),ISNUMBER(H41)),H22*H41,"SLO 不可達")</f>
        <v>0.126296671564817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2252</v>
      </c>
      <c r="B46" s="62" t="s">
        <v>1045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2253</v>
      </c>
      <c r="B47" s="62" t="s">
        <v>1045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1.52013235990977</v>
      </c>
      <c r="G47" s="159" t="n">
        <f aca="false">IF(AND(ISNUMBER(G32),ISNUMBER(G41)),G32*G41,"SLO 不可達")</f>
        <v>2.02947544058869</v>
      </c>
      <c r="H47" s="159" t="n">
        <f aca="false">IF(AND(ISNUMBER(H32),ISNUMBER(H41)),H32*H41,"SLO 不可達")</f>
        <v>3.29123593923616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2254</v>
      </c>
      <c r="B48" s="62" t="s">
        <v>1045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2255</v>
      </c>
      <c r="B49" s="62" t="s">
        <v>131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2257</v>
      </c>
    </row>
    <row r="2" customFormat="false" ht="15" hidden="false" customHeight="false" outlineLevel="0" collapsed="false">
      <c r="A2" s="59" t="s">
        <v>2258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204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919</v>
      </c>
    </row>
    <row r="6" customFormat="false" ht="15" hidden="false" customHeight="false" outlineLevel="0" collapsed="false">
      <c r="A6" s="60" t="s">
        <v>498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2175</v>
      </c>
    </row>
    <row r="7" customFormat="false" ht="15" hidden="false" customHeight="false" outlineLevel="0" collapsed="false">
      <c r="A7" s="60" t="s">
        <v>2156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2259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2260</v>
      </c>
      <c r="B10" s="62" t="s">
        <v>998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298037482955.404</v>
      </c>
      <c r="G10" s="69" t="n">
        <f aca="false">IF(ISNUMBER(INDEX(IF_TokGW_Luna,1,G$7)),INDEX(IF_TokGW_Luna,1,G$7)*IF_Util,INDEX(IF_TokGW_Luna,1,G$7))</f>
        <v>298037482955.404</v>
      </c>
      <c r="H10" s="69" t="n">
        <f aca="false">IF(ISNUMBER(INDEX(IF_TokGW_Luna,1,H$7)),INDEX(IF_TokGW_Luna,1,H$7)*IF_Util,INDEX(IF_TokGW_Luna,1,H$7))</f>
        <v>298037482955.404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2261</v>
      </c>
      <c r="B11" s="62" t="s">
        <v>2262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2263</v>
      </c>
      <c r="B12" s="62" t="s">
        <v>2262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2264</v>
      </c>
    </row>
    <row r="14" customFormat="false" ht="15" hidden="false" customHeight="false" outlineLevel="0" collapsed="false">
      <c r="A14" s="5" t="s">
        <v>2265</v>
      </c>
      <c r="B14" s="62" t="s">
        <v>2262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2266</v>
      </c>
    </row>
    <row r="15" customFormat="false" ht="15" hidden="false" customHeight="false" outlineLevel="0" collapsed="false">
      <c r="A15" s="5" t="s">
        <v>2267</v>
      </c>
      <c r="B15" s="62" t="s">
        <v>136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2268</v>
      </c>
    </row>
    <row r="16" customFormat="false" ht="15" hidden="false" customHeight="false" outlineLevel="0" collapsed="false">
      <c r="A16" s="5" t="s">
        <v>2269</v>
      </c>
      <c r="B16" s="62" t="s">
        <v>136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2270</v>
      </c>
    </row>
    <row r="17" customFormat="false" ht="15" hidden="false" customHeight="false" outlineLevel="0" collapsed="false">
      <c r="A17" s="5" t="s">
        <v>2271</v>
      </c>
      <c r="B17" s="62" t="s">
        <v>1045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15" hidden="false" customHeight="false" outlineLevel="0" collapsed="false">
      <c r="A18" s="5" t="s">
        <v>2272</v>
      </c>
      <c r="B18" s="62" t="s">
        <v>1045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0.0252757581494963</v>
      </c>
      <c r="G18" s="161" t="n">
        <f aca="false">IF(AND(ISNUMBER(G17),ISNUMBER(Amortize!G13)),G17+Amortize!G13,"SLO 不可達")</f>
        <v>0.0337448229061386</v>
      </c>
      <c r="H18" s="161" t="n">
        <f aca="false">IF(AND(ISNUMBER(H17),ISNUMBER(Amortize!H13)),H17+Amortize!H13,"SLO 不可達")</f>
        <v>0.0547246531537095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2273</v>
      </c>
      <c r="B19" s="62" t="s">
        <v>1045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2274</v>
      </c>
    </row>
    <row r="20" customFormat="false" ht="26.85" hidden="false" customHeight="false" outlineLevel="0" collapsed="false">
      <c r="A20" s="5" t="s">
        <v>2275</v>
      </c>
      <c r="B20" s="62" t="s">
        <v>1045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0.0426387824877877</v>
      </c>
      <c r="G20" s="161" t="n">
        <f aca="false">IF(AND(ISNUMBER(G17),ISNUMBER(Amortize!G43)),G17+Amortize!G43,"SLO 不可達")</f>
        <v>0.0569251416993579</v>
      </c>
      <c r="H20" s="161" t="n">
        <f aca="false">IF(AND(ISNUMBER(H17),ISNUMBER(Amortize!H43)),H17+Amortize!H43,"SLO 不可達")</f>
        <v>0.0923157544443471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2276</v>
      </c>
      <c r="B21" s="62" t="s">
        <v>131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2277</v>
      </c>
    </row>
    <row r="22" customFormat="false" ht="15" hidden="false" customHeight="false" outlineLevel="0" collapsed="false">
      <c r="A22" s="5" t="s">
        <v>2278</v>
      </c>
      <c r="B22" s="62" t="s">
        <v>131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2279</v>
      </c>
    </row>
    <row r="23" customFormat="false" ht="15" hidden="false" customHeight="false" outlineLevel="0" collapsed="false">
      <c r="A23" s="5" t="s">
        <v>2280</v>
      </c>
      <c r="B23" s="62" t="s">
        <v>131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2281</v>
      </c>
    </row>
    <row r="24" customFormat="false" ht="15" hidden="false" customHeight="false" outlineLevel="0" collapsed="false">
      <c r="A24" s="5" t="s">
        <v>2282</v>
      </c>
      <c r="B24" s="62" t="s">
        <v>131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0.469373558642023</v>
      </c>
      <c r="G24" s="117" t="n">
        <f aca="false">IF(ISNUMBER(G20),1-G20/INDEX(B4_EffRef,1,1),"SLO 不可達")</f>
        <v>0.291584243232548</v>
      </c>
      <c r="H24" s="117" t="n">
        <f aca="false">IF(ISNUMBER(H20),1-H20/INDEX(B4_EffRef,1,1),"SLO 不可達")</f>
        <v>-0.148840970684629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2283</v>
      </c>
      <c r="B25" s="62" t="s">
        <v>131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2284</v>
      </c>
    </row>
    <row r="27" customFormat="false" ht="15" hidden="false" customHeight="false" outlineLevel="0" collapsed="false">
      <c r="A27" s="77" t="s">
        <v>2285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2260</v>
      </c>
      <c r="B28" s="62" t="s">
        <v>998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87507858426.3237</v>
      </c>
      <c r="G28" s="69" t="n">
        <f aca="false">IF(ISNUMBER(INDEX(IF_TokGW_Sol,1,G$7)),INDEX(IF_TokGW_Sol,1,G$7)*IF_Util,INDEX(IF_TokGW_Sol,1,G$7))</f>
        <v>87507858426.3237</v>
      </c>
      <c r="H28" s="69" t="n">
        <f aca="false">IF(ISNUMBER(INDEX(IF_TokGW_Sol,1,H$7)),INDEX(IF_TokGW_Sol,1,H$7)*IF_Util,INDEX(IF_TokGW_Sol,1,H$7))</f>
        <v>87507858426.3237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2286</v>
      </c>
      <c r="B29" s="62" t="s">
        <v>2262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2287</v>
      </c>
      <c r="B30" s="62" t="s">
        <v>2262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2172</v>
      </c>
    </row>
    <row r="32" customFormat="false" ht="15" hidden="false" customHeight="false" outlineLevel="0" collapsed="false">
      <c r="A32" s="5" t="s">
        <v>2265</v>
      </c>
      <c r="B32" s="62" t="s">
        <v>2262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2288</v>
      </c>
    </row>
    <row r="33" customFormat="false" ht="15" hidden="false" customHeight="false" outlineLevel="0" collapsed="false">
      <c r="A33" s="5" t="s">
        <v>2267</v>
      </c>
      <c r="B33" s="62" t="s">
        <v>136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2289</v>
      </c>
    </row>
    <row r="34" customFormat="false" ht="15" hidden="false" customHeight="false" outlineLevel="0" collapsed="false">
      <c r="A34" s="5" t="s">
        <v>2269</v>
      </c>
      <c r="B34" s="62" t="s">
        <v>136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2290</v>
      </c>
    </row>
    <row r="35" customFormat="false" ht="15" hidden="false" customHeight="false" outlineLevel="0" collapsed="false">
      <c r="A35" s="5" t="s">
        <v>2271</v>
      </c>
      <c r="B35" s="62" t="s">
        <v>1045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15" hidden="false" customHeight="false" outlineLevel="0" collapsed="false">
      <c r="A36" s="5" t="s">
        <v>2291</v>
      </c>
      <c r="B36" s="62" t="s">
        <v>1045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0.0843522277428262</v>
      </c>
      <c r="G36" s="161" t="n">
        <f aca="false">IF(AND(ISNUMBER(G35),ISNUMBER(Amortize!G22)),G35+Amortize!G22,"SLO 不可達")</f>
        <v>0.112622816909467</v>
      </c>
      <c r="H36" s="161" t="n">
        <f aca="false">IF(AND(ISNUMBER(H35),ISNUMBER(Amortize!H22)),H35+Amortize!H22,"SLO 不可達")</f>
        <v>0.182655598421708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2273</v>
      </c>
      <c r="B37" s="62" t="s">
        <v>1045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2292</v>
      </c>
    </row>
    <row r="38" customFormat="false" ht="26.85" hidden="false" customHeight="false" outlineLevel="0" collapsed="false">
      <c r="A38" s="5" t="s">
        <v>2293</v>
      </c>
      <c r="B38" s="62" t="s">
        <v>1045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0.133918692436171</v>
      </c>
      <c r="G38" s="161" t="n">
        <f aca="false">IF(AND(ISNUMBER(G35),ISNUMBER(Amortize!G45)),G35+Amortize!G45,"SLO 不可達")</f>
        <v>0.178795992196144</v>
      </c>
      <c r="H38" s="161" t="n">
        <f aca="false">IF(AND(ISNUMBER(H35),ISNUMBER(Amortize!H45)),H35+Amortize!H45,"SLO 不可達")</f>
        <v>0.289967432961802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2276</v>
      </c>
      <c r="B39" s="62" t="s">
        <v>131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2294</v>
      </c>
    </row>
    <row r="40" customFormat="false" ht="15" hidden="false" customHeight="false" outlineLevel="0" collapsed="false">
      <c r="A40" s="5" t="s">
        <v>2278</v>
      </c>
      <c r="B40" s="62" t="s">
        <v>131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2295</v>
      </c>
    </row>
    <row r="41" customFormat="false" ht="15" hidden="false" customHeight="false" outlineLevel="0" collapsed="false">
      <c r="A41" s="5" t="s">
        <v>2280</v>
      </c>
      <c r="B41" s="62" t="s">
        <v>131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2296</v>
      </c>
    </row>
    <row r="42" customFormat="false" ht="15" hidden="false" customHeight="false" outlineLevel="0" collapsed="false">
      <c r="A42" s="5" t="s">
        <v>2282</v>
      </c>
      <c r="B42" s="62" t="s">
        <v>131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0.916671167593643</v>
      </c>
      <c r="G42" s="117" t="n">
        <f aca="false">IF(ISNUMBER(G38),1-G38/INDEX(B4_EffRef,1,2),"SLO 不可達")</f>
        <v>0.88874696282043</v>
      </c>
      <c r="H42" s="117" t="n">
        <f aca="false">IF(ISNUMBER(H38),1-H38/INDEX(B4_EffRef,1,2),"SLO 不可達")</f>
        <v>0.819572255485605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2283</v>
      </c>
      <c r="B43" s="62" t="s">
        <v>131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2297</v>
      </c>
    </row>
    <row r="45" customFormat="false" ht="15" hidden="false" customHeight="false" outlineLevel="0" collapsed="false">
      <c r="A45" s="77" t="s">
        <v>2298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2260</v>
      </c>
      <c r="B46" s="62" t="s">
        <v>998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17860657696.5117</v>
      </c>
      <c r="G46" s="69" t="n">
        <f aca="false">IF(ISNUMBER(INDEX(IF_TokGW_Astra,1,G$7)),INDEX(IF_TokGW_Astra,1,G$7)*IF_Util,INDEX(IF_TokGW_Astra,1,G$7))</f>
        <v>17860657696.5117</v>
      </c>
      <c r="H46" s="69" t="n">
        <f aca="false">IF(ISNUMBER(INDEX(IF_TokGW_Astra,1,H$7)),INDEX(IF_TokGW_Astra,1,H$7)*IF_Util,INDEX(IF_TokGW_Astra,1,H$7))</f>
        <v>17860657696.5117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2299</v>
      </c>
      <c r="B47" s="62" t="s">
        <v>2262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2300</v>
      </c>
      <c r="B48" s="62" t="s">
        <v>2262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1079</v>
      </c>
    </row>
    <row r="50" customFormat="false" ht="15" hidden="false" customHeight="false" outlineLevel="0" collapsed="false">
      <c r="A50" s="5" t="s">
        <v>2265</v>
      </c>
      <c r="B50" s="62" t="s">
        <v>2262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2301</v>
      </c>
    </row>
    <row r="51" customFormat="false" ht="15" hidden="false" customHeight="false" outlineLevel="0" collapsed="false">
      <c r="A51" s="5" t="s">
        <v>2267</v>
      </c>
      <c r="B51" s="62" t="s">
        <v>136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2302</v>
      </c>
    </row>
    <row r="52" customFormat="false" ht="15" hidden="false" customHeight="false" outlineLevel="0" collapsed="false">
      <c r="A52" s="5" t="s">
        <v>2269</v>
      </c>
      <c r="B52" s="62" t="s">
        <v>136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2303</v>
      </c>
    </row>
    <row r="53" customFormat="false" ht="15" hidden="false" customHeight="false" outlineLevel="0" collapsed="false">
      <c r="A53" s="5" t="s">
        <v>2271</v>
      </c>
      <c r="B53" s="62" t="s">
        <v>1045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15" hidden="false" customHeight="false" outlineLevel="0" collapsed="false">
      <c r="A54" s="5" t="s">
        <v>2304</v>
      </c>
      <c r="B54" s="62" t="s">
        <v>1045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0.599060192145636</v>
      </c>
      <c r="G54" s="161" t="n">
        <f aca="false">IF(AND(ISNUMBER(G53),ISNUMBER(Amortize!G32)),G53+Amortize!G32,"SLO 不可達")</f>
        <v>0.79979654126841</v>
      </c>
      <c r="H54" s="161" t="n">
        <f aca="false">IF(AND(ISNUMBER(H53),ISNUMBER(Amortize!H32)),H53+Amortize!H32,"SLO 不可達")</f>
        <v>1.2970668597897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2273</v>
      </c>
      <c r="B55" s="62" t="s">
        <v>1045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2305</v>
      </c>
    </row>
    <row r="56" customFormat="false" ht="26.85" hidden="false" customHeight="false" outlineLevel="0" collapsed="false">
      <c r="A56" s="5" t="s">
        <v>2306</v>
      </c>
      <c r="B56" s="62" t="s">
        <v>1045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1.890740550451</v>
      </c>
      <c r="G56" s="161" t="n">
        <f aca="false">IF(AND(ISNUMBER(G53),ISNUMBER(Amortize!G47)),G53+Amortize!G47,"SLO 不可達")</f>
        <v>2.52424050339698</v>
      </c>
      <c r="H56" s="161" t="n">
        <f aca="false">IF(AND(ISNUMBER(H53),ISNUMBER(Amortize!H47)),H53+Amortize!H47,"SLO 不可達")</f>
        <v>4.09356626209152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2276</v>
      </c>
      <c r="B57" s="62" t="s">
        <v>131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2307</v>
      </c>
    </row>
    <row r="58" customFormat="false" ht="15" hidden="false" customHeight="false" outlineLevel="0" collapsed="false">
      <c r="A58" s="5" t="s">
        <v>2278</v>
      </c>
      <c r="B58" s="62" t="s">
        <v>131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2308</v>
      </c>
    </row>
    <row r="59" customFormat="false" ht="15" hidden="false" customHeight="false" outlineLevel="0" collapsed="false">
      <c r="A59" s="5" t="s">
        <v>2280</v>
      </c>
      <c r="B59" s="62" t="s">
        <v>131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2309</v>
      </c>
    </row>
    <row r="60" customFormat="false" ht="15" hidden="false" customHeight="false" outlineLevel="0" collapsed="false">
      <c r="A60" s="5" t="s">
        <v>2282</v>
      </c>
      <c r="B60" s="62" t="s">
        <v>131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0.764703194772414</v>
      </c>
      <c r="G60" s="117" t="n">
        <f aca="false">IF(ISNUMBER(G56),1-G56/INDEX(B4_EffRef,1,3),"SLO 不可達")</f>
        <v>0.685866087796282</v>
      </c>
      <c r="H60" s="117" t="n">
        <f aca="false">IF(ISNUMBER(H56),1-H56/INDEX(B4_EffRef,1,3),"SLO 不可達")</f>
        <v>0.490568357870247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2283</v>
      </c>
      <c r="B61" s="62" t="s">
        <v>131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2310</v>
      </c>
    </row>
    <row r="63" customFormat="false" ht="15" hidden="false" customHeight="false" outlineLevel="0" collapsed="false">
      <c r="A63" s="77" t="s">
        <v>2311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2312</v>
      </c>
      <c r="B64" s="62" t="s">
        <v>2262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2313</v>
      </c>
      <c r="B65" s="62" t="s">
        <v>2262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2314</v>
      </c>
      <c r="B66" s="62" t="s">
        <v>2262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2315</v>
      </c>
      <c r="B67" s="62" t="s">
        <v>2262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2316</v>
      </c>
      <c r="B68" s="62" t="s">
        <v>2262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2317</v>
      </c>
      <c r="B69" s="62" t="s">
        <v>2262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2318</v>
      </c>
      <c r="B70" s="62" t="s">
        <v>2262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2319</v>
      </c>
      <c r="B71" s="62" t="s">
        <v>2262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2320</v>
      </c>
      <c r="B72" s="62" t="s">
        <v>2262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2321</v>
      </c>
    </row>
    <row r="73" customFormat="false" ht="15" hidden="false" customHeight="false" outlineLevel="0" collapsed="false">
      <c r="A73" s="5" t="s">
        <v>2322</v>
      </c>
      <c r="B73" s="62" t="s">
        <v>136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2323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2324</v>
      </c>
    </row>
    <row r="76" customFormat="false" ht="15" hidden="false" customHeight="false" outlineLevel="0" collapsed="false">
      <c r="A76" s="77" t="s">
        <v>2325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2326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2327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2328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2329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2330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2331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2332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2333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2334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2335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2336</v>
      </c>
    </row>
    <row r="87" customFormat="false" ht="15" hidden="false" customHeight="false" outlineLevel="0" collapsed="false">
      <c r="A87" s="65" t="s">
        <v>2337</v>
      </c>
    </row>
    <row r="89" customFormat="false" ht="15" hidden="false" customHeight="false" outlineLevel="0" collapsed="false">
      <c r="A89" s="77" t="s">
        <v>2338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2339</v>
      </c>
      <c r="B90" s="62" t="s">
        <v>2262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2340</v>
      </c>
      <c r="B91" s="62" t="s">
        <v>2262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2341</v>
      </c>
      <c r="B92" s="62" t="s">
        <v>2262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2342</v>
      </c>
      <c r="B93" s="62" t="s">
        <v>2262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2343</v>
      </c>
    </row>
    <row r="96" customFormat="false" ht="15" hidden="false" customHeight="false" outlineLevel="0" collapsed="false">
      <c r="A96" s="59" t="s">
        <v>2344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2345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2346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2347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2348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2349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2350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2351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2352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2353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2354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2355</v>
      </c>
    </row>
    <row r="2" customFormat="false" ht="15" hidden="false" customHeight="false" outlineLevel="0" collapsed="false">
      <c r="A2" s="65" t="s">
        <v>2356</v>
      </c>
    </row>
    <row r="4" customFormat="false" ht="29.85" hidden="false" customHeight="false" outlineLevel="0" collapsed="false">
      <c r="A4" s="84" t="s">
        <v>2357</v>
      </c>
      <c r="B4" s="84" t="s">
        <v>382</v>
      </c>
      <c r="C4" s="85" t="s">
        <v>2358</v>
      </c>
      <c r="D4" s="84" t="s">
        <v>2359</v>
      </c>
      <c r="E4" s="84" t="s">
        <v>2360</v>
      </c>
      <c r="F4" s="84" t="s">
        <v>2359</v>
      </c>
      <c r="G4" s="84" t="s">
        <v>383</v>
      </c>
    </row>
    <row r="5" customFormat="false" ht="15" hidden="false" customHeight="false" outlineLevel="0" collapsed="false">
      <c r="A5" s="61" t="s">
        <v>115</v>
      </c>
      <c r="B5" s="105" t="s">
        <v>814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2361</v>
      </c>
    </row>
    <row r="6" customFormat="false" ht="15" hidden="false" customHeight="false" outlineLevel="0" collapsed="false">
      <c r="A6" s="61" t="s">
        <v>2362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2363</v>
      </c>
    </row>
    <row r="7" customFormat="false" ht="15" hidden="false" customHeight="false" outlineLevel="0" collapsed="false">
      <c r="A7" s="61" t="s">
        <v>2364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tr">
        <f aca="false">"折扣 "&amp;TEXT(B8,"0%")</f>
        <v>折扣 10%</v>
      </c>
      <c r="B8" s="81" t="n">
        <f aca="false">Cap_In!D12</f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tr">
        <f aca="false">"折扣 "&amp;TEXT(B9,"0%")</f>
        <v>折扣 40%</v>
      </c>
      <c r="B9" s="81" t="n">
        <f aca="false">Cap_In!E12</f>
        <v>0.4</v>
      </c>
      <c r="C9" s="165" t="n">
        <f aca="false">Theory_Rev!M33*D9</f>
        <v>18.8696106690891</v>
      </c>
      <c r="D9" s="78" t="n">
        <f aca="false">(1-B9)/(1-B4_Disc)</f>
        <v>0.75</v>
      </c>
      <c r="E9" s="166" t="n">
        <f aca="false">Theory_Rev!M73*F9</f>
        <v>4.04664402821495</v>
      </c>
      <c r="F9" s="78" t="n">
        <f aca="false">(1-B9)/(1-B4_Disc)</f>
        <v>0.75</v>
      </c>
      <c r="G9" s="93"/>
    </row>
    <row r="10" customFormat="false" ht="15" hidden="false" customHeight="false" outlineLevel="0" collapsed="false">
      <c r="A10" s="61" t="s">
        <v>2365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814</v>
      </c>
      <c r="F10" s="62" t="s">
        <v>814</v>
      </c>
      <c r="G10" s="93" t="s">
        <v>2366</v>
      </c>
    </row>
    <row r="11" customFormat="false" ht="15" hidden="false" customHeight="false" outlineLevel="0" collapsed="false">
      <c r="A11" s="61" t="s">
        <v>2367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814</v>
      </c>
      <c r="F11" s="62" t="s">
        <v>814</v>
      </c>
      <c r="G11" s="93"/>
    </row>
    <row r="12" customFormat="false" ht="15" hidden="false" customHeight="false" outlineLevel="0" collapsed="false">
      <c r="A12" s="61" t="s">
        <v>2368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2369</v>
      </c>
    </row>
    <row r="13" customFormat="false" ht="15" hidden="false" customHeight="false" outlineLevel="0" collapsed="false">
      <c r="A13" s="61" t="s">
        <v>2370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2371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2372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2373</v>
      </c>
      <c r="B16" s="105" t="s">
        <v>814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814</v>
      </c>
      <c r="F16" s="62" t="s">
        <v>814</v>
      </c>
      <c r="G16" s="88" t="s">
        <v>2374</v>
      </c>
    </row>
    <row r="17" customFormat="false" ht="15" hidden="false" customHeight="false" outlineLevel="0" collapsed="false">
      <c r="A17" s="62" t="s">
        <v>2375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2376</v>
      </c>
    </row>
    <row r="18" customFormat="false" ht="26.85" hidden="false" customHeight="false" outlineLevel="0" collapsed="false">
      <c r="A18" s="62" t="s">
        <v>2377</v>
      </c>
      <c r="B18" s="82" t="n">
        <v>0.5</v>
      </c>
      <c r="G18" s="93" t="s">
        <v>2378</v>
      </c>
    </row>
    <row r="19" customFormat="false" ht="15" hidden="false" customHeight="false" outlineLevel="0" collapsed="false">
      <c r="A19" s="60" t="s">
        <v>2379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2380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2380</v>
      </c>
    </row>
    <row r="23" customFormat="false" ht="15" hidden="false" customHeight="false" outlineLevel="0" collapsed="false">
      <c r="A23" s="65" t="s">
        <v>2381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2382</v>
      </c>
    </row>
    <row r="2" customFormat="false" ht="15" hidden="false" customHeight="false" outlineLevel="0" collapsed="false">
      <c r="A2" s="65" t="s">
        <v>2383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2384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2385</v>
      </c>
      <c r="B5" s="61" t="s">
        <v>126</v>
      </c>
      <c r="C5" s="68" t="n">
        <v>2</v>
      </c>
      <c r="H5" s="59" t="s">
        <v>122</v>
      </c>
      <c r="I5" s="65" t="s">
        <v>2386</v>
      </c>
    </row>
    <row r="6" customFormat="false" ht="15" hidden="false" customHeight="false" outlineLevel="0" collapsed="false">
      <c r="A6" s="61" t="s">
        <v>2387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2388</v>
      </c>
      <c r="B7" s="62" t="s">
        <v>136</v>
      </c>
      <c r="C7" s="166" t="n">
        <f aca="false">Tech_Registry!O16*Tech_Registry!N16</f>
        <v>0</v>
      </c>
      <c r="I7" s="59" t="s">
        <v>2389</v>
      </c>
    </row>
    <row r="8" customFormat="false" ht="15" hidden="false" customHeight="false" outlineLevel="0" collapsed="false">
      <c r="A8" s="61" t="s">
        <v>2390</v>
      </c>
      <c r="B8" s="62" t="s">
        <v>131</v>
      </c>
      <c r="C8" s="67" t="n">
        <v>0.5</v>
      </c>
      <c r="H8" s="59" t="s">
        <v>122</v>
      </c>
      <c r="I8" s="59" t="s">
        <v>2391</v>
      </c>
    </row>
    <row r="9" customFormat="false" ht="15" hidden="false" customHeight="false" outlineLevel="0" collapsed="false">
      <c r="A9" s="77" t="s">
        <v>2392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2393</v>
      </c>
    </row>
    <row r="11" customFormat="false" ht="30" hidden="false" customHeight="true" outlineLevel="0" collapsed="false">
      <c r="A11" s="60" t="s">
        <v>112</v>
      </c>
      <c r="B11" s="60" t="s">
        <v>113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117</v>
      </c>
      <c r="I11" s="60" t="s">
        <v>383</v>
      </c>
      <c r="J11" s="65" t="s">
        <v>2394</v>
      </c>
    </row>
    <row r="12" customFormat="false" ht="39.55" hidden="false" customHeight="false" outlineLevel="0" collapsed="false">
      <c r="A12" s="61" t="s">
        <v>2395</v>
      </c>
      <c r="B12" s="62" t="s">
        <v>136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132</v>
      </c>
      <c r="I12" s="93" t="s">
        <v>2396</v>
      </c>
    </row>
    <row r="13" customFormat="false" ht="15" hidden="false" customHeight="false" outlineLevel="0" collapsed="false">
      <c r="A13" s="61" t="s">
        <v>2397</v>
      </c>
      <c r="B13" s="62" t="s">
        <v>131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2398</v>
      </c>
      <c r="I13" s="88" t="s">
        <v>2399</v>
      </c>
    </row>
    <row r="14" customFormat="false" ht="15" hidden="false" customHeight="false" outlineLevel="0" collapsed="false">
      <c r="A14" s="61" t="s">
        <v>2400</v>
      </c>
      <c r="B14" s="62" t="s">
        <v>136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132</v>
      </c>
      <c r="I14" s="93" t="s">
        <v>2401</v>
      </c>
    </row>
    <row r="15" customFormat="false" ht="15" hidden="false" customHeight="false" outlineLevel="0" collapsed="false">
      <c r="A15" s="61" t="s">
        <v>2402</v>
      </c>
      <c r="B15" s="62" t="s">
        <v>136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132</v>
      </c>
      <c r="I15" s="93" t="s">
        <v>2403</v>
      </c>
    </row>
    <row r="16" customFormat="false" ht="15" hidden="false" customHeight="false" outlineLevel="0" collapsed="false">
      <c r="A16" s="61" t="s">
        <v>2404</v>
      </c>
      <c r="B16" s="61" t="s">
        <v>2405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132</v>
      </c>
      <c r="I16" s="93" t="s">
        <v>2406</v>
      </c>
    </row>
    <row r="17" customFormat="false" ht="15" hidden="false" customHeight="false" outlineLevel="0" collapsed="false">
      <c r="A17" s="61" t="s">
        <v>2407</v>
      </c>
      <c r="B17" s="61" t="s">
        <v>374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132</v>
      </c>
      <c r="I17" s="93" t="s">
        <v>2408</v>
      </c>
    </row>
    <row r="18" customFormat="false" ht="15" hidden="false" customHeight="false" outlineLevel="0" collapsed="false">
      <c r="A18" s="61" t="s">
        <v>2409</v>
      </c>
      <c r="B18" s="62" t="s">
        <v>1455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137</v>
      </c>
      <c r="I18" s="88" t="s">
        <v>2410</v>
      </c>
    </row>
    <row r="19" customFormat="false" ht="26.85" hidden="false" customHeight="false" outlineLevel="0" collapsed="false">
      <c r="A19" s="61" t="s">
        <v>2411</v>
      </c>
      <c r="B19" s="62" t="s">
        <v>136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132</v>
      </c>
      <c r="I19" s="88" t="s">
        <v>2412</v>
      </c>
    </row>
    <row r="20" customFormat="false" ht="15" hidden="false" customHeight="false" outlineLevel="0" collapsed="false">
      <c r="A20" s="61"/>
      <c r="B20" s="61"/>
      <c r="C20" s="68"/>
      <c r="D20" s="68"/>
      <c r="E20" s="68"/>
      <c r="F20" s="68"/>
      <c r="G20" s="68"/>
      <c r="H20" s="59" t="s">
        <v>168</v>
      </c>
      <c r="I20" s="93" t="s">
        <v>2413</v>
      </c>
      <c r="J20" s="65" t="s">
        <v>2414</v>
      </c>
    </row>
    <row r="22" customFormat="false" ht="15" hidden="false" customHeight="false" outlineLevel="0" collapsed="false">
      <c r="A22" s="60" t="s">
        <v>2415</v>
      </c>
    </row>
    <row r="23" customFormat="false" ht="30" hidden="false" customHeight="true" outlineLevel="0" collapsed="false">
      <c r="A23" s="60" t="s">
        <v>112</v>
      </c>
      <c r="B23" s="60" t="s">
        <v>113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117</v>
      </c>
      <c r="I23" s="60" t="s">
        <v>383</v>
      </c>
      <c r="J23" s="65" t="s">
        <v>2416</v>
      </c>
    </row>
    <row r="24" customFormat="false" ht="15" hidden="false" customHeight="false" outlineLevel="0" collapsed="false">
      <c r="A24" s="61" t="s">
        <v>2395</v>
      </c>
      <c r="B24" s="62" t="s">
        <v>136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132</v>
      </c>
      <c r="I24" s="93"/>
    </row>
    <row r="25" customFormat="false" ht="15" hidden="false" customHeight="false" outlineLevel="0" collapsed="false">
      <c r="A25" s="61" t="s">
        <v>2397</v>
      </c>
      <c r="B25" s="62" t="s">
        <v>131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132</v>
      </c>
      <c r="I25" s="93"/>
    </row>
    <row r="26" customFormat="false" ht="15" hidden="false" customHeight="false" outlineLevel="0" collapsed="false">
      <c r="A26" s="61" t="s">
        <v>2400</v>
      </c>
      <c r="B26" s="62" t="s">
        <v>136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132</v>
      </c>
      <c r="I26" s="93"/>
    </row>
    <row r="27" customFormat="false" ht="15" hidden="false" customHeight="false" outlineLevel="0" collapsed="false">
      <c r="A27" s="61" t="s">
        <v>2402</v>
      </c>
      <c r="B27" s="62" t="s">
        <v>136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132</v>
      </c>
      <c r="I27" s="93"/>
    </row>
    <row r="28" customFormat="false" ht="15" hidden="false" customHeight="false" outlineLevel="0" collapsed="false">
      <c r="A28" s="61" t="s">
        <v>2404</v>
      </c>
      <c r="B28" s="61" t="s">
        <v>2405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132</v>
      </c>
      <c r="I28" s="93"/>
    </row>
    <row r="29" customFormat="false" ht="26.85" hidden="false" customHeight="false" outlineLevel="0" collapsed="false">
      <c r="A29" s="61" t="s">
        <v>2407</v>
      </c>
      <c r="B29" s="61" t="s">
        <v>374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137</v>
      </c>
      <c r="I29" s="88" t="s">
        <v>2417</v>
      </c>
    </row>
    <row r="30" customFormat="false" ht="15" hidden="false" customHeight="false" outlineLevel="0" collapsed="false">
      <c r="A30" s="61" t="s">
        <v>2409</v>
      </c>
      <c r="B30" s="62" t="s">
        <v>1455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132</v>
      </c>
      <c r="I30" s="93"/>
    </row>
    <row r="31" customFormat="false" ht="15" hidden="false" customHeight="false" outlineLevel="0" collapsed="false">
      <c r="A31" s="61" t="s">
        <v>2411</v>
      </c>
      <c r="B31" s="62" t="s">
        <v>136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132</v>
      </c>
      <c r="I31" s="88" t="s">
        <v>2418</v>
      </c>
    </row>
    <row r="32" customFormat="false" ht="15" hidden="false" customHeight="false" outlineLevel="0" collapsed="false">
      <c r="A32" s="61"/>
      <c r="B32" s="61"/>
      <c r="C32" s="68"/>
      <c r="D32" s="68"/>
      <c r="E32" s="68"/>
      <c r="F32" s="68"/>
      <c r="G32" s="68"/>
      <c r="H32" s="59" t="s">
        <v>132</v>
      </c>
      <c r="I32" s="93" t="s">
        <v>2419</v>
      </c>
      <c r="J32" s="65" t="s">
        <v>2420</v>
      </c>
    </row>
    <row r="34" customFormat="false" ht="15" hidden="false" customHeight="false" outlineLevel="0" collapsed="false">
      <c r="A34" s="60" t="s">
        <v>2421</v>
      </c>
    </row>
    <row r="35" customFormat="false" ht="30" hidden="false" customHeight="true" outlineLevel="0" collapsed="false">
      <c r="A35" s="60" t="s">
        <v>112</v>
      </c>
      <c r="B35" s="60" t="s">
        <v>113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2422</v>
      </c>
    </row>
    <row r="36" customFormat="false" ht="15" hidden="false" customHeight="false" outlineLevel="0" collapsed="false">
      <c r="A36" s="61" t="s">
        <v>2395</v>
      </c>
      <c r="B36" s="62" t="s">
        <v>136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2397</v>
      </c>
      <c r="B37" s="62" t="s">
        <v>131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2400</v>
      </c>
      <c r="B38" s="62" t="s">
        <v>136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2402</v>
      </c>
      <c r="B39" s="62" t="s">
        <v>136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2404</v>
      </c>
      <c r="B40" s="61" t="s">
        <v>2405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2407</v>
      </c>
      <c r="B41" s="61" t="s">
        <v>374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2409</v>
      </c>
      <c r="B42" s="62" t="s">
        <v>1455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2411</v>
      </c>
      <c r="B43" s="62" t="s">
        <v>136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482</v>
      </c>
    </row>
    <row r="46" customFormat="false" ht="15" hidden="false" customHeight="false" outlineLevel="0" collapsed="false">
      <c r="A46" s="77" t="s">
        <v>2423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415</v>
      </c>
      <c r="B47" s="60" t="s">
        <v>113</v>
      </c>
      <c r="C47" s="10" t="s">
        <v>306</v>
      </c>
      <c r="D47" s="10" t="s">
        <v>307</v>
      </c>
      <c r="E47" s="10" t="s">
        <v>308</v>
      </c>
      <c r="H47" s="60" t="s">
        <v>117</v>
      </c>
      <c r="I47" s="60" t="s">
        <v>383</v>
      </c>
    </row>
    <row r="48" customFormat="false" ht="26.85" hidden="false" customHeight="false" outlineLevel="0" collapsed="false">
      <c r="A48" s="62" t="s">
        <v>2424</v>
      </c>
      <c r="B48" s="62" t="s">
        <v>1455</v>
      </c>
      <c r="C48" s="79" t="n">
        <v>1.5</v>
      </c>
      <c r="D48" s="79" t="n">
        <v>8</v>
      </c>
      <c r="E48" s="79" t="n">
        <v>16</v>
      </c>
      <c r="H48" s="59" t="s">
        <v>137</v>
      </c>
      <c r="I48" s="88" t="s">
        <v>2425</v>
      </c>
    </row>
    <row r="49" customFormat="false" ht="15" hidden="false" customHeight="false" outlineLevel="0" collapsed="false">
      <c r="A49" s="62" t="s">
        <v>2426</v>
      </c>
      <c r="B49" s="62" t="s">
        <v>1455</v>
      </c>
      <c r="C49" s="79" t="n">
        <v>0.5</v>
      </c>
      <c r="D49" s="79" t="n">
        <v>4</v>
      </c>
      <c r="E49" s="79" t="n">
        <v>11</v>
      </c>
      <c r="H49" s="59" t="s">
        <v>137</v>
      </c>
      <c r="I49" s="93"/>
    </row>
    <row r="50" customFormat="false" ht="15" hidden="false" customHeight="false" outlineLevel="0" collapsed="false">
      <c r="A50" s="62" t="s">
        <v>2427</v>
      </c>
      <c r="B50" s="62" t="s">
        <v>1455</v>
      </c>
      <c r="C50" s="79" t="n">
        <v>4</v>
      </c>
      <c r="D50" s="79" t="n">
        <v>12</v>
      </c>
      <c r="E50" s="79" t="n">
        <v>40</v>
      </c>
      <c r="H50" s="59" t="s">
        <v>137</v>
      </c>
      <c r="I50" s="88" t="s">
        <v>2428</v>
      </c>
    </row>
    <row r="51" customFormat="false" ht="26.85" hidden="false" customHeight="false" outlineLevel="0" collapsed="false">
      <c r="A51" s="61" t="s">
        <v>2429</v>
      </c>
      <c r="B51" s="62" t="s">
        <v>136</v>
      </c>
      <c r="C51" s="80" t="n">
        <v>0.75</v>
      </c>
      <c r="D51" s="80" t="n">
        <v>0.65</v>
      </c>
      <c r="E51" s="80" t="n">
        <v>1</v>
      </c>
      <c r="H51" s="59" t="s">
        <v>180</v>
      </c>
      <c r="I51" s="93" t="s">
        <v>2430</v>
      </c>
    </row>
    <row r="52" customFormat="false" ht="30" hidden="false" customHeight="true" outlineLevel="0" collapsed="false">
      <c r="A52" s="60" t="s">
        <v>2431</v>
      </c>
      <c r="B52" s="60" t="s">
        <v>113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2432</v>
      </c>
    </row>
    <row r="53" customFormat="false" ht="15" hidden="false" customHeight="false" outlineLevel="0" collapsed="false">
      <c r="A53" s="61" t="s">
        <v>2433</v>
      </c>
      <c r="B53" s="62" t="s">
        <v>1455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132</v>
      </c>
      <c r="I53" s="65" t="s">
        <v>2434</v>
      </c>
    </row>
    <row r="54" customFormat="false" ht="15" hidden="false" customHeight="false" outlineLevel="0" collapsed="false">
      <c r="A54" s="61" t="s">
        <v>2435</v>
      </c>
      <c r="B54" s="61"/>
      <c r="C54" s="109" t="s">
        <v>2436</v>
      </c>
      <c r="D54" s="109" t="s">
        <v>2436</v>
      </c>
      <c r="E54" s="109" t="s">
        <v>2436</v>
      </c>
      <c r="F54" s="109" t="s">
        <v>2437</v>
      </c>
      <c r="G54" s="109" t="s">
        <v>2437</v>
      </c>
      <c r="I54" s="59" t="s">
        <v>2438</v>
      </c>
    </row>
    <row r="55" customFormat="false" ht="15" hidden="false" customHeight="false" outlineLevel="0" collapsed="false">
      <c r="A55" s="61" t="s">
        <v>2439</v>
      </c>
      <c r="B55" s="62" t="s">
        <v>131</v>
      </c>
      <c r="C55" s="67"/>
      <c r="D55" s="67"/>
      <c r="E55" s="67"/>
      <c r="F55" s="67"/>
      <c r="G55" s="67"/>
      <c r="I55" s="65" t="s">
        <v>2440</v>
      </c>
    </row>
    <row r="56" customFormat="false" ht="15" hidden="false" customHeight="false" outlineLevel="0" collapsed="false">
      <c r="A56" s="61" t="s">
        <v>2441</v>
      </c>
      <c r="B56" s="62" t="s">
        <v>131</v>
      </c>
      <c r="C56" s="67"/>
      <c r="D56" s="67"/>
      <c r="E56" s="67"/>
      <c r="F56" s="67"/>
      <c r="G56" s="67"/>
      <c r="I56" s="65" t="s">
        <v>2440</v>
      </c>
    </row>
    <row r="57" customFormat="false" ht="15" hidden="false" customHeight="false" outlineLevel="0" collapsed="false">
      <c r="A57" s="61" t="s">
        <v>2442</v>
      </c>
      <c r="B57" s="62" t="s">
        <v>131</v>
      </c>
      <c r="C57" s="67"/>
      <c r="D57" s="67"/>
      <c r="E57" s="67"/>
      <c r="F57" s="67"/>
      <c r="G57" s="67"/>
      <c r="I57" s="65" t="s">
        <v>2440</v>
      </c>
    </row>
    <row r="59" customFormat="false" ht="15" hidden="false" customHeight="false" outlineLevel="0" collapsed="false">
      <c r="A59" s="77" t="s">
        <v>2443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112</v>
      </c>
      <c r="C60" s="60" t="s">
        <v>1440</v>
      </c>
      <c r="D60" s="60" t="s">
        <v>1441</v>
      </c>
      <c r="I60" s="60" t="s">
        <v>383</v>
      </c>
    </row>
    <row r="61" customFormat="false" ht="15" hidden="false" customHeight="false" outlineLevel="0" collapsed="false">
      <c r="A61" s="61" t="s">
        <v>2395</v>
      </c>
      <c r="C61" s="80" t="n">
        <v>0.7</v>
      </c>
      <c r="D61" s="80" t="n">
        <v>1.7</v>
      </c>
      <c r="H61" s="59" t="s">
        <v>132</v>
      </c>
      <c r="I61" s="65"/>
    </row>
    <row r="62" customFormat="false" ht="15" hidden="false" customHeight="false" outlineLevel="0" collapsed="false">
      <c r="A62" s="61" t="s">
        <v>2400</v>
      </c>
      <c r="C62" s="80" t="n">
        <v>0.6</v>
      </c>
      <c r="D62" s="80" t="n">
        <v>1</v>
      </c>
      <c r="H62" s="59" t="s">
        <v>132</v>
      </c>
      <c r="I62" s="65"/>
    </row>
    <row r="63" customFormat="false" ht="15" hidden="false" customHeight="false" outlineLevel="0" collapsed="false">
      <c r="A63" s="61" t="s">
        <v>2397</v>
      </c>
      <c r="C63" s="67" t="n">
        <v>0.5</v>
      </c>
      <c r="D63" s="67" t="n">
        <v>1</v>
      </c>
      <c r="H63" s="59" t="s">
        <v>132</v>
      </c>
      <c r="I63" s="65"/>
    </row>
    <row r="64" customFormat="false" ht="15" hidden="false" customHeight="false" outlineLevel="0" collapsed="false">
      <c r="A64" s="61" t="s">
        <v>2444</v>
      </c>
      <c r="C64" s="80" t="n">
        <v>0.5</v>
      </c>
      <c r="D64" s="80" t="n">
        <v>1</v>
      </c>
      <c r="H64" s="59" t="s">
        <v>132</v>
      </c>
      <c r="I64" s="65"/>
    </row>
    <row r="65" customFormat="false" ht="15" hidden="false" customHeight="false" outlineLevel="0" collapsed="false">
      <c r="A65" s="61" t="s">
        <v>2445</v>
      </c>
      <c r="C65" s="80" t="n">
        <v>1</v>
      </c>
      <c r="D65" s="80" t="n">
        <v>4</v>
      </c>
      <c r="H65" s="59" t="s">
        <v>132</v>
      </c>
      <c r="I65" s="59" t="s">
        <v>2446</v>
      </c>
    </row>
    <row r="66" customFormat="false" ht="15" hidden="false" customHeight="false" outlineLevel="0" collapsed="false">
      <c r="A66" s="61" t="s">
        <v>2409</v>
      </c>
      <c r="C66" s="148" t="n">
        <v>0.0833333333333333</v>
      </c>
      <c r="D66" s="148" t="n">
        <v>2</v>
      </c>
      <c r="H66" s="59" t="s">
        <v>132</v>
      </c>
      <c r="I66" s="59" t="s">
        <v>1455</v>
      </c>
    </row>
    <row r="68" customFormat="false" ht="15" hidden="false" customHeight="false" outlineLevel="0" collapsed="false">
      <c r="A68" s="77" t="s">
        <v>2447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2448</v>
      </c>
      <c r="B69" s="60" t="s">
        <v>113</v>
      </c>
      <c r="C69" s="60" t="s">
        <v>2449</v>
      </c>
      <c r="D69" s="60" t="s">
        <v>2450</v>
      </c>
      <c r="E69" s="10" t="s">
        <v>2451</v>
      </c>
      <c r="H69" s="60" t="s">
        <v>117</v>
      </c>
      <c r="I69" s="60" t="s">
        <v>118</v>
      </c>
    </row>
    <row r="70" customFormat="false" ht="39.55" hidden="false" customHeight="false" outlineLevel="0" collapsed="false">
      <c r="A70" s="6" t="s">
        <v>2452</v>
      </c>
      <c r="C70" s="112" t="n">
        <f aca="false">SRC_HAR_003</f>
        <v>0.627</v>
      </c>
      <c r="D70" s="63" t="n">
        <f aca="false">SRC_HAR_004</f>
        <v>26098</v>
      </c>
      <c r="H70" s="88" t="s">
        <v>2453</v>
      </c>
      <c r="I70" s="88" t="s">
        <v>2454</v>
      </c>
    </row>
    <row r="71" customFormat="false" ht="29.85" hidden="false" customHeight="false" outlineLevel="0" collapsed="false">
      <c r="A71" s="6" t="s">
        <v>2455</v>
      </c>
      <c r="C71" s="112" t="n">
        <f aca="false">SRC_HAR_005</f>
        <v>0.986</v>
      </c>
      <c r="D71" s="63" t="n">
        <f aca="false">SRC_HAR_006</f>
        <v>17332</v>
      </c>
      <c r="H71" s="88" t="s">
        <v>2456</v>
      </c>
      <c r="I71" s="88" t="s">
        <v>2454</v>
      </c>
    </row>
    <row r="72" customFormat="false" ht="29.85" hidden="false" customHeight="false" outlineLevel="0" collapsed="false">
      <c r="A72" s="6" t="s">
        <v>2457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2456</v>
      </c>
      <c r="I72" s="88" t="s">
        <v>2458</v>
      </c>
      <c r="J72" s="65" t="s">
        <v>2459</v>
      </c>
    </row>
    <row r="73" customFormat="false" ht="26.85" hidden="false" customHeight="false" outlineLevel="0" collapsed="false">
      <c r="A73" s="6" t="s">
        <v>2460</v>
      </c>
      <c r="C73" s="112" t="n">
        <f aca="false">SRC_HAR_012</f>
        <v>0.302</v>
      </c>
      <c r="H73" s="88" t="s">
        <v>2456</v>
      </c>
      <c r="I73" s="88" t="s">
        <v>2454</v>
      </c>
      <c r="J73" s="65" t="s">
        <v>2461</v>
      </c>
    </row>
    <row r="74" customFormat="false" ht="24.6" hidden="false" customHeight="false" outlineLevel="0" collapsed="false">
      <c r="A74" s="6" t="s">
        <v>2462</v>
      </c>
      <c r="C74" s="112" t="n">
        <f aca="false">SRC_HAR_015</f>
        <v>1</v>
      </c>
      <c r="H74" s="88" t="s">
        <v>2463</v>
      </c>
      <c r="I74" s="88" t="s">
        <v>2464</v>
      </c>
      <c r="J74" s="65" t="s">
        <v>2465</v>
      </c>
    </row>
    <row r="75" customFormat="false" ht="26.85" hidden="false" customHeight="false" outlineLevel="0" collapsed="false">
      <c r="A75" s="6" t="s">
        <v>2466</v>
      </c>
      <c r="E75" s="97" t="n">
        <f aca="false">SRC_HAR_002/SRC_HAR_001</f>
        <v>3.75</v>
      </c>
      <c r="H75" s="88" t="s">
        <v>2467</v>
      </c>
      <c r="I75" s="88" t="s">
        <v>2468</v>
      </c>
      <c r="J75" s="65" t="s">
        <v>2469</v>
      </c>
    </row>
    <row r="76" customFormat="false" ht="15" hidden="false" customHeight="false" outlineLevel="0" collapsed="false">
      <c r="A76" s="10" t="s">
        <v>2470</v>
      </c>
      <c r="B76" s="60"/>
      <c r="C76" s="10" t="s">
        <v>2471</v>
      </c>
      <c r="D76" s="10" t="s">
        <v>2472</v>
      </c>
      <c r="E76" s="60" t="s">
        <v>2473</v>
      </c>
      <c r="F76" s="60" t="s">
        <v>2474</v>
      </c>
      <c r="H76" s="60" t="s">
        <v>117</v>
      </c>
      <c r="I76" s="60" t="s">
        <v>516</v>
      </c>
    </row>
    <row r="77" customFormat="false" ht="17.15" hidden="false" customHeight="false" outlineLevel="0" collapsed="false">
      <c r="A77" s="62" t="s">
        <v>2475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2476</v>
      </c>
      <c r="I77" s="59" t="s">
        <v>2477</v>
      </c>
      <c r="J77" s="76" t="s">
        <v>2478</v>
      </c>
    </row>
    <row r="78" customFormat="false" ht="17.15" hidden="false" customHeight="false" outlineLevel="0" collapsed="false">
      <c r="A78" s="62" t="s">
        <v>2479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2476</v>
      </c>
      <c r="I78" s="59" t="s">
        <v>2477</v>
      </c>
      <c r="J78" s="76" t="s">
        <v>2480</v>
      </c>
    </row>
    <row r="79" customFormat="false" ht="17.15" hidden="false" customHeight="false" outlineLevel="0" collapsed="false">
      <c r="A79" s="62" t="s">
        <v>2481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2476</v>
      </c>
      <c r="I79" s="59" t="s">
        <v>2477</v>
      </c>
      <c r="J79" s="76" t="s">
        <v>2480</v>
      </c>
    </row>
    <row r="80" customFormat="false" ht="17.15" hidden="false" customHeight="false" outlineLevel="0" collapsed="false">
      <c r="A80" s="62" t="s">
        <v>2482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2476</v>
      </c>
      <c r="I80" s="59" t="s">
        <v>2477</v>
      </c>
      <c r="J80" s="76" t="s">
        <v>2480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2483</v>
      </c>
    </row>
    <row r="2" customFormat="false" ht="15" hidden="false" customHeight="false" outlineLevel="0" collapsed="false">
      <c r="A2" s="65" t="s">
        <v>2484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415</v>
      </c>
      <c r="B4" s="60" t="s">
        <v>113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2485</v>
      </c>
    </row>
    <row r="5" customFormat="false" ht="15" hidden="false" customHeight="false" outlineLevel="0" collapsed="false">
      <c r="A5" s="77" t="s">
        <v>2486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2487</v>
      </c>
    </row>
    <row r="7" customFormat="false" ht="15" hidden="false" customHeight="false" outlineLevel="0" collapsed="false">
      <c r="A7" s="5" t="s">
        <v>435</v>
      </c>
      <c r="B7" s="61" t="s">
        <v>436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2488</v>
      </c>
      <c r="B8" s="62" t="s">
        <v>337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2397</v>
      </c>
      <c r="B9" s="62" t="s">
        <v>131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2489</v>
      </c>
      <c r="B10" s="62" t="s">
        <v>131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2490</v>
      </c>
      <c r="B11" s="61" t="s">
        <v>374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2444</v>
      </c>
      <c r="B12" s="62" t="s">
        <v>136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462</v>
      </c>
      <c r="B13" s="62" t="s">
        <v>337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463</v>
      </c>
      <c r="B14" s="62" t="s">
        <v>337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2491</v>
      </c>
      <c r="B15" s="62" t="s">
        <v>337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2492</v>
      </c>
      <c r="B16" s="62" t="s">
        <v>337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2493</v>
      </c>
      <c r="B17" s="62" t="s">
        <v>136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468</v>
      </c>
      <c r="B18" s="62" t="s">
        <v>337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469</v>
      </c>
      <c r="B19" s="62" t="s">
        <v>337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470</v>
      </c>
      <c r="B20" s="62" t="s">
        <v>337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471</v>
      </c>
      <c r="B21" s="62" t="s">
        <v>337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2494</v>
      </c>
    </row>
    <row r="24" customFormat="false" ht="15" hidden="false" customHeight="false" outlineLevel="0" collapsed="false">
      <c r="A24" s="5" t="s">
        <v>435</v>
      </c>
      <c r="B24" s="61" t="s">
        <v>436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2488</v>
      </c>
      <c r="B25" s="62" t="s">
        <v>337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2397</v>
      </c>
      <c r="B26" s="62" t="s">
        <v>131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2489</v>
      </c>
      <c r="B27" s="62" t="s">
        <v>131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2490</v>
      </c>
      <c r="B28" s="61" t="s">
        <v>374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2444</v>
      </c>
      <c r="B29" s="62" t="s">
        <v>136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462</v>
      </c>
      <c r="B30" s="62" t="s">
        <v>337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463</v>
      </c>
      <c r="B31" s="62" t="s">
        <v>337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2491</v>
      </c>
      <c r="B32" s="62" t="s">
        <v>337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2492</v>
      </c>
      <c r="B33" s="62" t="s">
        <v>337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2493</v>
      </c>
      <c r="B34" s="62" t="s">
        <v>136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468</v>
      </c>
      <c r="B35" s="62" t="s">
        <v>337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469</v>
      </c>
      <c r="B36" s="62" t="s">
        <v>337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470</v>
      </c>
      <c r="B37" s="62" t="s">
        <v>337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471</v>
      </c>
      <c r="B38" s="62" t="s">
        <v>337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2495</v>
      </c>
    </row>
    <row r="41" customFormat="false" ht="15" hidden="false" customHeight="false" outlineLevel="0" collapsed="false">
      <c r="A41" s="5" t="s">
        <v>468</v>
      </c>
      <c r="B41" s="62" t="s">
        <v>337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469</v>
      </c>
      <c r="B42" s="62" t="s">
        <v>337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470</v>
      </c>
      <c r="B43" s="62" t="s">
        <v>337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482</v>
      </c>
    </row>
    <row r="45" customFormat="false" ht="15" hidden="false" customHeight="false" outlineLevel="0" collapsed="false">
      <c r="A45" s="5" t="s">
        <v>2496</v>
      </c>
      <c r="B45" s="62" t="s">
        <v>136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2497</v>
      </c>
    </row>
    <row r="47" customFormat="false" ht="15" hidden="false" customHeight="false" outlineLevel="0" collapsed="false">
      <c r="A47" s="77" t="s">
        <v>2498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2499</v>
      </c>
      <c r="B48" s="62" t="s">
        <v>1455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2500</v>
      </c>
      <c r="B49" s="62" t="s">
        <v>1455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2501</v>
      </c>
      <c r="B50" s="62" t="s">
        <v>1455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2502</v>
      </c>
      <c r="B51" s="62" t="s">
        <v>136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2503</v>
      </c>
      <c r="B52" s="62" t="s">
        <v>136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2504</v>
      </c>
      <c r="B53" s="62" t="s">
        <v>136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2505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2506</v>
      </c>
      <c r="B56" s="62" t="s">
        <v>131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2507</v>
      </c>
      <c r="B57" s="62" t="s">
        <v>131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2508</v>
      </c>
      <c r="B58" s="62" t="s">
        <v>131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2509</v>
      </c>
      <c r="B59" s="62" t="s">
        <v>131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2510</v>
      </c>
      <c r="B60" s="62" t="s">
        <v>131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2511</v>
      </c>
      <c r="B61" s="62" t="s">
        <v>131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2512</v>
      </c>
      <c r="B62" s="62" t="s">
        <v>131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2513</v>
      </c>
      <c r="B63" s="62" t="s">
        <v>131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2514</v>
      </c>
      <c r="B64" s="62" t="s">
        <v>131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2515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2516</v>
      </c>
      <c r="B67" s="62" t="s">
        <v>2517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2518</v>
      </c>
      <c r="B68" s="62" t="s">
        <v>2517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2519</v>
      </c>
      <c r="B69" s="62" t="s">
        <v>2517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2520</v>
      </c>
      <c r="B70" s="62" t="s">
        <v>2517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2521</v>
      </c>
      <c r="B71" s="62" t="s">
        <v>2517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2522</v>
      </c>
      <c r="B72" s="62" t="s">
        <v>2517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2523</v>
      </c>
      <c r="B73" s="62" t="s">
        <v>2517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2524</v>
      </c>
      <c r="B74" s="62" t="s">
        <v>2517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2525</v>
      </c>
      <c r="B75" s="62" t="s">
        <v>2517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2526</v>
      </c>
      <c r="B76" s="62" t="s">
        <v>2517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2527</v>
      </c>
    </row>
    <row r="77" customFormat="false" ht="15" hidden="false" customHeight="false" outlineLevel="0" collapsed="false">
      <c r="A77" s="5" t="s">
        <v>2528</v>
      </c>
      <c r="B77" s="62" t="s">
        <v>2517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2529</v>
      </c>
      <c r="B78" s="62" t="s">
        <v>2517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2530</v>
      </c>
    </row>
    <row r="79" customFormat="false" ht="15" hidden="false" customHeight="false" outlineLevel="0" collapsed="false">
      <c r="A79" s="5" t="s">
        <v>2531</v>
      </c>
      <c r="B79" s="62" t="s">
        <v>2517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2532</v>
      </c>
    </row>
    <row r="80" customFormat="false" ht="15" hidden="false" customHeight="false" outlineLevel="0" collapsed="false">
      <c r="A80" s="5" t="s">
        <v>2533</v>
      </c>
      <c r="B80" s="62" t="s">
        <v>2517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2534</v>
      </c>
      <c r="B81" s="62" t="s">
        <v>2517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2535</v>
      </c>
    </row>
    <row r="82" customFormat="false" ht="15" hidden="false" customHeight="false" outlineLevel="0" collapsed="false">
      <c r="A82" s="5" t="s">
        <v>2536</v>
      </c>
      <c r="B82" s="62" t="s">
        <v>2517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2537</v>
      </c>
    </row>
    <row r="83" customFormat="false" ht="15" hidden="false" customHeight="false" outlineLevel="0" collapsed="false">
      <c r="A83" s="5" t="s">
        <v>2538</v>
      </c>
      <c r="B83" s="62" t="s">
        <v>2517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2539</v>
      </c>
      <c r="B84" s="62" t="s">
        <v>2517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2540</v>
      </c>
    </row>
    <row r="86" customFormat="false" ht="15" hidden="false" customHeight="false" outlineLevel="0" collapsed="false">
      <c r="A86" s="77" t="s">
        <v>2541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2542</v>
      </c>
      <c r="B87" s="62" t="s">
        <v>2517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2543</v>
      </c>
      <c r="B88" s="62" t="s">
        <v>2517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2544</v>
      </c>
      <c r="B89" s="62" t="s">
        <v>2517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2545</v>
      </c>
      <c r="B90" s="62" t="s">
        <v>2517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2546</v>
      </c>
      <c r="B91" s="62" t="s">
        <v>2517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2547</v>
      </c>
      <c r="B92" s="62" t="s">
        <v>2517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2548</v>
      </c>
      <c r="B93" s="62" t="s">
        <v>2517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2549</v>
      </c>
      <c r="B94" s="62" t="s">
        <v>2517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2550</v>
      </c>
      <c r="B95" s="62" t="s">
        <v>2517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2551</v>
      </c>
      <c r="B96" s="62" t="s">
        <v>2517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2552</v>
      </c>
    </row>
    <row r="97" customFormat="false" ht="29.85" hidden="false" customHeight="false" outlineLevel="0" collapsed="false">
      <c r="A97" s="5" t="s">
        <v>2553</v>
      </c>
      <c r="B97" s="62" t="s">
        <v>2517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2554</v>
      </c>
      <c r="B98" s="62" t="s">
        <v>2517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2555</v>
      </c>
    </row>
    <row r="99" customFormat="false" ht="15" hidden="false" customHeight="false" outlineLevel="0" collapsed="false">
      <c r="A99" s="5" t="s">
        <v>2556</v>
      </c>
      <c r="B99" s="62" t="s">
        <v>2517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2557</v>
      </c>
    </row>
    <row r="100" customFormat="false" ht="15" hidden="false" customHeight="false" outlineLevel="0" collapsed="false">
      <c r="A100" s="5" t="s">
        <v>2558</v>
      </c>
      <c r="B100" s="62" t="s">
        <v>2517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2559</v>
      </c>
      <c r="B101" s="62" t="s">
        <v>2517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2560</v>
      </c>
    </row>
    <row r="102" customFormat="false" ht="15" hidden="false" customHeight="false" outlineLevel="0" collapsed="false">
      <c r="A102" s="5" t="s">
        <v>2561</v>
      </c>
      <c r="B102" s="62" t="s">
        <v>2517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2562</v>
      </c>
    </row>
    <row r="103" customFormat="false" ht="29.85" hidden="false" customHeight="false" outlineLevel="0" collapsed="false">
      <c r="A103" s="5" t="s">
        <v>2563</v>
      </c>
      <c r="B103" s="62" t="s">
        <v>2517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2564</v>
      </c>
      <c r="B104" s="62" t="s">
        <v>2517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2565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2566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2567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2568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2569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2570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2571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2572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2573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2574</v>
      </c>
    </row>
    <row r="115" customFormat="false" ht="15" hidden="false" customHeight="false" outlineLevel="0" collapsed="false">
      <c r="A115" s="77" t="s">
        <v>2575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2576</v>
      </c>
    </row>
    <row r="117" customFormat="false" ht="15" hidden="false" customHeight="false" outlineLevel="0" collapsed="false">
      <c r="A117" s="5" t="s">
        <v>2577</v>
      </c>
      <c r="B117" s="62" t="s">
        <v>2517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2578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2579</v>
      </c>
    </row>
    <row r="120" customFormat="false" ht="15" hidden="false" customHeight="false" outlineLevel="0" collapsed="false">
      <c r="A120" s="5" t="s">
        <v>2580</v>
      </c>
      <c r="B120" s="62" t="s">
        <v>2517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2581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2582</v>
      </c>
    </row>
    <row r="123" customFormat="false" ht="15" hidden="false" customHeight="false" outlineLevel="0" collapsed="false">
      <c r="A123" s="5" t="s">
        <v>2583</v>
      </c>
      <c r="B123" s="62" t="s">
        <v>2517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2584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2585</v>
      </c>
    </row>
    <row r="126" customFormat="false" ht="15" hidden="false" customHeight="false" outlineLevel="0" collapsed="false">
      <c r="A126" s="5" t="s">
        <v>2586</v>
      </c>
      <c r="B126" s="62" t="s">
        <v>2517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2587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2588</v>
      </c>
    </row>
    <row r="129" customFormat="false" ht="15" hidden="false" customHeight="false" outlineLevel="0" collapsed="false">
      <c r="A129" s="5" t="s">
        <v>2589</v>
      </c>
      <c r="B129" s="62" t="s">
        <v>2517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2590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2591</v>
      </c>
    </row>
    <row r="132" customFormat="false" ht="15" hidden="false" customHeight="false" outlineLevel="0" collapsed="false">
      <c r="A132" s="5" t="s">
        <v>2592</v>
      </c>
      <c r="B132" s="62" t="s">
        <v>2517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2593</v>
      </c>
    </row>
    <row r="135" customFormat="false" ht="15" hidden="false" customHeight="false" outlineLevel="0" collapsed="false">
      <c r="A135" s="77" t="s">
        <v>2594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2595</v>
      </c>
      <c r="B136" s="62" t="s">
        <v>136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2596</v>
      </c>
      <c r="B137" s="62" t="s">
        <v>136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2597</v>
      </c>
      <c r="B138" s="62" t="s">
        <v>136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2598</v>
      </c>
      <c r="B139" s="62" t="s">
        <v>136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2599</v>
      </c>
    </row>
    <row r="140" customFormat="false" ht="15" hidden="false" customHeight="false" outlineLevel="0" collapsed="false">
      <c r="A140" s="6" t="s">
        <v>2600</v>
      </c>
      <c r="B140" s="62" t="s">
        <v>136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2601</v>
      </c>
    </row>
    <row r="141" customFormat="false" ht="15" hidden="false" customHeight="false" outlineLevel="0" collapsed="false">
      <c r="A141" s="6" t="s">
        <v>2602</v>
      </c>
      <c r="B141" s="62" t="s">
        <v>136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2603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2604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2605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2606</v>
      </c>
    </row>
    <row r="146" customFormat="false" ht="15" hidden="false" customHeight="false" outlineLevel="0" collapsed="false">
      <c r="A146" s="77" t="s">
        <v>2607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2608</v>
      </c>
      <c r="B147" s="62" t="s">
        <v>2517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2609</v>
      </c>
    </row>
    <row r="148" customFormat="false" ht="15" hidden="false" customHeight="false" outlineLevel="0" collapsed="false">
      <c r="A148" s="5" t="s">
        <v>2610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2611</v>
      </c>
    </row>
    <row r="149" customFormat="false" ht="15" hidden="false" customHeight="false" outlineLevel="0" collapsed="false">
      <c r="A149" s="5" t="s">
        <v>2612</v>
      </c>
      <c r="B149" s="62" t="s">
        <v>2517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2613</v>
      </c>
    </row>
    <row r="150" customFormat="false" ht="15" hidden="false" customHeight="false" outlineLevel="0" collapsed="false">
      <c r="A150" s="5" t="s">
        <v>2614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2615</v>
      </c>
    </row>
    <row r="151" customFormat="false" ht="17.15" hidden="false" customHeight="false" outlineLevel="0" collapsed="false">
      <c r="A151" s="6" t="s">
        <v>2616</v>
      </c>
      <c r="B151" s="62" t="s">
        <v>2517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  <c r="I151" s="76" t="s">
        <v>2617</v>
      </c>
    </row>
    <row r="152" customFormat="false" ht="17.15" hidden="false" customHeight="false" outlineLevel="0" collapsed="false">
      <c r="A152" s="6" t="s">
        <v>2618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  <c r="I152" s="76" t="s">
        <v>2617</v>
      </c>
    </row>
    <row r="153" customFormat="false" ht="17.15" hidden="false" customHeight="false" outlineLevel="0" collapsed="false">
      <c r="A153" s="6" t="s">
        <v>2619</v>
      </c>
      <c r="B153" s="62" t="s">
        <v>131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  <c r="I153" s="76" t="s">
        <v>2617</v>
      </c>
    </row>
    <row r="154" customFormat="false" ht="15" hidden="false" customHeight="false" outlineLevel="0" collapsed="false">
      <c r="A154" s="6" t="s">
        <v>2620</v>
      </c>
      <c r="B154" s="62" t="s">
        <v>2517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2621</v>
      </c>
    </row>
    <row r="155" customFormat="false" ht="15" hidden="false" customHeight="false" outlineLevel="0" collapsed="false">
      <c r="A155" s="6" t="s">
        <v>2622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2623</v>
      </c>
    </row>
    <row r="156" customFormat="false" ht="15" hidden="false" customHeight="false" outlineLevel="0" collapsed="false">
      <c r="A156" s="6" t="s">
        <v>2624</v>
      </c>
      <c r="B156" s="62" t="s">
        <v>131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2625</v>
      </c>
    </row>
    <row r="157" customFormat="false" ht="15" hidden="false" customHeight="false" outlineLevel="0" collapsed="false">
      <c r="A157" s="65" t="s">
        <v>2626</v>
      </c>
    </row>
    <row r="159" customFormat="false" ht="15" hidden="false" customHeight="false" outlineLevel="0" collapsed="false">
      <c r="A159" s="77" t="s">
        <v>2627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2628</v>
      </c>
      <c r="B160" s="62" t="s">
        <v>1455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2629</v>
      </c>
      <c r="B161" s="62" t="s">
        <v>1455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2630</v>
      </c>
      <c r="B162" s="62" t="s">
        <v>1455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2631</v>
      </c>
    </row>
    <row r="2" customFormat="false" ht="15" hidden="false" customHeight="false" outlineLevel="0" collapsed="false">
      <c r="A2" s="65" t="s">
        <v>2632</v>
      </c>
    </row>
    <row r="4" customFormat="false" ht="42" hidden="false" customHeight="true" outlineLevel="0" collapsed="false">
      <c r="A4" s="60" t="s">
        <v>1028</v>
      </c>
      <c r="C4" s="84" t="s">
        <v>115</v>
      </c>
      <c r="D4" s="84" t="s">
        <v>2633</v>
      </c>
      <c r="E4" s="84" t="s">
        <v>2634</v>
      </c>
      <c r="F4" s="84" t="s">
        <v>2635</v>
      </c>
      <c r="G4" s="84" t="s">
        <v>2636</v>
      </c>
      <c r="H4" s="84" t="s">
        <v>2637</v>
      </c>
      <c r="I4" s="84" t="s">
        <v>2638</v>
      </c>
      <c r="J4" s="84" t="s">
        <v>2639</v>
      </c>
      <c r="K4" s="84" t="s">
        <v>2640</v>
      </c>
      <c r="L4" s="84" t="s">
        <v>2641</v>
      </c>
      <c r="M4" s="84" t="s">
        <v>2642</v>
      </c>
      <c r="N4" s="84" t="s">
        <v>2643</v>
      </c>
      <c r="O4" s="84" t="s">
        <v>2644</v>
      </c>
      <c r="P4" s="85" t="s">
        <v>2645</v>
      </c>
      <c r="Q4" s="85" t="s">
        <v>2646</v>
      </c>
      <c r="R4" s="85" t="s">
        <v>2647</v>
      </c>
      <c r="S4" s="85" t="s">
        <v>2648</v>
      </c>
    </row>
    <row r="5" customFormat="false" ht="15" hidden="false" customHeight="false" outlineLevel="0" collapsed="false">
      <c r="A5" s="61" t="s">
        <v>2395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2400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2397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2444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2649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2650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2651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2652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2653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2654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2655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2656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2657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2658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2659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2660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2661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2662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2663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2664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2665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2666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2667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2668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2669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2670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2671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2672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2673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2674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2675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2677</v>
      </c>
    </row>
    <row r="2" customFormat="false" ht="15" hidden="false" customHeight="false" outlineLevel="0" collapsed="false">
      <c r="A2" s="65" t="s">
        <v>2678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2679</v>
      </c>
      <c r="B4" s="84" t="s">
        <v>113</v>
      </c>
      <c r="C4" s="84" t="s">
        <v>115</v>
      </c>
      <c r="D4" s="84" t="s">
        <v>1440</v>
      </c>
      <c r="E4" s="84" t="s">
        <v>1441</v>
      </c>
      <c r="F4" s="84" t="s">
        <v>117</v>
      </c>
      <c r="G4" s="84" t="s">
        <v>2680</v>
      </c>
    </row>
    <row r="5" customFormat="false" ht="15" hidden="false" customHeight="false" outlineLevel="0" collapsed="false">
      <c r="A5" s="61" t="s">
        <v>2681</v>
      </c>
      <c r="B5" s="61" t="s">
        <v>126</v>
      </c>
      <c r="C5" s="175" t="s">
        <v>1506</v>
      </c>
      <c r="D5" s="62" t="s">
        <v>814</v>
      </c>
      <c r="E5" s="62" t="s">
        <v>814</v>
      </c>
      <c r="F5" s="62" t="s">
        <v>122</v>
      </c>
      <c r="G5" s="88" t="s">
        <v>2682</v>
      </c>
    </row>
    <row r="6" customFormat="false" ht="15" hidden="false" customHeight="false" outlineLevel="0" collapsed="false">
      <c r="A6" s="61" t="s">
        <v>2683</v>
      </c>
      <c r="B6" s="61" t="s">
        <v>2684</v>
      </c>
      <c r="C6" s="176" t="n">
        <v>1</v>
      </c>
      <c r="D6" s="79" t="n">
        <v>1</v>
      </c>
      <c r="E6" s="79" t="n">
        <v>2</v>
      </c>
      <c r="F6" s="62" t="s">
        <v>132</v>
      </c>
      <c r="G6" s="88" t="s">
        <v>2685</v>
      </c>
    </row>
    <row r="7" customFormat="false" ht="15" hidden="false" customHeight="false" outlineLevel="0" collapsed="false">
      <c r="A7" s="61" t="s">
        <v>2686</v>
      </c>
      <c r="B7" s="61" t="s">
        <v>2684</v>
      </c>
      <c r="C7" s="176" t="n">
        <v>2</v>
      </c>
      <c r="D7" s="79" t="n">
        <v>0</v>
      </c>
      <c r="E7" s="79" t="n">
        <v>6</v>
      </c>
      <c r="F7" s="62" t="s">
        <v>132</v>
      </c>
      <c r="G7" s="88" t="s">
        <v>2687</v>
      </c>
    </row>
    <row r="8" customFormat="false" ht="15" hidden="false" customHeight="false" outlineLevel="0" collapsed="false">
      <c r="A8" s="61" t="s">
        <v>2688</v>
      </c>
      <c r="B8" s="62" t="s">
        <v>136</v>
      </c>
      <c r="C8" s="176" t="n">
        <v>1</v>
      </c>
      <c r="D8" s="79" t="n">
        <v>0.5</v>
      </c>
      <c r="E8" s="79" t="n">
        <v>7</v>
      </c>
      <c r="F8" s="62" t="s">
        <v>132</v>
      </c>
      <c r="G8" s="88" t="s">
        <v>2689</v>
      </c>
    </row>
    <row r="9" customFormat="false" ht="39.55" hidden="false" customHeight="false" outlineLevel="0" collapsed="false">
      <c r="A9" s="61" t="s">
        <v>2690</v>
      </c>
      <c r="B9" s="62" t="s">
        <v>131</v>
      </c>
      <c r="C9" s="177" t="n">
        <v>0.6</v>
      </c>
      <c r="D9" s="67" t="n">
        <v>0.5</v>
      </c>
      <c r="E9" s="67" t="n">
        <v>0.7</v>
      </c>
      <c r="F9" s="62" t="s">
        <v>180</v>
      </c>
      <c r="G9" s="88" t="s">
        <v>2691</v>
      </c>
      <c r="H9" s="65" t="s">
        <v>2692</v>
      </c>
    </row>
    <row r="10" customFormat="false" ht="39.55" hidden="false" customHeight="false" outlineLevel="0" collapsed="false">
      <c r="A10" s="61" t="s">
        <v>2693</v>
      </c>
      <c r="B10" s="62" t="s">
        <v>131</v>
      </c>
      <c r="C10" s="177" t="n">
        <v>0.4</v>
      </c>
      <c r="D10" s="67" t="n">
        <v>0.25</v>
      </c>
      <c r="E10" s="67" t="n">
        <v>0.4</v>
      </c>
      <c r="F10" s="62" t="s">
        <v>180</v>
      </c>
      <c r="G10" s="88" t="s">
        <v>2694</v>
      </c>
      <c r="H10" s="65" t="s">
        <v>2695</v>
      </c>
    </row>
    <row r="11" customFormat="false" ht="39.55" hidden="false" customHeight="false" outlineLevel="0" collapsed="false">
      <c r="A11" s="61" t="s">
        <v>2696</v>
      </c>
      <c r="B11" s="62" t="s">
        <v>131</v>
      </c>
      <c r="C11" s="177" t="n">
        <v>0</v>
      </c>
      <c r="D11" s="67" t="n">
        <v>0</v>
      </c>
      <c r="E11" s="67" t="n">
        <v>0.1</v>
      </c>
      <c r="F11" s="62" t="s">
        <v>180</v>
      </c>
      <c r="G11" s="88" t="s">
        <v>2697</v>
      </c>
      <c r="H11" s="65" t="s">
        <v>2698</v>
      </c>
    </row>
    <row r="12" customFormat="false" ht="39.55" hidden="false" customHeight="false" outlineLevel="0" collapsed="false">
      <c r="A12" s="61" t="s">
        <v>2699</v>
      </c>
      <c r="B12" s="62" t="s">
        <v>131</v>
      </c>
      <c r="C12" s="177" t="n">
        <v>0</v>
      </c>
      <c r="D12" s="67" t="n">
        <v>0</v>
      </c>
      <c r="E12" s="67" t="n">
        <v>0</v>
      </c>
      <c r="F12" s="62" t="s">
        <v>180</v>
      </c>
      <c r="G12" s="88" t="s">
        <v>2700</v>
      </c>
      <c r="H12" s="65" t="s">
        <v>2701</v>
      </c>
    </row>
    <row r="13" customFormat="false" ht="15" hidden="false" customHeight="false" outlineLevel="0" collapsed="false">
      <c r="A13" s="61" t="s">
        <v>2702</v>
      </c>
      <c r="B13" s="62" t="s">
        <v>131</v>
      </c>
      <c r="C13" s="177" t="n">
        <v>0</v>
      </c>
      <c r="D13" s="67" t="n">
        <v>0</v>
      </c>
      <c r="E13" s="67" t="n">
        <v>1</v>
      </c>
      <c r="F13" s="62" t="s">
        <v>2703</v>
      </c>
      <c r="G13" s="88" t="s">
        <v>2704</v>
      </c>
      <c r="H13" s="65" t="s">
        <v>1446</v>
      </c>
    </row>
    <row r="14" customFormat="false" ht="15" hidden="false" customHeight="false" outlineLevel="0" collapsed="false">
      <c r="A14" s="62" t="s">
        <v>2705</v>
      </c>
      <c r="B14" s="62" t="s">
        <v>136</v>
      </c>
      <c r="C14" s="176" t="n">
        <v>0.75</v>
      </c>
      <c r="D14" s="79" t="n">
        <v>0.6</v>
      </c>
      <c r="E14" s="79" t="n">
        <v>0.9</v>
      </c>
      <c r="F14" s="62" t="s">
        <v>132</v>
      </c>
      <c r="G14" s="88" t="s">
        <v>2706</v>
      </c>
    </row>
    <row r="15" customFormat="false" ht="64.9" hidden="false" customHeight="false" outlineLevel="0" collapsed="false">
      <c r="A15" s="61" t="s">
        <v>2707</v>
      </c>
      <c r="B15" s="62" t="s">
        <v>337</v>
      </c>
      <c r="C15" s="178" t="n">
        <v>4000</v>
      </c>
      <c r="D15" s="64" t="n">
        <v>2000</v>
      </c>
      <c r="E15" s="64" t="n">
        <v>11000</v>
      </c>
      <c r="F15" s="62" t="s">
        <v>132</v>
      </c>
      <c r="G15" s="88" t="s">
        <v>2708</v>
      </c>
    </row>
    <row r="16" customFormat="false" ht="26.85" hidden="false" customHeight="false" outlineLevel="0" collapsed="false">
      <c r="A16" s="62" t="s">
        <v>2709</v>
      </c>
      <c r="B16" s="62" t="s">
        <v>131</v>
      </c>
      <c r="C16" s="177" t="n">
        <v>0.6</v>
      </c>
      <c r="D16" s="67" t="n">
        <v>0.4</v>
      </c>
      <c r="E16" s="67" t="n">
        <v>0.8</v>
      </c>
      <c r="F16" s="62" t="s">
        <v>132</v>
      </c>
      <c r="G16" s="93" t="s">
        <v>2710</v>
      </c>
    </row>
    <row r="18" customFormat="false" ht="15" hidden="false" customHeight="false" outlineLevel="0" collapsed="false">
      <c r="A18" s="60" t="s">
        <v>2711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2712</v>
      </c>
    </row>
    <row r="22" customFormat="false" ht="15" hidden="false" customHeight="false" outlineLevel="0" collapsed="false">
      <c r="A22" s="77" t="s">
        <v>2713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2714</v>
      </c>
      <c r="B23" s="62" t="s">
        <v>136</v>
      </c>
      <c r="C23" s="153" t="n">
        <v>0.85</v>
      </c>
      <c r="D23" s="80" t="n">
        <v>0.73</v>
      </c>
      <c r="E23" s="80" t="n">
        <v>1.17</v>
      </c>
      <c r="F23" s="62" t="s">
        <v>180</v>
      </c>
      <c r="G23" s="93" t="s">
        <v>2715</v>
      </c>
    </row>
    <row r="24" customFormat="false" ht="52.2" hidden="false" customHeight="false" outlineLevel="0" collapsed="false">
      <c r="A24" s="5" t="s">
        <v>2716</v>
      </c>
      <c r="B24" s="62" t="s">
        <v>136</v>
      </c>
      <c r="C24" s="153" t="n">
        <v>0.41</v>
      </c>
      <c r="D24" s="80" t="n">
        <v>0.3</v>
      </c>
      <c r="E24" s="80" t="n">
        <v>0.65</v>
      </c>
      <c r="F24" s="62" t="s">
        <v>132</v>
      </c>
      <c r="G24" s="93" t="s">
        <v>2717</v>
      </c>
    </row>
    <row r="25" customFormat="false" ht="29.85" hidden="false" customHeight="false" outlineLevel="0" collapsed="false">
      <c r="A25" s="5" t="s">
        <v>2718</v>
      </c>
      <c r="B25" s="62" t="s">
        <v>337</v>
      </c>
      <c r="C25" s="64" t="n">
        <v>2000</v>
      </c>
      <c r="D25" s="62" t="s">
        <v>814</v>
      </c>
      <c r="E25" s="62" t="s">
        <v>814</v>
      </c>
      <c r="F25" s="62" t="s">
        <v>2719</v>
      </c>
      <c r="G25" s="88" t="s">
        <v>2720</v>
      </c>
    </row>
    <row r="26" customFormat="false" ht="90.25" hidden="false" customHeight="false" outlineLevel="0" collapsed="false">
      <c r="A26" s="5" t="s">
        <v>2721</v>
      </c>
      <c r="B26" s="62" t="s">
        <v>136</v>
      </c>
      <c r="C26" s="153" t="n">
        <v>1</v>
      </c>
      <c r="D26" s="80" t="n">
        <v>0.65</v>
      </c>
      <c r="E26" s="80" t="n">
        <v>1.2</v>
      </c>
      <c r="F26" s="62" t="s">
        <v>180</v>
      </c>
      <c r="G26" s="88" t="s">
        <v>2722</v>
      </c>
    </row>
    <row r="28" customFormat="false" ht="15" hidden="false" customHeight="false" outlineLevel="0" collapsed="false">
      <c r="A28" s="10" t="s">
        <v>2723</v>
      </c>
    </row>
    <row r="29" customFormat="false" ht="64.9" hidden="false" customHeight="false" outlineLevel="0" collapsed="false">
      <c r="A29" s="5" t="s">
        <v>2724</v>
      </c>
      <c r="B29" s="62" t="s">
        <v>131</v>
      </c>
      <c r="C29" s="177" t="n">
        <v>0.6</v>
      </c>
      <c r="D29" s="67" t="n">
        <v>0.4</v>
      </c>
      <c r="E29" s="67" t="n">
        <v>0.75</v>
      </c>
      <c r="F29" s="62" t="s">
        <v>180</v>
      </c>
      <c r="G29" s="88" t="s">
        <v>2725</v>
      </c>
      <c r="H29" s="65" t="s">
        <v>2726</v>
      </c>
    </row>
    <row r="30" customFormat="false" ht="64.9" hidden="false" customHeight="false" outlineLevel="0" collapsed="false">
      <c r="A30" s="5" t="s">
        <v>2727</v>
      </c>
      <c r="B30" s="62" t="s">
        <v>131</v>
      </c>
      <c r="C30" s="177" t="n">
        <v>0.38</v>
      </c>
      <c r="D30" s="67" t="n">
        <v>0.25</v>
      </c>
      <c r="E30" s="67" t="n">
        <v>0.55</v>
      </c>
      <c r="F30" s="62" t="s">
        <v>180</v>
      </c>
      <c r="G30" s="88" t="s">
        <v>2725</v>
      </c>
      <c r="H30" s="65" t="s">
        <v>1446</v>
      </c>
    </row>
    <row r="31" customFormat="false" ht="64.9" hidden="false" customHeight="false" outlineLevel="0" collapsed="false">
      <c r="A31" s="5" t="s">
        <v>2728</v>
      </c>
      <c r="B31" s="62" t="s">
        <v>131</v>
      </c>
      <c r="C31" s="177" t="n">
        <v>0.02</v>
      </c>
      <c r="D31" s="67" t="n">
        <v>0</v>
      </c>
      <c r="E31" s="67" t="n">
        <v>0.05</v>
      </c>
      <c r="F31" s="62" t="s">
        <v>180</v>
      </c>
      <c r="G31" s="88" t="s">
        <v>2725</v>
      </c>
      <c r="H31" s="65" t="s">
        <v>1446</v>
      </c>
    </row>
    <row r="32" customFormat="false" ht="64.9" hidden="false" customHeight="false" outlineLevel="0" collapsed="false">
      <c r="A32" s="5" t="s">
        <v>2729</v>
      </c>
      <c r="B32" s="62" t="s">
        <v>131</v>
      </c>
      <c r="C32" s="177" t="n">
        <v>0</v>
      </c>
      <c r="D32" s="67" t="n">
        <v>0</v>
      </c>
      <c r="E32" s="67" t="n">
        <v>0</v>
      </c>
      <c r="F32" s="62" t="s">
        <v>180</v>
      </c>
      <c r="G32" s="88" t="s">
        <v>2725</v>
      </c>
      <c r="H32" s="65" t="s">
        <v>1446</v>
      </c>
    </row>
    <row r="33" customFormat="false" ht="15" hidden="false" customHeight="false" outlineLevel="0" collapsed="false">
      <c r="A33" s="61" t="s">
        <v>2730</v>
      </c>
      <c r="C33" s="86" t="n">
        <f aca="false">AL_RDMixHopper+AL_RDMixGB200+AL_RDMixGB300+AL_RDMixVR200</f>
        <v>1</v>
      </c>
    </row>
    <row r="35" customFormat="false" ht="15" hidden="false" customHeight="false" outlineLevel="0" collapsed="false">
      <c r="A35" s="77" t="s">
        <v>2731</v>
      </c>
      <c r="B35" s="71"/>
      <c r="C35" s="71"/>
      <c r="D35" s="71"/>
      <c r="E35" s="71"/>
      <c r="F35" s="71"/>
      <c r="G35" s="71"/>
      <c r="H35" s="71"/>
      <c r="I35" s="71"/>
      <c r="J35" s="71"/>
    </row>
    <row r="36" customFormat="false" ht="44" hidden="false" customHeight="false" outlineLevel="0" collapsed="false">
      <c r="A36" s="84" t="s">
        <v>2732</v>
      </c>
      <c r="B36" s="84" t="s">
        <v>2733</v>
      </c>
      <c r="C36" s="84" t="s">
        <v>2734</v>
      </c>
      <c r="D36" s="84" t="s">
        <v>2735</v>
      </c>
      <c r="E36" s="84" t="s">
        <v>2736</v>
      </c>
      <c r="F36" s="84" t="s">
        <v>2737</v>
      </c>
      <c r="G36" s="84" t="s">
        <v>2738</v>
      </c>
      <c r="H36" s="85" t="s">
        <v>2739</v>
      </c>
      <c r="I36" s="84" t="s">
        <v>2740</v>
      </c>
    </row>
    <row r="37" customFormat="false" ht="15" hidden="false" customHeight="false" outlineLevel="0" collapsed="false">
      <c r="A37" s="61" t="s">
        <v>2741</v>
      </c>
      <c r="B37" s="61" t="n">
        <v>16384</v>
      </c>
      <c r="C37" s="61" t="n">
        <v>2048</v>
      </c>
      <c r="D37" s="66" t="n">
        <f aca="false">B4_CacheHit</f>
        <v>0.55</v>
      </c>
      <c r="E37" s="62" t="s">
        <v>814</v>
      </c>
      <c r="F37" s="157" t="n">
        <f aca="false">B37*((1-D37)*Sens_Perf!$C$101+D37*Sens_Perf!$C$102)/1000000+C37*Sens_Perf!$C$103/1000000</f>
        <v>0.531989007136475</v>
      </c>
      <c r="G37" s="69" t="n">
        <f aca="false">(B37+C37)/F37</f>
        <v>34647.332468792</v>
      </c>
      <c r="H37" s="179" t="s">
        <v>2742</v>
      </c>
      <c r="I37" s="69" t="s">
        <v>814</v>
      </c>
    </row>
    <row r="38" customFormat="false" ht="15" hidden="false" customHeight="false" outlineLevel="0" collapsed="false">
      <c r="A38" s="62" t="s">
        <v>2743</v>
      </c>
      <c r="B38" s="61" t="n">
        <v>6000</v>
      </c>
      <c r="C38" s="61" t="n">
        <v>400</v>
      </c>
      <c r="D38" s="61" t="n">
        <v>0.55</v>
      </c>
      <c r="E38" s="63" t="n">
        <f aca="false">AL_DAPI</f>
        <v>2365200000</v>
      </c>
      <c r="F38" s="157" t="n">
        <f aca="false">B38*((1-D38)*Sens_Perf!$C$101+D38*Sens_Perf!$C$102)/1000000+C38*Sens_Perf!$C$103/1000000</f>
        <v>0.119900186237538</v>
      </c>
      <c r="G38" s="69" t="n">
        <f aca="false">(B38+C38)/F38</f>
        <v>53377.731935468</v>
      </c>
      <c r="H38" s="107" t="n">
        <f aca="false">G38/$G$37</f>
        <v>1.54060148738859</v>
      </c>
      <c r="I38" s="69" t="n">
        <f aca="false">E38/H38</f>
        <v>1535244525.83072</v>
      </c>
    </row>
    <row r="39" customFormat="false" ht="15" hidden="false" customHeight="false" outlineLevel="0" collapsed="false">
      <c r="A39" s="62" t="s">
        <v>2744</v>
      </c>
      <c r="B39" s="61" t="n">
        <v>3500</v>
      </c>
      <c r="C39" s="61" t="n">
        <v>800</v>
      </c>
      <c r="D39" s="61" t="n">
        <v>0.8</v>
      </c>
      <c r="E39" s="63" t="n">
        <f aca="false">AL_DChatPaid</f>
        <v>1460000000</v>
      </c>
      <c r="F39" s="157" t="n">
        <f aca="false">B39*((1-D39)*Sens_Perf!$C$101+D39*Sens_Perf!$C$102)/1000000+C39*Sens_Perf!$C$103/1000000</f>
        <v>0.180209539997601</v>
      </c>
      <c r="G39" s="69" t="n">
        <f aca="false">(B39+C39)/F39</f>
        <v>23861.1119037163</v>
      </c>
      <c r="H39" s="107" t="n">
        <f aca="false">G39/$G$37</f>
        <v>0.688685396637932</v>
      </c>
      <c r="I39" s="69" t="n">
        <f aca="false">E39/H39</f>
        <v>2119981064.10782</v>
      </c>
    </row>
    <row r="40" customFormat="false" ht="15" hidden="false" customHeight="false" outlineLevel="0" collapsed="false">
      <c r="A40" s="62" t="s">
        <v>2745</v>
      </c>
      <c r="B40" s="61" t="n">
        <v>2000</v>
      </c>
      <c r="C40" s="61" t="n">
        <v>500</v>
      </c>
      <c r="D40" s="61" t="n">
        <v>0.8</v>
      </c>
      <c r="E40" s="63" t="n">
        <f aca="false">AL_DChatFree</f>
        <v>2190000000</v>
      </c>
      <c r="F40" s="157" t="n">
        <f aca="false">B40*((1-D40)*Sens_Perf!$C$101+D40*Sens_Perf!$C$102)/1000000+C40*Sens_Perf!$C$103/1000000</f>
        <v>0.112150758382989</v>
      </c>
      <c r="G40" s="69" t="n">
        <f aca="false">(B40+C40)/F40</f>
        <v>22291.4230455993</v>
      </c>
      <c r="H40" s="107" t="n">
        <f aca="false">G40/$G$37</f>
        <v>0.643380643103706</v>
      </c>
      <c r="I40" s="69" t="n">
        <f aca="false">E40/H40</f>
        <v>3403894760.39458</v>
      </c>
    </row>
    <row r="41" customFormat="false" ht="15" hidden="false" customHeight="false" outlineLevel="0" collapsed="false">
      <c r="A41" s="10" t="s">
        <v>2746</v>
      </c>
      <c r="H41" s="107" t="n">
        <f aca="false">SUM(E38:E40)/SUM(I38:I40)</f>
        <v>0.852117502107205</v>
      </c>
      <c r="I41" s="65" t="s">
        <v>2747</v>
      </c>
    </row>
    <row r="42" customFormat="false" ht="15" hidden="false" customHeight="false" outlineLevel="0" collapsed="false">
      <c r="A42" s="60" t="s">
        <v>2748</v>
      </c>
      <c r="H42" s="105" t="n">
        <f aca="false">IF(AND(H41&gt;=AL_Kappa_Lo,H41&lt;=AL_Kappa_Hi),1,0)</f>
        <v>1</v>
      </c>
    </row>
    <row r="43" customFormat="false" ht="15" hidden="false" customHeight="false" outlineLevel="0" collapsed="false">
      <c r="A43" s="65" t="s">
        <v>2749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2750</v>
      </c>
    </row>
    <row r="2" customFormat="false" ht="15" hidden="false" customHeight="false" outlineLevel="0" collapsed="false">
      <c r="A2" s="65" t="s">
        <v>2751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2752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2753</v>
      </c>
      <c r="B5" s="62" t="s">
        <v>998</v>
      </c>
      <c r="C5" s="69" t="n">
        <f aca="false">SRC_DEM_010*1000000000*525600*AL_APIratio/1000000</f>
        <v>2365200000</v>
      </c>
      <c r="G5" s="59" t="s">
        <v>2754</v>
      </c>
    </row>
    <row r="6" customFormat="false" ht="15" hidden="false" customHeight="false" outlineLevel="0" collapsed="false">
      <c r="A6" s="6" t="s">
        <v>2755</v>
      </c>
      <c r="B6" s="62" t="s">
        <v>998</v>
      </c>
      <c r="C6" s="69" t="n">
        <f aca="false">SRC_DEM_012*1000000000*AL_TokPerPrompt*365/1000000</f>
        <v>3650000000</v>
      </c>
      <c r="G6" s="59" t="s">
        <v>2756</v>
      </c>
    </row>
    <row r="7" customFormat="false" ht="15" hidden="false" customHeight="false" outlineLevel="0" collapsed="false">
      <c r="A7" s="6" t="s">
        <v>2757</v>
      </c>
      <c r="B7" s="62" t="s">
        <v>998</v>
      </c>
      <c r="C7" s="69" t="n">
        <f aca="false">AL_DChat*AL_FreeShare</f>
        <v>2190000000</v>
      </c>
      <c r="G7" s="59" t="s">
        <v>2758</v>
      </c>
    </row>
    <row r="8" customFormat="false" ht="15" hidden="false" customHeight="false" outlineLevel="0" collapsed="false">
      <c r="A8" s="6" t="s">
        <v>2759</v>
      </c>
      <c r="B8" s="62" t="s">
        <v>998</v>
      </c>
      <c r="C8" s="69" t="n">
        <f aca="false">AL_DChat-AL_DChatFree</f>
        <v>1460000000</v>
      </c>
      <c r="G8" s="59" t="s">
        <v>2760</v>
      </c>
    </row>
    <row r="9" customFormat="false" ht="15" hidden="false" customHeight="false" outlineLevel="0" collapsed="false">
      <c r="A9" s="5" t="s">
        <v>2761</v>
      </c>
      <c r="B9" s="62" t="s">
        <v>998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2762</v>
      </c>
      <c r="B10" s="62" t="s">
        <v>998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2763</v>
      </c>
      <c r="B11" s="62" t="s">
        <v>998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2764</v>
      </c>
      <c r="B12" s="62" t="s">
        <v>1613</v>
      </c>
      <c r="C12" s="73" t="n">
        <f aca="false">AL_D/365/1000000</f>
        <v>16.48</v>
      </c>
      <c r="G12" s="59" t="s">
        <v>2765</v>
      </c>
    </row>
    <row r="14" customFormat="false" ht="15" hidden="false" customHeight="false" outlineLevel="0" collapsed="false">
      <c r="A14" s="77" t="s">
        <v>2766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204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2767</v>
      </c>
    </row>
    <row r="16" customFormat="false" ht="15" hidden="false" customHeight="false" outlineLevel="0" collapsed="false">
      <c r="A16" s="5" t="s">
        <v>2768</v>
      </c>
      <c r="B16" s="61" t="s">
        <v>1167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2769</v>
      </c>
      <c r="B17" s="61" t="s">
        <v>1167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2770</v>
      </c>
    </row>
    <row r="18" customFormat="false" ht="15" hidden="false" customHeight="false" outlineLevel="0" collapsed="false">
      <c r="A18" s="5" t="s">
        <v>2771</v>
      </c>
      <c r="B18" s="62" t="s">
        <v>131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2772</v>
      </c>
      <c r="B19" s="61" t="s">
        <v>2187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2773</v>
      </c>
    </row>
    <row r="20" customFormat="false" ht="29.85" hidden="false" customHeight="false" outlineLevel="0" collapsed="false">
      <c r="A20" s="6" t="s">
        <v>2774</v>
      </c>
      <c r="B20" s="61" t="s">
        <v>2187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2775</v>
      </c>
      <c r="B21" s="61" t="s">
        <v>2187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2776</v>
      </c>
      <c r="B22" s="62" t="s">
        <v>131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2777</v>
      </c>
    </row>
    <row r="23" customFormat="false" ht="15" hidden="false" customHeight="false" outlineLevel="0" collapsed="false">
      <c r="A23" s="5" t="s">
        <v>2778</v>
      </c>
      <c r="B23" s="62" t="s">
        <v>131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2779</v>
      </c>
    </row>
    <row r="24" customFormat="false" ht="15" hidden="false" customHeight="false" outlineLevel="0" collapsed="false">
      <c r="A24" s="5" t="s">
        <v>2780</v>
      </c>
      <c r="B24" s="62" t="s">
        <v>131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2781</v>
      </c>
      <c r="Y24" s="65" t="s">
        <v>2782</v>
      </c>
    </row>
    <row r="25" customFormat="false" ht="15" hidden="false" customHeight="false" outlineLevel="0" collapsed="false">
      <c r="A25" s="5" t="s">
        <v>2783</v>
      </c>
      <c r="B25" s="62" t="s">
        <v>131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2784</v>
      </c>
    </row>
    <row r="26" customFormat="false" ht="29.85" hidden="false" customHeight="false" outlineLevel="0" collapsed="false">
      <c r="A26" s="5" t="s">
        <v>2785</v>
      </c>
      <c r="B26" s="61" t="s">
        <v>2187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2786</v>
      </c>
      <c r="B27" s="62" t="s">
        <v>2787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2788</v>
      </c>
    </row>
    <row r="28" customFormat="false" ht="15" hidden="false" customHeight="false" outlineLevel="0" collapsed="false">
      <c r="A28" s="6" t="s">
        <v>2789</v>
      </c>
      <c r="B28" s="62" t="s">
        <v>2787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2790</v>
      </c>
      <c r="B29" s="62" t="s">
        <v>1677</v>
      </c>
      <c r="C29" s="69" t="n">
        <f aca="false">IF(C26=1,IF_Util/C27,"SLO 不可達")</f>
        <v>15395391054.8974</v>
      </c>
      <c r="D29" s="69" t="n">
        <f aca="false">IF(D26=1,IF_Util/D27,"SLO 不可達")</f>
        <v>67191407765.9557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2791</v>
      </c>
    </row>
    <row r="30" customFormat="false" ht="15" hidden="false" customHeight="false" outlineLevel="0" collapsed="false">
      <c r="A30" s="5" t="s">
        <v>2792</v>
      </c>
      <c r="B30" s="62" t="s">
        <v>1677</v>
      </c>
      <c r="C30" s="69" t="n">
        <f aca="false">IF(C26=1,IF_Util/C28,"SLO 不可達")</f>
        <v>54582804988.7847</v>
      </c>
      <c r="D30" s="69" t="n">
        <f aca="false">IF(D26=1,IF_Util/D28,"SLO 不可達")</f>
        <v>240239726016.927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2793</v>
      </c>
    </row>
    <row r="31" customFormat="false" ht="15" hidden="false" customHeight="false" outlineLevel="0" collapsed="false">
      <c r="A31" s="5" t="s">
        <v>2794</v>
      </c>
      <c r="B31" s="62" t="s">
        <v>131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2795</v>
      </c>
    </row>
    <row r="32" customFormat="false" ht="15" hidden="false" customHeight="false" outlineLevel="0" collapsed="false">
      <c r="A32" s="5" t="s">
        <v>2796</v>
      </c>
      <c r="B32" s="62" t="s">
        <v>131</v>
      </c>
      <c r="C32" s="103" t="n">
        <f aca="false">SUM(C18:F18)-C31</f>
        <v>0</v>
      </c>
      <c r="Y32" s="65" t="s">
        <v>2797</v>
      </c>
    </row>
    <row r="33" customFormat="false" ht="29.85" hidden="false" customHeight="false" outlineLevel="0" collapsed="false">
      <c r="A33" s="5" t="s">
        <v>2798</v>
      </c>
      <c r="B33" s="62" t="s">
        <v>1677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2799</v>
      </c>
      <c r="B34" s="62" t="s">
        <v>1677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2800</v>
      </c>
      <c r="B35" s="62" t="s">
        <v>121</v>
      </c>
      <c r="C35" s="74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2801</v>
      </c>
      <c r="B36" s="62" t="s">
        <v>121</v>
      </c>
      <c r="C36" s="74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2802</v>
      </c>
      <c r="B37" s="62" t="s">
        <v>121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2803</v>
      </c>
      <c r="B38" s="62" t="s">
        <v>121</v>
      </c>
      <c r="C38" s="74" t="n">
        <f aca="false">IF(AL_ServeGW="整代不可達","整代不可達",IF(AND(ISNUMBER(AL_ServeGW),AL_GenShareOK&gt;0),AL_ServeGW*IF(C26=1,C18/AL_GenShareOK,0),"SLO 不可達"))</f>
        <v>0.0737506958947424</v>
      </c>
      <c r="D38" s="74" t="n">
        <f aca="false">IF(AL_ServeGW="整代不可達","整代不可達",IF(AND(ISNUMBER(AL_ServeGW),AL_GenShareOK&gt;0),AL_ServeGW*IF(D26=1,D18/AL_GenShareOK,0),"SLO 不可達"))</f>
        <v>0.0491671305964949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2804</v>
      </c>
    </row>
    <row r="39" customFormat="false" ht="15" hidden="false" customHeight="false" outlineLevel="0" collapsed="false">
      <c r="A39" s="5" t="s">
        <v>2805</v>
      </c>
      <c r="B39" s="62" t="s">
        <v>1930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2806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2807</v>
      </c>
      <c r="B42" s="61" t="s">
        <v>1167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2808</v>
      </c>
      <c r="B43" s="61" t="s">
        <v>1167</v>
      </c>
      <c r="C43" s="105" t="n">
        <f aca="false">3*(AL_TrainGen-1)+2</f>
        <v>11</v>
      </c>
      <c r="G43" s="76" t="s">
        <v>2809</v>
      </c>
    </row>
    <row r="44" customFormat="false" ht="15" hidden="false" customHeight="false" outlineLevel="0" collapsed="false">
      <c r="A44" s="60" t="s">
        <v>918</v>
      </c>
      <c r="C44" s="10" t="s">
        <v>306</v>
      </c>
      <c r="D44" s="10" t="s">
        <v>307</v>
      </c>
      <c r="E44" s="10" t="s">
        <v>308</v>
      </c>
      <c r="F44" s="60" t="s">
        <v>2810</v>
      </c>
    </row>
    <row r="45" customFormat="false" ht="15" hidden="false" customHeight="false" outlineLevel="0" collapsed="false">
      <c r="A45" s="5" t="s">
        <v>920</v>
      </c>
      <c r="B45" s="61" t="s">
        <v>1167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2811</v>
      </c>
      <c r="B46" s="62" t="s">
        <v>2812</v>
      </c>
      <c r="C46" s="74" t="n">
        <f aca="false">C138</f>
        <v>0.0048031261226561</v>
      </c>
      <c r="D46" s="74" t="n">
        <f aca="false">D138</f>
        <v>0.0146923629397871</v>
      </c>
      <c r="E46" s="74" t="n">
        <f aca="false">E138</f>
        <v>0.0934421135566879</v>
      </c>
      <c r="F46" s="74" t="n">
        <f aca="false">IF(COUNT(C46:E46)=3,SUM(C46:E46),"SLO 不可達")</f>
        <v>0.112937602619131</v>
      </c>
      <c r="G46" s="65" t="s">
        <v>2813</v>
      </c>
    </row>
    <row r="47" customFormat="false" ht="15" hidden="false" customHeight="false" outlineLevel="0" collapsed="false">
      <c r="A47" s="5" t="s">
        <v>2814</v>
      </c>
      <c r="B47" s="62" t="s">
        <v>1297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2815</v>
      </c>
      <c r="Y47" s="65" t="s">
        <v>2816</v>
      </c>
    </row>
    <row r="48" customFormat="false" ht="15" hidden="false" customHeight="false" outlineLevel="0" collapsed="false">
      <c r="A48" s="5" t="s">
        <v>2817</v>
      </c>
      <c r="B48" s="61" t="s">
        <v>931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2818</v>
      </c>
    </row>
    <row r="49" customFormat="false" ht="44" hidden="false" customHeight="false" outlineLevel="0" collapsed="false">
      <c r="A49" s="5" t="s">
        <v>2819</v>
      </c>
      <c r="B49" s="62" t="s">
        <v>2812</v>
      </c>
      <c r="C49" s="74" t="n">
        <f aca="false">C139</f>
        <v>0.000784115530100258</v>
      </c>
      <c r="D49" s="74" t="n">
        <f aca="false">D139</f>
        <v>0.00279276038679845</v>
      </c>
      <c r="E49" s="74" t="n">
        <f aca="false">E139</f>
        <v>0.0414277177934233</v>
      </c>
      <c r="F49" s="74" t="n">
        <f aca="false">IF(COUNT(C49:E49)=3,SUM(C49:E49),"SLO 不可達")</f>
        <v>0.045004593710322</v>
      </c>
      <c r="G49" s="65" t="s">
        <v>2820</v>
      </c>
    </row>
    <row r="50" customFormat="false" ht="29.85" hidden="false" customHeight="false" outlineLevel="0" collapsed="false">
      <c r="A50" s="5" t="s">
        <v>2821</v>
      </c>
      <c r="B50" s="62" t="s">
        <v>2812</v>
      </c>
      <c r="C50" s="152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2822</v>
      </c>
      <c r="B51" s="62" t="s">
        <v>2812</v>
      </c>
      <c r="C51" s="74" t="n">
        <f aca="false">IF(ISNUMBER(AL_RDGW),AL_RDGW*(1+AL_g),"SLO 不可達")</f>
        <v>0.202946790039775</v>
      </c>
      <c r="Y51" s="65" t="s">
        <v>2823</v>
      </c>
    </row>
    <row r="52" customFormat="false" ht="29.85" hidden="false" customHeight="false" outlineLevel="0" collapsed="false">
      <c r="A52" s="5" t="s">
        <v>2824</v>
      </c>
      <c r="B52" s="62" t="s">
        <v>1930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2825</v>
      </c>
      <c r="B53" s="62" t="s">
        <v>2262</v>
      </c>
      <c r="C53" s="107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2826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2827</v>
      </c>
      <c r="B56" s="62" t="s">
        <v>131</v>
      </c>
      <c r="C56" s="101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2828</v>
      </c>
      <c r="B57" s="62" t="s">
        <v>131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2829</v>
      </c>
      <c r="B58" s="62" t="s">
        <v>131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65" t="s">
        <v>2830</v>
      </c>
    </row>
    <row r="59" customFormat="false" ht="15" hidden="false" customHeight="false" outlineLevel="0" collapsed="false">
      <c r="A59" s="6" t="s">
        <v>2831</v>
      </c>
      <c r="B59" s="62" t="s">
        <v>131</v>
      </c>
      <c r="C59" s="103" t="n">
        <f aca="false">IF(AL_ServeGW="整代不可達","整代不可達",IF(AND(ISNUMBER(AL_ServeGWSpend),ISNUMBER(AL_RDGWg)),AL_RDGWg/(AL_RDGWg+AL_ServeGWSpend),"SLO 不可達"))</f>
        <v>0.184322317309608</v>
      </c>
      <c r="Y59" s="65" t="s">
        <v>2832</v>
      </c>
    </row>
    <row r="60" customFormat="false" ht="15" hidden="false" customHeight="false" outlineLevel="0" collapsed="false">
      <c r="A60" s="6" t="s">
        <v>2833</v>
      </c>
      <c r="B60" s="62" t="s">
        <v>131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65" t="s">
        <v>2834</v>
      </c>
    </row>
    <row r="61" customFormat="false" ht="15" hidden="false" customHeight="false" outlineLevel="0" collapsed="false">
      <c r="A61" s="6" t="s">
        <v>2835</v>
      </c>
      <c r="B61" s="61"/>
      <c r="C61" s="61" t="s">
        <v>2836</v>
      </c>
      <c r="G61" s="59" t="s">
        <v>2837</v>
      </c>
    </row>
    <row r="63" customFormat="false" ht="15" hidden="false" customHeight="false" outlineLevel="0" collapsed="false">
      <c r="A63" s="77" t="s">
        <v>2838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2839</v>
      </c>
      <c r="B64" s="62" t="s">
        <v>131</v>
      </c>
      <c r="C64" s="103" t="n">
        <f aca="false">SRC_DEM_006/(SRC_DEM_004+SRC_DEM_006)</f>
        <v>0.588235294117647</v>
      </c>
      <c r="G64" s="59" t="s">
        <v>2840</v>
      </c>
    </row>
    <row r="65" customFormat="false" ht="29.85" hidden="false" customHeight="false" outlineLevel="0" collapsed="false">
      <c r="A65" s="5" t="s">
        <v>2841</v>
      </c>
      <c r="B65" s="62" t="s">
        <v>121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2842</v>
      </c>
      <c r="B66" s="61" t="s">
        <v>374</v>
      </c>
      <c r="C66" s="104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2843</v>
      </c>
      <c r="B67" s="62" t="s">
        <v>136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65" t="s">
        <v>2844</v>
      </c>
      <c r="Y67" s="65" t="s">
        <v>2845</v>
      </c>
    </row>
    <row r="69" customFormat="false" ht="15" hidden="false" customHeight="false" outlineLevel="0" collapsed="false">
      <c r="A69" s="77" t="s">
        <v>2846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2847</v>
      </c>
      <c r="B70" s="62" t="s">
        <v>121</v>
      </c>
      <c r="C70" s="74" t="n">
        <f aca="false">SRC_DEM_004/SUMPRODUCT(AL_ShareGen,AL_HoldGen)</f>
        <v>0.89809617101894</v>
      </c>
      <c r="G70" s="65" t="s">
        <v>2848</v>
      </c>
    </row>
    <row r="71" customFormat="false" ht="29.85" hidden="false" customHeight="false" outlineLevel="0" collapsed="false">
      <c r="A71" s="5" t="s">
        <v>2849</v>
      </c>
      <c r="B71" s="62" t="s">
        <v>121</v>
      </c>
      <c r="C71" s="74" t="n">
        <f aca="false">SRC_DEM_018/SUMPRODUCT(AL_ShareGen,AL_HoldGen)</f>
        <v>1.34714425652841</v>
      </c>
      <c r="G71" s="65" t="s">
        <v>2850</v>
      </c>
      <c r="Y71" s="65" t="s">
        <v>2851</v>
      </c>
    </row>
    <row r="72" customFormat="false" ht="15" hidden="false" customHeight="false" outlineLevel="0" collapsed="false">
      <c r="A72" s="5" t="s">
        <v>2852</v>
      </c>
      <c r="B72" s="62" t="s">
        <v>131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2853</v>
      </c>
      <c r="B73" s="62" t="s">
        <v>131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2854</v>
      </c>
      <c r="B74" s="62" t="s">
        <v>1613</v>
      </c>
      <c r="C74" s="75"/>
    </row>
    <row r="75" customFormat="false" ht="15" hidden="false" customHeight="false" outlineLevel="0" collapsed="false">
      <c r="A75" s="6" t="s">
        <v>2855</v>
      </c>
      <c r="B75" s="62" t="s">
        <v>1613</v>
      </c>
      <c r="C75" s="75"/>
    </row>
    <row r="76" customFormat="false" ht="15" hidden="false" customHeight="false" outlineLevel="0" collapsed="false">
      <c r="A76" s="5" t="s">
        <v>2856</v>
      </c>
      <c r="B76" s="61"/>
      <c r="C76" s="61"/>
    </row>
    <row r="78" customFormat="false" ht="15" hidden="false" customHeight="false" outlineLevel="0" collapsed="false">
      <c r="A78" s="77" t="s">
        <v>2857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2858</v>
      </c>
    </row>
    <row r="80" customFormat="false" ht="29.85" hidden="false" customHeight="false" outlineLevel="0" collapsed="false">
      <c r="A80" s="60" t="s">
        <v>1028</v>
      </c>
      <c r="B80" s="60" t="s">
        <v>2859</v>
      </c>
      <c r="C80" s="85" t="s">
        <v>2860</v>
      </c>
      <c r="D80" s="85" t="s">
        <v>2861</v>
      </c>
      <c r="E80" s="85" t="s">
        <v>2862</v>
      </c>
      <c r="F80" s="85" t="s">
        <v>2863</v>
      </c>
      <c r="G80" s="84" t="s">
        <v>2864</v>
      </c>
      <c r="H80" s="84" t="s">
        <v>2865</v>
      </c>
      <c r="I80" s="85" t="s">
        <v>2866</v>
      </c>
      <c r="J80" s="85" t="s">
        <v>2867</v>
      </c>
      <c r="K80" s="85" t="s">
        <v>2868</v>
      </c>
      <c r="L80" s="85" t="s">
        <v>2869</v>
      </c>
      <c r="M80" s="84" t="s">
        <v>2870</v>
      </c>
      <c r="N80" s="84" t="s">
        <v>2871</v>
      </c>
      <c r="O80" s="84" t="s">
        <v>2872</v>
      </c>
      <c r="P80" s="84" t="s">
        <v>2873</v>
      </c>
      <c r="Q80" s="84" t="s">
        <v>2874</v>
      </c>
      <c r="R80" s="84" t="s">
        <v>2875</v>
      </c>
      <c r="S80" s="85" t="s">
        <v>2876</v>
      </c>
      <c r="T80" s="85" t="s">
        <v>2877</v>
      </c>
      <c r="U80" s="84" t="s">
        <v>2878</v>
      </c>
      <c r="V80" s="84" t="s">
        <v>2879</v>
      </c>
      <c r="W80" s="84" t="s">
        <v>2880</v>
      </c>
      <c r="X80" s="84" t="s">
        <v>2881</v>
      </c>
    </row>
    <row r="81" customFormat="false" ht="15" hidden="false" customHeight="false" outlineLevel="0" collapsed="false">
      <c r="A81" s="61" t="s">
        <v>115</v>
      </c>
      <c r="B81" s="62" t="s">
        <v>814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4" t="n">
        <f aca="false">IF(O81="整代不可達","整代不可達",IF(AND(ISNUMBER(O81),ISNUMBER(P81)),IF(AND(O81&gt;0,P81&gt;0),M81/O81+N81/P81,"SLO 不可達"),"SLO 不可達"))</f>
        <v>0.122917826491237</v>
      </c>
      <c r="R81" s="74" t="n">
        <f aca="false">IF(AND(ISNUMBER(AL_FamGWyr),ISNUMBER(AL_RefGWyr)),E81*(C81*AL_FamGWyr+D81*AL_RefGWyr),"SLO 不可達")</f>
        <v>0.202946790039775</v>
      </c>
      <c r="S81" s="103" t="n">
        <f aca="false">IF(W81="整代不可達","整代不可達",IF(AND(ISNUMBER(W81),ISNUMBER(R81)),R81/(R81+W81),"SLO 不可達"))</f>
        <v>0.184322317309608</v>
      </c>
      <c r="T81" s="103" t="n">
        <f aca="false">IF(W81="整代不可達","整代不可達",IF(AND(ISNUMBER(W81),ISNUMBER(R81)),R81*AL_HoldTrain/(R81*AL_HoldTrain+SRC_DEM_004),"SLO 不可達"))</f>
        <v>0.184983490208217</v>
      </c>
      <c r="U81" s="107" t="n">
        <f aca="false">IF(ISNUMBER(R81),R81*AL_HoldTrain,"SLO 不可達")</f>
        <v>1.90653968242434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2882</v>
      </c>
    </row>
    <row r="82" customFormat="false" ht="15" hidden="false" customHeight="false" outlineLevel="0" collapsed="false">
      <c r="A82" s="62" t="s">
        <v>2883</v>
      </c>
      <c r="B82" s="62" t="s">
        <v>2860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4" t="n">
        <f aca="false">IF(O82="整代不可達","整代不可達",IF(AND(ISNUMBER(O82),ISNUMBER(P82)),IF(AND(O82&gt;0,P82&gt;0),M82/O82+N82/P82,"SLO 不可達"),"SLO 不可達"))</f>
        <v>0.122917826491237</v>
      </c>
      <c r="R82" s="74" t="n">
        <f aca="false">IF(AND(ISNUMBER(AL_FamGWyr),ISNUMBER(AL_RefGWyr)),E82*(C82*AL_FamGWyr+D82*AL_RefGWyr),"SLO 不可達")</f>
        <v>0.202946790039775</v>
      </c>
      <c r="S82" s="103" t="n">
        <f aca="false">IF(W82="整代不可達","整代不可達",IF(AND(ISNUMBER(W82),ISNUMBER(R82)),R82/(R82+W82),"SLO 不可達"))</f>
        <v>0.184322317309608</v>
      </c>
      <c r="T82" s="103" t="n">
        <f aca="false">IF(W82="整代不可達","整代不可達",IF(AND(ISNUMBER(W82),ISNUMBER(R82)),R82*AL_HoldTrain/(R82*AL_HoldTrain+SRC_DEM_004),"SLO 不可達"))</f>
        <v>0.184983490208217</v>
      </c>
      <c r="U82" s="107" t="n">
        <f aca="false">IF(ISNUMBER(R82),R82*AL_HoldTrain,"SLO 不可達")</f>
        <v>1.90653968242434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2884</v>
      </c>
    </row>
    <row r="83" customFormat="false" ht="15" hidden="false" customHeight="false" outlineLevel="0" collapsed="false">
      <c r="A83" s="62" t="s">
        <v>2885</v>
      </c>
      <c r="B83" s="62" t="s">
        <v>2860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4" t="n">
        <f aca="false">IF(O83="整代不可達","整代不可達",IF(AND(ISNUMBER(O83),ISNUMBER(P83)),IF(AND(O83&gt;0,P83&gt;0),M83/O83+N83/P83,"SLO 不可達"),"SLO 不可達"))</f>
        <v>0.122917826491237</v>
      </c>
      <c r="R83" s="74" t="n">
        <f aca="false">IF(AND(ISNUMBER(AL_FamGWyr),ISNUMBER(AL_RefGWyr)),E83*(C83*AL_FamGWyr+D83*AL_RefGWyr),"SLO 不可達")</f>
        <v>0.315884392658906</v>
      </c>
      <c r="S83" s="103" t="n">
        <f aca="false">IF(W83="整代不可達","整代不可達",IF(AND(ISNUMBER(W83),ISNUMBER(R83)),R83/(R83+W83),"SLO 不可達"))</f>
        <v>0.26020547783888</v>
      </c>
      <c r="T83" s="103" t="n">
        <f aca="false">IF(W83="整代不可達","整代不可達",IF(AND(ISNUMBER(W83),ISNUMBER(R83)),R83*AL_HoldTrain/(R83*AL_HoldTrain+SRC_DEM_004),"SLO 不可達"))</f>
        <v>0.261051732718114</v>
      </c>
      <c r="U83" s="107" t="n">
        <f aca="false">IF(ISNUMBER(R83),R83*AL_HoldTrain,"SLO 不可達")</f>
        <v>2.96750754000437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2886</v>
      </c>
    </row>
    <row r="84" customFormat="false" ht="15" hidden="false" customHeight="false" outlineLevel="0" collapsed="false">
      <c r="A84" s="62" t="s">
        <v>2887</v>
      </c>
      <c r="B84" s="62" t="s">
        <v>2861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4" t="n">
        <f aca="false">IF(O84="整代不可達","整代不可達",IF(AND(ISNUMBER(O84),ISNUMBER(P84)),IF(AND(O84&gt;0,P84&gt;0),M84/O84+N84/P84,"SLO 不可達"),"SLO 不可達"))</f>
        <v>0.122917826491237</v>
      </c>
      <c r="R84" s="74" t="n">
        <f aca="false">IF(AND(ISNUMBER(AL_FamGWyr),ISNUMBER(AL_RefGWyr)),E84*(C84*AL_FamGWyr+D84*AL_RefGWyr),"SLO 不可達")</f>
        <v>0.112937602619131</v>
      </c>
      <c r="S84" s="103" t="n">
        <f aca="false">IF(W84="整代不可達","整代不可達",IF(AND(ISNUMBER(W84),ISNUMBER(R84)),R84/(R84+W84),"SLO 不可達"))</f>
        <v>0.111705074117099</v>
      </c>
      <c r="T84" s="103" t="n">
        <f aca="false">IF(W84="整代不可達","整代不可達",IF(AND(ISNUMBER(W84),ISNUMBER(R84)),R84*AL_HoldTrain/(R84*AL_HoldTrain+SRC_DEM_004),"SLO 不可達"))</f>
        <v>0.112141577220347</v>
      </c>
      <c r="U84" s="107" t="n">
        <f aca="false">IF(ISNUMBER(R84),R84*AL_HoldTrain,"SLO 不可達")</f>
        <v>1.06096785758003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2888</v>
      </c>
    </row>
    <row r="85" customFormat="false" ht="15" hidden="false" customHeight="false" outlineLevel="0" collapsed="false">
      <c r="A85" s="62" t="s">
        <v>2889</v>
      </c>
      <c r="B85" s="62" t="s">
        <v>2861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4" t="n">
        <f aca="false">IF(O85="整代不可達","整代不可達",IF(AND(ISNUMBER(O85),ISNUMBER(P85)),IF(AND(O85&gt;0,P85&gt;0),M85/O85+N85/P85,"SLO 不可達"),"SLO 不可達"))</f>
        <v>0.122917826491237</v>
      </c>
      <c r="R85" s="74" t="n">
        <f aca="false">IF(AND(ISNUMBER(AL_FamGWyr),ISNUMBER(AL_RefGWyr)),E85*(C85*AL_FamGWyr+D85*AL_RefGWyr),"SLO 不可達")</f>
        <v>0.382965164881063</v>
      </c>
      <c r="S85" s="103" t="n">
        <f aca="false">IF(W85="整代不可達","整代不可達",IF(AND(ISNUMBER(W85),ISNUMBER(R85)),R85/(R85+W85),"SLO 不可達"))</f>
        <v>0.298943660345516</v>
      </c>
      <c r="T85" s="103" t="n">
        <f aca="false">IF(W85="整代不可達","整代不可達",IF(AND(ISNUMBER(W85),ISNUMBER(R85)),R85*AL_HoldTrain/(R85*AL_HoldTrain+SRC_DEM_004),"SLO 不可達"))</f>
        <v>0.299864834945544</v>
      </c>
      <c r="U85" s="107" t="n">
        <f aca="false">IF(ISNUMBER(R85),R85*AL_HoldTrain,"SLO 不可達")</f>
        <v>3.59768333211296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2890</v>
      </c>
    </row>
    <row r="86" customFormat="false" ht="15" hidden="false" customHeight="false" outlineLevel="0" collapsed="false">
      <c r="A86" s="62" t="s">
        <v>2891</v>
      </c>
      <c r="B86" s="62" t="s">
        <v>2862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4" t="n">
        <f aca="false">IF(O86="整代不可達","整代不可達",IF(AND(ISNUMBER(O86),ISNUMBER(P86)),IF(AND(O86&gt;0,P86&gt;0),M86/O86+N86/P86,"SLO 不可達"),"SLO 不可達"))</f>
        <v>0.122917826491237</v>
      </c>
      <c r="R86" s="74" t="n">
        <f aca="false">IF(AND(ISNUMBER(AL_FamGWyr),ISNUMBER(AL_RefGWyr)),E86*(C86*AL_FamGWyr+D86*AL_RefGWyr),"SLO 不可達")</f>
        <v>0.101473395019888</v>
      </c>
      <c r="S86" s="103" t="n">
        <f aca="false">IF(W86="整代不可達","整代不可達",IF(AND(ISNUMBER(W86),ISNUMBER(R86)),R86/(R86+W86),"SLO 不可達"))</f>
        <v>0.101517091423676</v>
      </c>
      <c r="T86" s="103" t="n">
        <f aca="false">IF(W86="整代不可達","整代不可達",IF(AND(ISNUMBER(W86),ISNUMBER(R86)),R86*AL_HoldTrain/(R86*AL_HoldTrain+SRC_DEM_004),"SLO 不可達"))</f>
        <v>0.101918351271327</v>
      </c>
      <c r="U86" s="107" t="n">
        <f aca="false">IF(ISNUMBER(R86),R86*AL_HoldTrain,"SLO 不可達")</f>
        <v>0.95326984121217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2892</v>
      </c>
    </row>
    <row r="87" customFormat="false" ht="15" hidden="false" customHeight="false" outlineLevel="0" collapsed="false">
      <c r="A87" s="62" t="s">
        <v>2893</v>
      </c>
      <c r="B87" s="62" t="s">
        <v>2862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4" t="n">
        <f aca="false">IF(O87="整代不可達","整代不可達",IF(AND(ISNUMBER(O87),ISNUMBER(P87)),IF(AND(O87&gt;0,P87&gt;0),M87/O87+N87/P87,"SLO 不可達"),"SLO 不可達"))</f>
        <v>0.122917826491237</v>
      </c>
      <c r="R87" s="74" t="n">
        <f aca="false">IF(AND(ISNUMBER(AL_FamGWyr),ISNUMBER(AL_RefGWyr)),E87*(C87*AL_FamGWyr+D87*AL_RefGWyr),"SLO 不可達")</f>
        <v>1.42062753027843</v>
      </c>
      <c r="S87" s="103" t="n">
        <f aca="false">IF(W87="整代不可達","整代不可達",IF(AND(ISNUMBER(W87),ISNUMBER(R87)),R87/(R87+W87),"SLO 不可達"))</f>
        <v>0.61267650366603</v>
      </c>
      <c r="T87" s="103" t="n">
        <f aca="false">IF(W87="整代不可達","整代不可達",IF(AND(ISNUMBER(W87),ISNUMBER(R87)),R87*AL_HoldTrain/(R87*AL_HoldTrain+SRC_DEM_004),"SLO 不可達"))</f>
        <v>0.613718116401616</v>
      </c>
      <c r="U87" s="107" t="n">
        <f aca="false">IF(ISNUMBER(R87),R87*AL_HoldTrain,"SLO 不可達")</f>
        <v>13.3457777769704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2894</v>
      </c>
    </row>
    <row r="88" customFormat="false" ht="15" hidden="false" customHeight="false" outlineLevel="0" collapsed="false">
      <c r="A88" s="61" t="s">
        <v>2895</v>
      </c>
      <c r="B88" s="61" t="s">
        <v>2707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4" t="n">
        <f aca="false">IF(O88="整代不可達","整代不可達",IF(AND(ISNUMBER(O88),ISNUMBER(P88)),IF(AND(O88&gt;0,P88&gt;0),M88/O88+N88/P88,"SLO 不可達"),"SLO 不可達"))</f>
        <v>0.0942054000187996</v>
      </c>
      <c r="R88" s="74" t="n">
        <f aca="false">IF(AND(ISNUMBER(AL_FamGWyr),ISNUMBER(AL_RefGWyr)),E88*(C88*AL_FamGWyr+D88*AL_RefGWyr),"SLO 不可達")</f>
        <v>0.202946790039775</v>
      </c>
      <c r="S88" s="103" t="n">
        <f aca="false">IF(W88="整代不可達","整代不可達",IF(AND(ISNUMBER(W88),ISNUMBER(R88)),R88/(R88+W88),"SLO 不可達"))</f>
        <v>0.184322317309608</v>
      </c>
      <c r="T88" s="103" t="n">
        <f aca="false">IF(W88="整代不可達","整代不可達",IF(AND(ISNUMBER(W88),ISNUMBER(R88)),R88*AL_HoldTrain/(R88*AL_HoldTrain+SRC_DEM_004),"SLO 不可達"))</f>
        <v>0.184983490208217</v>
      </c>
      <c r="U88" s="107" t="n">
        <f aca="false">IF(ISNUMBER(R88),R88*AL_HoldTrain,"SLO 不可達")</f>
        <v>1.90653968242434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2896</v>
      </c>
    </row>
    <row r="89" customFormat="false" ht="15" hidden="false" customHeight="false" outlineLevel="0" collapsed="false">
      <c r="A89" s="61" t="s">
        <v>2897</v>
      </c>
      <c r="B89" s="61" t="s">
        <v>2707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4" t="n">
        <f aca="false">IF(O89="整代不可達","整代不可達",IF(AND(ISNUMBER(O89),ISNUMBER(P89)),IF(AND(O89&gt;0,P89&gt;0),M89/O89+N89/P89,"SLO 不可達"),"SLO 不可達"))</f>
        <v>0.223411319144769</v>
      </c>
      <c r="R89" s="74" t="n">
        <f aca="false">IF(AND(ISNUMBER(AL_FamGWyr),ISNUMBER(AL_RefGWyr)),E89*(C89*AL_FamGWyr+D89*AL_RefGWyr),"SLO 不可達")</f>
        <v>0.202946790039775</v>
      </c>
      <c r="S89" s="103" t="n">
        <f aca="false">IF(W89="整代不可達","整代不可達",IF(AND(ISNUMBER(W89),ISNUMBER(R89)),R89/(R89+W89),"SLO 不可達"))</f>
        <v>0.184322317309608</v>
      </c>
      <c r="T89" s="103" t="n">
        <f aca="false">IF(W89="整代不可達","整代不可達",IF(AND(ISNUMBER(W89),ISNUMBER(R89)),R89*AL_HoldTrain/(R89*AL_HoldTrain+SRC_DEM_004),"SLO 不可達"))</f>
        <v>0.184983490208217</v>
      </c>
      <c r="U89" s="107" t="n">
        <f aca="false">IF(ISNUMBER(R89),R89*AL_HoldTrain,"SLO 不可達")</f>
        <v>1.90653968242434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2898</v>
      </c>
    </row>
    <row r="90" customFormat="false" ht="15" hidden="false" customHeight="false" outlineLevel="0" collapsed="false">
      <c r="A90" s="62" t="s">
        <v>2899</v>
      </c>
      <c r="B90" s="62" t="s">
        <v>2900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4" t="n">
        <f aca="false">IF(O90="整代不可達","整代不可達",IF(AND(ISNUMBER(O90),ISNUMBER(P90)),IF(AND(O90&gt;0,P90&gt;0),M90/O90+N90/P90,"SLO 不可達"),"SLO 不可達"))</f>
        <v>0.109819231781965</v>
      </c>
      <c r="R90" s="74" t="n">
        <f aca="false">IF(AND(ISNUMBER(AL_FamGWyr),ISNUMBER(AL_RefGWyr)),E90*(C90*AL_FamGWyr+D90*AL_RefGWyr),"SLO 不可達")</f>
        <v>0.202946790039775</v>
      </c>
      <c r="S90" s="103" t="n">
        <f aca="false">IF(W90="整代不可達","整代不可達",IF(AND(ISNUMBER(W90),ISNUMBER(R90)),R90/(R90+W90),"SLO 不可達"))</f>
        <v>0.184322317309608</v>
      </c>
      <c r="T90" s="103" t="n">
        <f aca="false">IF(W90="整代不可達","整代不可達",IF(AND(ISNUMBER(W90),ISNUMBER(R90)),R90*AL_HoldTrain/(R90*AL_HoldTrain+SRC_DEM_004),"SLO 不可達"))</f>
        <v>0.184983490208217</v>
      </c>
      <c r="U90" s="107" t="n">
        <f aca="false">IF(ISNUMBER(R90),R90*AL_HoldTrain,"SLO 不可達")</f>
        <v>1.90653968242434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2901</v>
      </c>
    </row>
    <row r="91" customFormat="false" ht="15" hidden="false" customHeight="false" outlineLevel="0" collapsed="false">
      <c r="A91" s="62" t="s">
        <v>2902</v>
      </c>
      <c r="B91" s="62" t="s">
        <v>2900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4" t="n">
        <f aca="false">IF(O91="整代不可達","整代不可達",IF(AND(ISNUMBER(O91),ISNUMBER(P91)),IF(AND(O91&gt;0,P91&gt;0),M91/O91+N91/P91,"SLO 不可達"),"SLO 不可達"))</f>
        <v>0.13601642120051</v>
      </c>
      <c r="R91" s="74" t="n">
        <f aca="false">IF(AND(ISNUMBER(AL_FamGWyr),ISNUMBER(AL_RefGWyr)),E91*(C91*AL_FamGWyr+D91*AL_RefGWyr),"SLO 不可達")</f>
        <v>0.202946790039775</v>
      </c>
      <c r="S91" s="103" t="n">
        <f aca="false">IF(W91="整代不可達","整代不可達",IF(AND(ISNUMBER(W91),ISNUMBER(R91)),R91/(R91+W91),"SLO 不可達"))</f>
        <v>0.184322317309608</v>
      </c>
      <c r="T91" s="103" t="n">
        <f aca="false">IF(W91="整代不可達","整代不可達",IF(AND(ISNUMBER(W91),ISNUMBER(R91)),R91*AL_HoldTrain/(R91*AL_HoldTrain+SRC_DEM_004),"SLO 不可達"))</f>
        <v>0.184983490208217</v>
      </c>
      <c r="U91" s="107" t="n">
        <f aca="false">IF(ISNUMBER(R91),R91*AL_HoldTrain,"SLO 不可達")</f>
        <v>1.90653968242434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2903</v>
      </c>
    </row>
    <row r="92" customFormat="false" ht="15" hidden="false" customHeight="false" outlineLevel="0" collapsed="false">
      <c r="A92" s="61" t="s">
        <v>2904</v>
      </c>
      <c r="B92" s="61" t="s">
        <v>2865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4" t="n">
        <f aca="false">IF(O92="整代不可達","整代不可達",IF(AND(ISNUMBER(O92),ISNUMBER(P92)),IF(AND(O92&gt;0,P92&gt;0),M92/O92+N92/P92,"SLO 不可達"),"SLO 不可達"))</f>
        <v>0.137466010049922</v>
      </c>
      <c r="R92" s="74" t="n">
        <f aca="false">IF(AND(ISNUMBER(AL_FamGWyr),ISNUMBER(AL_RefGWyr)),E92*(C92*AL_FamGWyr+D92*AL_RefGWyr),"SLO 不可達")</f>
        <v>0.202946790039775</v>
      </c>
      <c r="S92" s="103" t="n">
        <f aca="false">IF(W92="整代不可達","整代不可達",IF(AND(ISNUMBER(W92),ISNUMBER(R92)),R92/(R92+W92),"SLO 不可達"))</f>
        <v>0.184322317309608</v>
      </c>
      <c r="T92" s="103" t="n">
        <f aca="false">IF(W92="整代不可達","整代不可達",IF(AND(ISNUMBER(W92),ISNUMBER(R92)),R92*AL_HoldTrain/(R92*AL_HoldTrain+SRC_DEM_004),"SLO 不可達"))</f>
        <v>0.184983490208217</v>
      </c>
      <c r="U92" s="107" t="n">
        <f aca="false">IF(ISNUMBER(R92),R92*AL_HoldTrain,"SLO 不可達")</f>
        <v>1.90653968242434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2905</v>
      </c>
    </row>
    <row r="93" customFormat="false" ht="15" hidden="false" customHeight="false" outlineLevel="0" collapsed="false">
      <c r="A93" s="61" t="s">
        <v>2906</v>
      </c>
      <c r="B93" s="61" t="s">
        <v>2865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4" t="n">
        <f aca="false">IF(O93="整代不可達","整代不可達",IF(AND(ISNUMBER(O93),ISNUMBER(P93)),IF(AND(O93&gt;0,P93&gt;0),M93/O93+N93/P93,"SLO 不可達"),"SLO 不可達"))</f>
        <v>0.108369642932553</v>
      </c>
      <c r="R93" s="74" t="n">
        <f aca="false">IF(AND(ISNUMBER(AL_FamGWyr),ISNUMBER(AL_RefGWyr)),E93*(C93*AL_FamGWyr+D93*AL_RefGWyr),"SLO 不可達")</f>
        <v>0.202946790039775</v>
      </c>
      <c r="S93" s="103" t="n">
        <f aca="false">IF(W93="整代不可達","整代不可達",IF(AND(ISNUMBER(W93),ISNUMBER(R93)),R93/(R93+W93),"SLO 不可達"))</f>
        <v>0.184322317309608</v>
      </c>
      <c r="T93" s="103" t="n">
        <f aca="false">IF(W93="整代不可達","整代不可達",IF(AND(ISNUMBER(W93),ISNUMBER(R93)),R93*AL_HoldTrain/(R93*AL_HoldTrain+SRC_DEM_004),"SLO 不可達"))</f>
        <v>0.184983490208217</v>
      </c>
      <c r="U93" s="107" t="n">
        <f aca="false">IF(ISNUMBER(R93),R93*AL_HoldTrain,"SLO 不可達")</f>
        <v>1.90653968242434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2907</v>
      </c>
    </row>
    <row r="94" customFormat="false" ht="15" hidden="false" customHeight="false" outlineLevel="0" collapsed="false">
      <c r="A94" s="61" t="s">
        <v>2908</v>
      </c>
      <c r="B94" s="61" t="s">
        <v>2909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4" t="n">
        <f aca="false">IF(O94="整代不可達","整代不可達",IF(AND(ISNUMBER(O94),ISNUMBER(P94)),IF(AND(O94&gt;0,P94&gt;0),M94/O94+N94/P94,"SLO 不可達"),"SLO 不可達"))</f>
        <v>0.0660457926521718</v>
      </c>
      <c r="R94" s="74" t="n">
        <f aca="false">IF(AND(ISNUMBER(AL_FamGWyr),ISNUMBER(AL_RefGWyr)),E94*(C94*AL_FamGWyr+D94*AL_RefGWyr),"SLO 不可達")</f>
        <v>0.202946790039775</v>
      </c>
      <c r="S94" s="103" t="n">
        <f aca="false">IF(W94="整代不可達","整代不可達",IF(AND(ISNUMBER(W94),ISNUMBER(R94)),R94/(R94+W94),"SLO 不可達"))</f>
        <v>0.175795699335341</v>
      </c>
      <c r="T94" s="103" t="n">
        <f aca="false">IF(W94="整代不可達","整代不可達",IF(AND(ISNUMBER(W94),ISNUMBER(R94)),R94*AL_HoldTrain/(R94*AL_HoldTrain+SRC_DEM_004),"SLO 不可達"))</f>
        <v>0.184983490208217</v>
      </c>
      <c r="U94" s="107" t="n">
        <f aca="false">IF(ISNUMBER(R94),R94*AL_HoldTrain,"SLO 不可達")</f>
        <v>1.90653968242434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2910</v>
      </c>
    </row>
    <row r="95" customFormat="false" ht="15" hidden="false" customHeight="false" outlineLevel="0" collapsed="false">
      <c r="A95" s="61" t="s">
        <v>2911</v>
      </c>
      <c r="B95" s="61" t="s">
        <v>2909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0.202946790039775</v>
      </c>
      <c r="S95" s="103" t="n">
        <f aca="false">IF(W95="整代不可達","整代不可達",IF(AND(ISNUMBER(W95),ISNUMBER(R95)),R95/(R95+W95),"SLO 不可達"))</f>
        <v>0.228020651822865</v>
      </c>
      <c r="T95" s="103" t="n">
        <f aca="false">IF(W95="整代不可達","整代不可達",IF(AND(ISNUMBER(W95),ISNUMBER(R95)),R95*AL_HoldTrain/(R95*AL_HoldTrain+SRC_DEM_004),"SLO 不可達"))</f>
        <v>0.184983490208217</v>
      </c>
      <c r="U95" s="107" t="n">
        <f aca="false">IF(ISNUMBER(R95),R95*AL_HoldTrain,"SLO 不可達")</f>
        <v>1.90653968242434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2912</v>
      </c>
    </row>
    <row r="97" customFormat="false" ht="15" hidden="false" customHeight="false" outlineLevel="0" collapsed="false">
      <c r="A97" s="65" t="s">
        <v>2913</v>
      </c>
      <c r="B97" s="59" t="s">
        <v>814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4" t="n">
        <f aca="false">IF(O97="整代不可達","整代不可達",IF(AND(ISNUMBER(O97),ISNUMBER(P97)),IF(AND(O97&gt;0,P97&gt;0),M97/O97+N97/P97,"SLO 不可達"),"SLO 不可達"))</f>
        <v>0.122917826491237</v>
      </c>
      <c r="R97" s="74" t="n">
        <f aca="false">IF(AND(ISNUMBER(AL_FamGWyr),ISNUMBER(AL_RefGWyr)),E97*(C97*AL_FamGWyr+D97*AL_RefGWyr),"SLO 不可達")</f>
        <v>0.202946790039775</v>
      </c>
      <c r="S97" s="103" t="n">
        <f aca="false">IF(W97="整代不可達","整代不可達",IF(AND(ISNUMBER(W97),ISNUMBER(R97)),R97/(R97+W97),"SLO 不可達"))</f>
        <v>0.184322317309608</v>
      </c>
      <c r="T97" s="103" t="n">
        <f aca="false">IF(W97="整代不可達","整代不可達",IF(AND(ISNUMBER(W97),ISNUMBER(R97)),R97*AL_HoldTrain/(R97*AL_HoldTrain+SRC_DEM_004),"SLO 不可達"))</f>
        <v>0.184983490208217</v>
      </c>
      <c r="U97" s="107" t="n">
        <f aca="false">IF(ISNUMBER(R97),R97*AL_HoldTrain,"SLO 不可達")</f>
        <v>1.90653968242434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2914</v>
      </c>
    </row>
    <row r="98" customFormat="false" ht="15" hidden="false" customHeight="false" outlineLevel="0" collapsed="false">
      <c r="A98" s="65" t="s">
        <v>2915</v>
      </c>
      <c r="B98" s="59" t="s">
        <v>2860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4" t="n">
        <f aca="false">IF(O98="整代不可達","整代不可達",IF(AND(ISNUMBER(O98),ISNUMBER(P98)),IF(AND(O98&gt;0,P98&gt;0),M98/O98+N98/P98,"SLO 不可達"),"SLO 不可達"))</f>
        <v>0.122917826491237</v>
      </c>
      <c r="R98" s="74" t="n">
        <f aca="false">IF(AND(ISNUMBER(AL_FamGWyr),ISNUMBER(AL_RefGWyr)),E98*(C98*AL_FamGWyr+D98*AL_RefGWyr),"SLO 不可達")</f>
        <v>0.202946790039775</v>
      </c>
      <c r="S98" s="103" t="n">
        <f aca="false">IF(W98="整代不可達","整代不可達",IF(AND(ISNUMBER(W98),ISNUMBER(R98)),R98/(R98+W98),"SLO 不可達"))</f>
        <v>0.184322317309608</v>
      </c>
      <c r="T98" s="103" t="n">
        <f aca="false">IF(W98="整代不可達","整代不可達",IF(AND(ISNUMBER(W98),ISNUMBER(R98)),R98*AL_HoldTrain/(R98*AL_HoldTrain+SRC_DEM_004),"SLO 不可達"))</f>
        <v>0.184983490208217</v>
      </c>
      <c r="U98" s="107" t="n">
        <f aca="false">IF(ISNUMBER(R98),R98*AL_HoldTrain,"SLO 不可達")</f>
        <v>1.90653968242434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2916</v>
      </c>
    </row>
    <row r="99" customFormat="false" ht="15" hidden="false" customHeight="false" outlineLevel="0" collapsed="false">
      <c r="A99" s="65" t="s">
        <v>2917</v>
      </c>
      <c r="B99" s="59" t="s">
        <v>2860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4" t="n">
        <f aca="false">IF(O99="整代不可達","整代不可達",IF(AND(ISNUMBER(O99),ISNUMBER(P99)),IF(AND(O99&gt;0,P99&gt;0),M99/O99+N99/P99,"SLO 不可達"),"SLO 不可達"))</f>
        <v>0.122917826491237</v>
      </c>
      <c r="R99" s="74" t="n">
        <f aca="false">IF(AND(ISNUMBER(AL_FamGWyr),ISNUMBER(AL_RefGWyr)),E99*(C99*AL_FamGWyr+D99*AL_RefGWyr),"SLO 不可達")</f>
        <v>0.202946790039775</v>
      </c>
      <c r="S99" s="103" t="n">
        <f aca="false">IF(W99="整代不可達","整代不可達",IF(AND(ISNUMBER(W99),ISNUMBER(R99)),R99/(R99+W99),"SLO 不可達"))</f>
        <v>0.184322317309608</v>
      </c>
      <c r="T99" s="103" t="n">
        <f aca="false">IF(W99="整代不可達","整代不可達",IF(AND(ISNUMBER(W99),ISNUMBER(R99)),R99*AL_HoldTrain/(R99*AL_HoldTrain+SRC_DEM_004),"SLO 不可達"))</f>
        <v>0.184983490208217</v>
      </c>
      <c r="U99" s="107" t="n">
        <f aca="false">IF(ISNUMBER(R99),R99*AL_HoldTrain,"SLO 不可達")</f>
        <v>1.90653968242434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2918</v>
      </c>
    </row>
    <row r="100" customFormat="false" ht="15" hidden="false" customHeight="false" outlineLevel="0" collapsed="false">
      <c r="A100" s="65" t="s">
        <v>2919</v>
      </c>
      <c r="B100" s="59" t="s">
        <v>2861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4" t="n">
        <f aca="false">IF(O100="整代不可達","整代不可達",IF(AND(ISNUMBER(O100),ISNUMBER(P100)),IF(AND(O100&gt;0,P100&gt;0),M100/O100+N100/P100,"SLO 不可達"),"SLO 不可達"))</f>
        <v>0.122917826491237</v>
      </c>
      <c r="R100" s="74" t="n">
        <f aca="false">IF(AND(ISNUMBER(AL_FamGWyr),ISNUMBER(AL_RefGWyr)),E100*(C100*AL_FamGWyr+D100*AL_RefGWyr),"SLO 不可達")</f>
        <v>0.202946790039775</v>
      </c>
      <c r="S100" s="103" t="n">
        <f aca="false">IF(W100="整代不可達","整代不可達",IF(AND(ISNUMBER(W100),ISNUMBER(R100)),R100/(R100+W100),"SLO 不可達"))</f>
        <v>0.184322317309608</v>
      </c>
      <c r="T100" s="103" t="n">
        <f aca="false">IF(W100="整代不可達","整代不可達",IF(AND(ISNUMBER(W100),ISNUMBER(R100)),R100*AL_HoldTrain/(R100*AL_HoldTrain+SRC_DEM_004),"SLO 不可達"))</f>
        <v>0.184983490208217</v>
      </c>
      <c r="U100" s="107" t="n">
        <f aca="false">IF(ISNUMBER(R100),R100*AL_HoldTrain,"SLO 不可達")</f>
        <v>1.90653968242434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2920</v>
      </c>
    </row>
    <row r="101" customFormat="false" ht="15" hidden="false" customHeight="false" outlineLevel="0" collapsed="false">
      <c r="A101" s="65" t="s">
        <v>2921</v>
      </c>
      <c r="B101" s="59" t="s">
        <v>2861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4" t="n">
        <f aca="false">IF(O101="整代不可達","整代不可達",IF(AND(ISNUMBER(O101),ISNUMBER(P101)),IF(AND(O101&gt;0,P101&gt;0),M101/O101+N101/P101,"SLO 不可達"),"SLO 不可達"))</f>
        <v>0.122917826491237</v>
      </c>
      <c r="R101" s="74" t="n">
        <f aca="false">IF(AND(ISNUMBER(AL_FamGWyr),ISNUMBER(AL_RefGWyr)),E101*(C101*AL_FamGWyr+D101*AL_RefGWyr),"SLO 不可達")</f>
        <v>0.202946790039775</v>
      </c>
      <c r="S101" s="103" t="n">
        <f aca="false">IF(W101="整代不可達","整代不可達",IF(AND(ISNUMBER(W101),ISNUMBER(R101)),R101/(R101+W101),"SLO 不可達"))</f>
        <v>0.184322317309608</v>
      </c>
      <c r="T101" s="103" t="n">
        <f aca="false">IF(W101="整代不可達","整代不可達",IF(AND(ISNUMBER(W101),ISNUMBER(R101)),R101*AL_HoldTrain/(R101*AL_HoldTrain+SRC_DEM_004),"SLO 不可達"))</f>
        <v>0.184983490208217</v>
      </c>
      <c r="U101" s="107" t="n">
        <f aca="false">IF(ISNUMBER(R101),R101*AL_HoldTrain,"SLO 不可達")</f>
        <v>1.90653968242434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2922</v>
      </c>
    </row>
    <row r="102" customFormat="false" ht="15" hidden="false" customHeight="false" outlineLevel="0" collapsed="false">
      <c r="A102" s="65" t="s">
        <v>2923</v>
      </c>
      <c r="B102" s="59" t="s">
        <v>2862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4" t="n">
        <f aca="false">IF(O102="整代不可達","整代不可達",IF(AND(ISNUMBER(O102),ISNUMBER(P102)),IF(AND(O102&gt;0,P102&gt;0),M102/O102+N102/P102,"SLO 不可達"),"SLO 不可達"))</f>
        <v>0.122917826491237</v>
      </c>
      <c r="R102" s="74" t="n">
        <f aca="false">IF(AND(ISNUMBER(AL_FamGWyr),ISNUMBER(AL_RefGWyr)),E102*(C102*AL_FamGWyr+D102*AL_RefGWyr),"SLO 不可達")</f>
        <v>0.202946790039775</v>
      </c>
      <c r="S102" s="103" t="n">
        <f aca="false">IF(W102="整代不可達","整代不可達",IF(AND(ISNUMBER(W102),ISNUMBER(R102)),R102/(R102+W102),"SLO 不可達"))</f>
        <v>0.184322317309608</v>
      </c>
      <c r="T102" s="103" t="n">
        <f aca="false">IF(W102="整代不可達","整代不可達",IF(AND(ISNUMBER(W102),ISNUMBER(R102)),R102*AL_HoldTrain/(R102*AL_HoldTrain+SRC_DEM_004),"SLO 不可達"))</f>
        <v>0.184983490208217</v>
      </c>
      <c r="U102" s="107" t="n">
        <f aca="false">IF(ISNUMBER(R102),R102*AL_HoldTrain,"SLO 不可達")</f>
        <v>1.90653968242434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2924</v>
      </c>
    </row>
    <row r="103" customFormat="false" ht="15" hidden="false" customHeight="false" outlineLevel="0" collapsed="false">
      <c r="A103" s="65" t="s">
        <v>2925</v>
      </c>
      <c r="B103" s="59" t="s">
        <v>2862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4" t="n">
        <f aca="false">IF(O103="整代不可達","整代不可達",IF(AND(ISNUMBER(O103),ISNUMBER(P103)),IF(AND(O103&gt;0,P103&gt;0),M103/O103+N103/P103,"SLO 不可達"),"SLO 不可達"))</f>
        <v>0.122917826491237</v>
      </c>
      <c r="R103" s="74" t="n">
        <f aca="false">IF(AND(ISNUMBER(AL_FamGWyr),ISNUMBER(AL_RefGWyr)),E103*(C103*AL_FamGWyr+D103*AL_RefGWyr),"SLO 不可達")</f>
        <v>0.202946790039775</v>
      </c>
      <c r="S103" s="103" t="n">
        <f aca="false">IF(W103="整代不可達","整代不可達",IF(AND(ISNUMBER(W103),ISNUMBER(R103)),R103/(R103+W103),"SLO 不可達"))</f>
        <v>0.184322317309608</v>
      </c>
      <c r="T103" s="103" t="n">
        <f aca="false">IF(W103="整代不可達","整代不可達",IF(AND(ISNUMBER(W103),ISNUMBER(R103)),R103*AL_HoldTrain/(R103*AL_HoldTrain+SRC_DEM_004),"SLO 不可達"))</f>
        <v>0.184983490208217</v>
      </c>
      <c r="U103" s="107" t="n">
        <f aca="false">IF(ISNUMBER(R103),R103*AL_HoldTrain,"SLO 不可達")</f>
        <v>1.90653968242434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2926</v>
      </c>
    </row>
    <row r="104" customFormat="false" ht="15" hidden="false" customHeight="false" outlineLevel="0" collapsed="false">
      <c r="A104" s="65" t="s">
        <v>2927</v>
      </c>
      <c r="B104" s="65" t="s">
        <v>2928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4" t="n">
        <f aca="false">IF(O104="整代不可達","整代不可達",IF(AND(ISNUMBER(O104),ISNUMBER(P104)),IF(AND(O104&gt;0,P104&gt;0),M104/O104+N104/P104,"SLO 不可達"),"SLO 不可達"))</f>
        <v>0.122917826491237</v>
      </c>
      <c r="R104" s="74" t="n">
        <f aca="false">IF(AND(ISNUMBER(AL_FamGWyr),ISNUMBER(AL_RefGWyr)),E104*(C104*AL_FamGWyr+D104*AL_RefGWyr),"SLO 不可達")</f>
        <v>0.202946790039775</v>
      </c>
      <c r="S104" s="103" t="n">
        <f aca="false">IF(W104="整代不可達","整代不可達",IF(AND(ISNUMBER(W104),ISNUMBER(R104)),R104/(R104+W104),"SLO 不可達"))</f>
        <v>0.184322317309608</v>
      </c>
      <c r="T104" s="103" t="n">
        <f aca="false">IF(W104="整代不可達","整代不可達",IF(AND(ISNUMBER(W104),ISNUMBER(R104)),R104*AL_HoldTrain/(R104*AL_HoldTrain+SRC_DEM_004),"SLO 不可達"))</f>
        <v>0.184983490208217</v>
      </c>
      <c r="U104" s="107" t="n">
        <f aca="false">IF(ISNUMBER(R104),R104*AL_HoldTrain,"SLO 不可達")</f>
        <v>1.90653968242434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2929</v>
      </c>
    </row>
    <row r="105" customFormat="false" ht="15" hidden="false" customHeight="false" outlineLevel="0" collapsed="false">
      <c r="A105" s="65" t="s">
        <v>2930</v>
      </c>
      <c r="B105" s="65" t="s">
        <v>2928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4" t="n">
        <f aca="false">IF(O105="整代不可達","整代不可達",IF(AND(ISNUMBER(O105),ISNUMBER(P105)),IF(AND(O105&gt;0,P105&gt;0),M105/O105+N105/P105,"SLO 不可達"),"SLO 不可達"))</f>
        <v>0.122917826491237</v>
      </c>
      <c r="R105" s="74" t="n">
        <f aca="false">IF(AND(ISNUMBER(AL_FamGWyr),ISNUMBER(AL_RefGWyr)),E105*(C105*AL_FamGWyr+D105*AL_RefGWyr),"SLO 不可達")</f>
        <v>0.202946790039775</v>
      </c>
      <c r="S105" s="103" t="n">
        <f aca="false">IF(W105="整代不可達","整代不可達",IF(AND(ISNUMBER(W105),ISNUMBER(R105)),R105/(R105+W105),"SLO 不可達"))</f>
        <v>0.184322317309608</v>
      </c>
      <c r="T105" s="103" t="n">
        <f aca="false">IF(W105="整代不可達","整代不可達",IF(AND(ISNUMBER(W105),ISNUMBER(R105)),R105*AL_HoldTrain/(R105*AL_HoldTrain+SRC_DEM_004),"SLO 不可達"))</f>
        <v>0.184983490208217</v>
      </c>
      <c r="U105" s="107" t="n">
        <f aca="false">IF(ISNUMBER(R105),R105*AL_HoldTrain,"SLO 不可達")</f>
        <v>1.90653968242434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2931</v>
      </c>
    </row>
    <row r="106" customFormat="false" ht="15" hidden="false" customHeight="false" outlineLevel="0" collapsed="false">
      <c r="A106" s="65" t="s">
        <v>2932</v>
      </c>
      <c r="B106" s="59" t="s">
        <v>2933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4" t="n">
        <f aca="false">IF(O106="整代不可達","整代不可達",IF(AND(ISNUMBER(O106),ISNUMBER(P106)),IF(AND(O106&gt;0,P106&gt;0),M106/O106+N106/P106,"SLO 不可達"),"SLO 不可達"))</f>
        <v>0.122917826491237</v>
      </c>
      <c r="R106" s="74" t="n">
        <f aca="false">IF(AND(ISNUMBER(AL_FamGWyr),ISNUMBER(AL_RefGWyr)),E106*(C106*AL_FamGWyr+D106*AL_RefGWyr),"SLO 不可達")</f>
        <v>0.202946790039775</v>
      </c>
      <c r="S106" s="103" t="n">
        <f aca="false">IF(W106="整代不可達","整代不可達",IF(AND(ISNUMBER(W106),ISNUMBER(R106)),R106/(R106+W106),"SLO 不可達"))</f>
        <v>0.184322317309608</v>
      </c>
      <c r="T106" s="103" t="n">
        <f aca="false">IF(W106="整代不可達","整代不可達",IF(AND(ISNUMBER(W106),ISNUMBER(R106)),R106*AL_HoldTrain/(R106*AL_HoldTrain+SRC_DEM_004),"SLO 不可達"))</f>
        <v>0.184983490208217</v>
      </c>
      <c r="U106" s="107" t="n">
        <f aca="false">IF(ISNUMBER(R106),R106*AL_HoldTrain,"SLO 不可達")</f>
        <v>1.90653968242434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2934</v>
      </c>
    </row>
    <row r="107" customFormat="false" ht="15" hidden="false" customHeight="false" outlineLevel="0" collapsed="false">
      <c r="A107" s="65" t="s">
        <v>2935</v>
      </c>
      <c r="B107" s="59" t="s">
        <v>2933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4" t="n">
        <f aca="false">IF(O107="整代不可達","整代不可達",IF(AND(ISNUMBER(O107),ISNUMBER(P107)),IF(AND(O107&gt;0,P107&gt;0),M107/O107+N107/P107,"SLO 不可達"),"SLO 不可達"))</f>
        <v>0.122917826491237</v>
      </c>
      <c r="R107" s="74" t="n">
        <f aca="false">IF(AND(ISNUMBER(AL_FamGWyr),ISNUMBER(AL_RefGWyr)),E107*(C107*AL_FamGWyr+D107*AL_RefGWyr),"SLO 不可達")</f>
        <v>0.202946790039775</v>
      </c>
      <c r="S107" s="103" t="n">
        <f aca="false">IF(W107="整代不可達","整代不可達",IF(AND(ISNUMBER(W107),ISNUMBER(R107)),R107/(R107+W107),"SLO 不可達"))</f>
        <v>0.184322317309608</v>
      </c>
      <c r="T107" s="103" t="n">
        <f aca="false">IF(W107="整代不可達","整代不可達",IF(AND(ISNUMBER(W107),ISNUMBER(R107)),R107*AL_HoldTrain/(R107*AL_HoldTrain+SRC_DEM_004),"SLO 不可達"))</f>
        <v>0.184983490208217</v>
      </c>
      <c r="U107" s="107" t="n">
        <f aca="false">IF(ISNUMBER(R107),R107*AL_HoldTrain,"SLO 不可達")</f>
        <v>1.90653968242434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2936</v>
      </c>
    </row>
    <row r="108" customFormat="false" ht="15" hidden="false" customHeight="false" outlineLevel="0" collapsed="false">
      <c r="A108" s="65" t="s">
        <v>2937</v>
      </c>
      <c r="B108" s="65" t="s">
        <v>2865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4" t="n">
        <f aca="false">IF(O108="整代不可達","整代不可達",IF(AND(ISNUMBER(O108),ISNUMBER(P108)),IF(AND(O108&gt;0,P108&gt;0),M108/O108+N108/P108,"SLO 不可達"),"SLO 不可達"))</f>
        <v>0.122917826491237</v>
      </c>
      <c r="R108" s="74" t="n">
        <f aca="false">IF(AND(ISNUMBER(AL_FamGWyr),ISNUMBER(AL_RefGWyr)),E108*(C108*AL_FamGWyr+D108*AL_RefGWyr),"SLO 不可達")</f>
        <v>0.202946790039775</v>
      </c>
      <c r="S108" s="103" t="n">
        <f aca="false">IF(W108="整代不可達","整代不可達",IF(AND(ISNUMBER(W108),ISNUMBER(R108)),R108/(R108+W108),"SLO 不可達"))</f>
        <v>0.184322317309608</v>
      </c>
      <c r="T108" s="103" t="n">
        <f aca="false">IF(W108="整代不可達","整代不可達",IF(AND(ISNUMBER(W108),ISNUMBER(R108)),R108*AL_HoldTrain/(R108*AL_HoldTrain+SRC_DEM_004),"SLO 不可達"))</f>
        <v>0.184983490208217</v>
      </c>
      <c r="U108" s="107" t="n">
        <f aca="false">IF(ISNUMBER(R108),R108*AL_HoldTrain,"SLO 不可達")</f>
        <v>1.90653968242434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2938</v>
      </c>
    </row>
    <row r="109" customFormat="false" ht="15" hidden="false" customHeight="false" outlineLevel="0" collapsed="false">
      <c r="A109" s="65" t="s">
        <v>2939</v>
      </c>
      <c r="B109" s="65" t="s">
        <v>2865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4" t="n">
        <f aca="false">IF(O109="整代不可達","整代不可達",IF(AND(ISNUMBER(O109),ISNUMBER(P109)),IF(AND(O109&gt;0,P109&gt;0),M109/O109+N109/P109,"SLO 不可達"),"SLO 不可達"))</f>
        <v>0.122917826491237</v>
      </c>
      <c r="R109" s="74" t="n">
        <f aca="false">IF(AND(ISNUMBER(AL_FamGWyr),ISNUMBER(AL_RefGWyr)),E109*(C109*AL_FamGWyr+D109*AL_RefGWyr),"SLO 不可達")</f>
        <v>0.202946790039775</v>
      </c>
      <c r="S109" s="103" t="n">
        <f aca="false">IF(W109="整代不可達","整代不可達",IF(AND(ISNUMBER(W109),ISNUMBER(R109)),R109/(R109+W109),"SLO 不可達"))</f>
        <v>0.184322317309608</v>
      </c>
      <c r="T109" s="103" t="n">
        <f aca="false">IF(W109="整代不可達","整代不可達",IF(AND(ISNUMBER(W109),ISNUMBER(R109)),R109*AL_HoldTrain/(R109*AL_HoldTrain+SRC_DEM_004),"SLO 不可達"))</f>
        <v>0.184983490208217</v>
      </c>
      <c r="U109" s="107" t="n">
        <f aca="false">IF(ISNUMBER(R109),R109*AL_HoldTrain,"SLO 不可達")</f>
        <v>1.90653968242434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2940</v>
      </c>
    </row>
    <row r="110" customFormat="false" ht="15" hidden="false" customHeight="false" outlineLevel="0" collapsed="false">
      <c r="A110" s="65" t="s">
        <v>2941</v>
      </c>
      <c r="B110" s="65" t="s">
        <v>2909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4" t="n">
        <f aca="false">IF(O110="整代不可達","整代不可達",IF(AND(ISNUMBER(O110),ISNUMBER(P110)),IF(AND(O110&gt;0,P110&gt;0),M110/O110+N110/P110,"SLO 不可達"),"SLO 不可達"))</f>
        <v>0.122917826491237</v>
      </c>
      <c r="R110" s="74" t="n">
        <f aca="false">IF(AND(ISNUMBER(AL_FamGWyr),ISNUMBER(AL_RefGWyr)),E110*(C110*AL_FamGWyr+D110*AL_RefGWyr),"SLO 不可達")</f>
        <v>0.202946790039775</v>
      </c>
      <c r="S110" s="103" t="n">
        <f aca="false">IF(W110="整代不可達","整代不可達",IF(AND(ISNUMBER(W110),ISNUMBER(R110)),R110/(R110+W110),"SLO 不可達"))</f>
        <v>0.184322317309608</v>
      </c>
      <c r="T110" s="103" t="n">
        <f aca="false">IF(W110="整代不可達","整代不可達",IF(AND(ISNUMBER(W110),ISNUMBER(R110)),R110*AL_HoldTrain/(R110*AL_HoldTrain+SRC_DEM_004),"SLO 不可達"))</f>
        <v>0.184983490208217</v>
      </c>
      <c r="U110" s="107" t="n">
        <f aca="false">IF(ISNUMBER(R110),R110*AL_HoldTrain,"SLO 不可達")</f>
        <v>1.90653968242434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2942</v>
      </c>
    </row>
    <row r="111" customFormat="false" ht="15" hidden="false" customHeight="false" outlineLevel="0" collapsed="false">
      <c r="A111" s="65" t="s">
        <v>2943</v>
      </c>
      <c r="B111" s="65" t="s">
        <v>2909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4" t="n">
        <f aca="false">IF(O111="整代不可達","整代不可達",IF(AND(ISNUMBER(O111),ISNUMBER(P111)),IF(AND(O111&gt;0,P111&gt;0),M111/O111+N111/P111,"SLO 不可達"),"SLO 不可達"))</f>
        <v>0.122917826491237</v>
      </c>
      <c r="R111" s="74" t="n">
        <f aca="false">IF(AND(ISNUMBER(AL_FamGWyr),ISNUMBER(AL_RefGWyr)),E111*(C111*AL_FamGWyr+D111*AL_RefGWyr),"SLO 不可達")</f>
        <v>0.202946790039775</v>
      </c>
      <c r="S111" s="103" t="n">
        <f aca="false">IF(W111="整代不可達","整代不可達",IF(AND(ISNUMBER(W111),ISNUMBER(R111)),R111/(R111+W111),"SLO 不可達"))</f>
        <v>0.184322317309608</v>
      </c>
      <c r="T111" s="103" t="n">
        <f aca="false">IF(W111="整代不可達","整代不可達",IF(AND(ISNUMBER(W111),ISNUMBER(R111)),R111*AL_HoldTrain/(R111*AL_HoldTrain+SRC_DEM_004),"SLO 不可達"))</f>
        <v>0.184983490208217</v>
      </c>
      <c r="U111" s="107" t="n">
        <f aca="false">IF(ISNUMBER(R111),R111*AL_HoldTrain,"SLO 不可達")</f>
        <v>1.90653968242434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2944</v>
      </c>
    </row>
    <row r="113" customFormat="false" ht="15" hidden="false" customHeight="false" outlineLevel="0" collapsed="false">
      <c r="A113" s="77" t="s">
        <v>2945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2946</v>
      </c>
      <c r="B114" s="62" t="s">
        <v>1677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2947</v>
      </c>
    </row>
    <row r="115" customFormat="false" ht="29.85" hidden="false" customHeight="false" outlineLevel="0" collapsed="false">
      <c r="A115" s="5" t="s">
        <v>2948</v>
      </c>
      <c r="B115" s="62" t="s">
        <v>1677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2949</v>
      </c>
      <c r="B116" s="62" t="s">
        <v>136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59" t="s">
        <v>2950</v>
      </c>
    </row>
    <row r="118" customFormat="false" ht="15" hidden="false" customHeight="false" outlineLevel="0" collapsed="false">
      <c r="A118" s="77" t="s">
        <v>2951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2952</v>
      </c>
      <c r="B119" s="62" t="s">
        <v>1045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2953</v>
      </c>
    </row>
    <row r="120" customFormat="false" ht="58.2" hidden="false" customHeight="false" outlineLevel="0" collapsed="false">
      <c r="A120" s="5" t="s">
        <v>2954</v>
      </c>
      <c r="B120" s="62" t="s">
        <v>1045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2955</v>
      </c>
    </row>
    <row r="121" customFormat="false" ht="29.85" hidden="false" customHeight="false" outlineLevel="0" collapsed="false">
      <c r="A121" s="5" t="s">
        <v>2956</v>
      </c>
      <c r="B121" s="62" t="s">
        <v>1045</v>
      </c>
      <c r="C121" s="96" t="n">
        <f aca="false">Cap_In!$C$90</f>
        <v>1.96067555555556</v>
      </c>
      <c r="Y121" s="65" t="s">
        <v>2957</v>
      </c>
    </row>
    <row r="122" customFormat="false" ht="15" hidden="false" customHeight="false" outlineLevel="0" collapsed="false">
      <c r="A122" s="5" t="s">
        <v>2958</v>
      </c>
      <c r="B122" s="62" t="s">
        <v>136</v>
      </c>
      <c r="C122" s="74"/>
    </row>
    <row r="123" customFormat="false" ht="44" hidden="false" customHeight="false" outlineLevel="0" collapsed="false">
      <c r="A123" s="5" t="s">
        <v>2959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2960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2961</v>
      </c>
      <c r="B126" s="62" t="s">
        <v>131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2962</v>
      </c>
      <c r="B127" s="62" t="s">
        <v>2812</v>
      </c>
      <c r="C127" s="99" t="n">
        <f aca="false">INDEX(IF_ProgGWyr_Luna,1,C$17)</f>
        <v>0.00927434400031541</v>
      </c>
      <c r="D127" s="99" t="n">
        <f aca="false">INDEX(IF_ProgGWyr_Luna,1,D$17)</f>
        <v>0.00276373155340779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2963</v>
      </c>
      <c r="B128" s="62" t="s">
        <v>2812</v>
      </c>
      <c r="C128" s="99" t="n">
        <f aca="false">INDEX(IF_ProgGWyr_Sol,1,C$17)</f>
        <v>0.0257573532274046</v>
      </c>
      <c r="D128" s="99" t="n">
        <f aca="false">INDEX(IF_ProgGWyr_Sol,1,D$17)</f>
        <v>0.00887587034201096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2964</v>
      </c>
      <c r="B129" s="62" t="s">
        <v>2812</v>
      </c>
      <c r="C129" s="99" t="n">
        <f aca="false">INDEX(IF_ProgGWyr_Astra,1,C$17)</f>
        <v>0.156848141308111</v>
      </c>
      <c r="D129" s="99" t="n">
        <f aca="false">INDEX(IF_ProgGWyr_Astra,1,D$17)</f>
        <v>0.0578253233036203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2965</v>
      </c>
      <c r="B130" s="62" t="s">
        <v>2812</v>
      </c>
      <c r="C130" s="180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0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80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0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2966</v>
      </c>
      <c r="B131" s="62" t="s">
        <v>2812</v>
      </c>
      <c r="C131" s="180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0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80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0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2967</v>
      </c>
      <c r="B132" s="62" t="s">
        <v>2812</v>
      </c>
      <c r="C132" s="180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0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80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0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2968</v>
      </c>
      <c r="B133" s="61" t="s">
        <v>2187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2969</v>
      </c>
      <c r="B134" s="62" t="s">
        <v>131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2970</v>
      </c>
      <c r="B135" s="62" t="s">
        <v>131</v>
      </c>
      <c r="C135" s="103" t="n">
        <f aca="false">SUM(C126:F126)-C134</f>
        <v>0</v>
      </c>
      <c r="G135" s="59" t="s">
        <v>2971</v>
      </c>
      <c r="Y135" s="65" t="s">
        <v>2972</v>
      </c>
    </row>
    <row r="136" customFormat="false" ht="15" hidden="false" customHeight="false" outlineLevel="0" collapsed="false">
      <c r="A136" s="5" t="s">
        <v>2973</v>
      </c>
      <c r="B136" s="62" t="s">
        <v>131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918</v>
      </c>
      <c r="C137" s="60" t="n">
        <v>1</v>
      </c>
      <c r="D137" s="60" t="n">
        <v>2</v>
      </c>
      <c r="E137" s="60" t="n">
        <v>3</v>
      </c>
      <c r="F137" s="60" t="s">
        <v>2810</v>
      </c>
      <c r="Y137" s="65" t="s">
        <v>2974</v>
      </c>
    </row>
    <row r="138" customFormat="false" ht="29.85" hidden="false" customHeight="false" outlineLevel="0" collapsed="false">
      <c r="A138" s="5" t="s">
        <v>2975</v>
      </c>
      <c r="B138" s="62" t="s">
        <v>2812</v>
      </c>
      <c r="C138" s="99" t="n">
        <f aca="false">IF(AL_RDShareOK&gt;0,1/(IF(C136&gt;0,C136/C127,0)+IF(D136&gt;0,D136/D127,0)+IF(E136&gt;0,E136/E127,0)+IF(F136&gt;0,F136/F127,0)),"SLO 不可達")</f>
        <v>0.0048031261226561</v>
      </c>
      <c r="D138" s="99" t="n">
        <f aca="false">IF(AL_RDShareOK&gt;0,1/(IF(C136&gt;0,C136/C128,0)+IF(D136&gt;0,D136/D128,0)+IF(E136&gt;0,E136/E128,0)+IF(F136&gt;0,F136/F128,0)),"SLO 不可達")</f>
        <v>0.0146923629397871</v>
      </c>
      <c r="E138" s="99" t="n">
        <f aca="false">IF(AL_RDShareOK&gt;0,1/(IF(C136&gt;0,C136/C129,0)+IF(D136&gt;0,D136/D129,0)+IF(E136&gt;0,E136/E129,0)+IF(F136&gt;0,F136/F129,0)),"SLO 不可達")</f>
        <v>0.0934421135566879</v>
      </c>
      <c r="F138" s="99" t="n">
        <f aca="false">IF(COUNT(C138:E138)=3,SUM(C138:E138),"SLO 不可達")</f>
        <v>0.112937602619131</v>
      </c>
      <c r="Y138" s="65" t="s">
        <v>2976</v>
      </c>
    </row>
    <row r="139" customFormat="false" ht="15" hidden="false" customHeight="false" outlineLevel="0" collapsed="false">
      <c r="A139" s="5" t="s">
        <v>2977</v>
      </c>
      <c r="B139" s="62" t="s">
        <v>2812</v>
      </c>
      <c r="C139" s="99" t="n">
        <f aca="false">IF(AL_RDShareOK&gt;0,1/(IF(C136&gt;0,C136/C130,0)+IF(D136&gt;0,D136/D130,0)+IF(E136&gt;0,E136/E130,0)+IF(F136&gt;0,F136/F130,0)),"SLO 不可達")</f>
        <v>0.000784115530100258</v>
      </c>
      <c r="D139" s="99" t="n">
        <f aca="false">IF(AL_RDShareOK&gt;0,1/(IF(C136&gt;0,C136/C131,0)+IF(D136&gt;0,D136/D131,0)+IF(E136&gt;0,E136/E131,0)+IF(F136&gt;0,F136/F131,0)),"SLO 不可達")</f>
        <v>0.00279276038679845</v>
      </c>
      <c r="E139" s="99" t="n">
        <f aca="false">IF(AL_RDShareOK&gt;0,1/(IF(C136&gt;0,C136/C132,0)+IF(D136&gt;0,D136/D132,0)+IF(E136&gt;0,E136/E132,0)+IF(F136&gt;0,F136/F132,0)),"SLO 不可達")</f>
        <v>0.0414277177934233</v>
      </c>
      <c r="F139" s="99" t="n">
        <f aca="false">IF(COUNT(C139:E139)=3,SUM(C139:E139),"SLO 不可達")</f>
        <v>0.045004593710322</v>
      </c>
      <c r="Y139" s="65" t="s">
        <v>2978</v>
      </c>
    </row>
    <row r="140" customFormat="false" ht="29.85" hidden="false" customHeight="false" outlineLevel="0" collapsed="false">
      <c r="A140" s="5" t="s">
        <v>2979</v>
      </c>
      <c r="B140" s="62" t="s">
        <v>1930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2980</v>
      </c>
      <c r="B141" s="62" t="s">
        <v>2812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2981</v>
      </c>
    </row>
    <row r="142" customFormat="false" ht="15" hidden="false" customHeight="false" outlineLevel="0" collapsed="false">
      <c r="A142" s="5" t="s">
        <v>2982</v>
      </c>
      <c r="B142" s="62" t="s">
        <v>2812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2983</v>
      </c>
    </row>
    <row r="143" customFormat="false" ht="15" hidden="false" customHeight="false" outlineLevel="0" collapsed="false">
      <c r="A143" s="5" t="s">
        <v>2984</v>
      </c>
      <c r="B143" s="62" t="s">
        <v>2812</v>
      </c>
      <c r="C143" s="74" t="n">
        <f aca="false">IF(AND(ISNUMBER(C141),ISNUMBER(C142)),AL_k*(AL_Nmajor*C141+AL_Nrefresh*C142),"SLO 不可達")</f>
        <v>0.0906847035646163</v>
      </c>
      <c r="Y143" s="65" t="s">
        <v>2985</v>
      </c>
    </row>
    <row r="144" customFormat="false" ht="15" hidden="false" customHeight="false" outlineLevel="0" collapsed="false">
      <c r="A144" s="5" t="s">
        <v>2986</v>
      </c>
      <c r="B144" s="62" t="s">
        <v>136</v>
      </c>
      <c r="C144" s="107"/>
      <c r="G144" s="65" t="s">
        <v>2987</v>
      </c>
    </row>
    <row r="145" customFormat="false" ht="15" hidden="false" customHeight="false" outlineLevel="0" collapsed="false">
      <c r="A145" s="5" t="s">
        <v>2988</v>
      </c>
      <c r="B145" s="62" t="s">
        <v>136</v>
      </c>
      <c r="C145" s="107"/>
    </row>
    <row r="147" customFormat="false" ht="15" hidden="false" customHeight="false" outlineLevel="0" collapsed="false">
      <c r="A147" s="77" t="s">
        <v>2989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2990</v>
      </c>
      <c r="B148" s="62" t="s">
        <v>1045</v>
      </c>
      <c r="C148" s="74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4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4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4" t="n">
        <f aca="false">IF(F26=1,(IF(F19=1,INDEX(B4_MixPaid,1,1)*CAP_Px25_Luna,0)+IF(F20=1,INDEX(B4_MixPaid,1,2)*CAP_Px25_Sol,0)+IF(F21=1,INDEX(B4_MixPaid,1,3)*CAP_Px25_Astra,0))*(1-B4_Disc)/F22,"SLO 不可達")</f>
        <v>1.68024</v>
      </c>
      <c r="G148" s="65" t="s">
        <v>2991</v>
      </c>
    </row>
    <row r="149" customFormat="false" ht="15" hidden="false" customHeight="false" outlineLevel="0" collapsed="false">
      <c r="A149" s="5" t="s">
        <v>2992</v>
      </c>
      <c r="B149" s="62" t="s">
        <v>1045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2993</v>
      </c>
      <c r="B150" s="62" t="s">
        <v>1045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2994</v>
      </c>
      <c r="B151" s="62" t="s">
        <v>1045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65" t="s">
        <v>2995</v>
      </c>
    </row>
    <row r="152" customFormat="false" ht="15" hidden="false" customHeight="false" outlineLevel="0" collapsed="false">
      <c r="A152" s="5" t="s">
        <v>2996</v>
      </c>
      <c r="B152" s="62" t="s">
        <v>136</v>
      </c>
      <c r="C152" s="74"/>
    </row>
    <row r="153" customFormat="false" ht="44" hidden="false" customHeight="false" outlineLevel="0" collapsed="false">
      <c r="A153" s="5" t="s">
        <v>2997</v>
      </c>
      <c r="B153" s="62" t="s">
        <v>1930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2998</v>
      </c>
    </row>
    <row r="154" customFormat="false" ht="15" hidden="false" customHeight="false" outlineLevel="0" collapsed="false">
      <c r="A154" s="5" t="s">
        <v>2999</v>
      </c>
      <c r="B154" s="62" t="s">
        <v>1930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3000</v>
      </c>
      <c r="B155" s="62" t="s">
        <v>1930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3001</v>
      </c>
      <c r="B156" s="62" t="s">
        <v>1930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3002</v>
      </c>
      <c r="B157" s="62" t="s">
        <v>1930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3003</v>
      </c>
      <c r="B158" s="62" t="s">
        <v>136</v>
      </c>
      <c r="C158" s="152" t="n">
        <f aca="false">IF(AND(ISNUMBER(AL_FleetRev25),ISNUMBER(C157)),IF(AL_FleetRev25&gt;0,C157/(AL_FleetRev25/IF_Util),AL_UnavailTxt),AL_UnavailTxt)</f>
        <v>0.417720312615059</v>
      </c>
      <c r="D158" s="74" t="n">
        <f aca="false">IF(AND(ISNUMBER(AL_FleetRev25),ISNUMBER(D157)),IF(AL_FleetRev25&gt;0,D157/(AL_FleetRev25/IF_Util),AL_UnavailTxt),AL_UnavailTxt)</f>
        <v>0.300094332345702</v>
      </c>
      <c r="E158" s="74" t="n">
        <f aca="false">IF(AND(ISNUMBER(AL_FleetRev25),ISNUMBER(E157)),IF(AL_FleetRev25&gt;0,E157/(AL_FleetRev25/IF_Util),AL_UnavailTxt),AL_UnavailTxt)</f>
        <v>0.702326269003828</v>
      </c>
      <c r="G158" s="65" t="s">
        <v>3004</v>
      </c>
    </row>
    <row r="160" customFormat="false" ht="15" hidden="false" customHeight="false" outlineLevel="0" collapsed="false">
      <c r="A160" s="77" t="s">
        <v>3005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3006</v>
      </c>
      <c r="B161" s="62" t="s">
        <v>131</v>
      </c>
      <c r="C161" s="103" t="n">
        <f aca="false">IF(AL_ServeGW="整代不可達","整代不可達",IF(AND(ISNUMBER(AL_ServeGW),ISNUMBER(AL_RDGW)),AL_RDGW/(AL_RDGW+AL_ServeGW),"SLO 不可達"))</f>
        <v>0.62279480417433</v>
      </c>
      <c r="Y161" s="65" t="s">
        <v>3007</v>
      </c>
    </row>
    <row r="162" customFormat="false" ht="29.85" hidden="false" customHeight="false" outlineLevel="0" collapsed="false">
      <c r="A162" s="6" t="s">
        <v>3008</v>
      </c>
      <c r="B162" s="62" t="s">
        <v>131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65" t="s">
        <v>3009</v>
      </c>
    </row>
    <row r="163" customFormat="false" ht="15" hidden="false" customHeight="false" outlineLevel="0" collapsed="false">
      <c r="A163" s="5" t="s">
        <v>3010</v>
      </c>
      <c r="B163" s="62" t="s">
        <v>121</v>
      </c>
      <c r="C163" s="74"/>
      <c r="G163" s="65" t="s">
        <v>3011</v>
      </c>
    </row>
    <row r="164" customFormat="false" ht="15" hidden="false" customHeight="false" outlineLevel="0" collapsed="false">
      <c r="A164" s="6" t="s">
        <v>3012</v>
      </c>
      <c r="B164" s="62" t="s">
        <v>131</v>
      </c>
      <c r="C164" s="103"/>
    </row>
    <row r="165" customFormat="false" ht="15" hidden="false" customHeight="false" outlineLevel="0" collapsed="false">
      <c r="A165" s="6" t="s">
        <v>3013</v>
      </c>
      <c r="B165" s="62" t="s">
        <v>131</v>
      </c>
      <c r="C165" s="103"/>
    </row>
    <row r="167" customFormat="false" ht="15" hidden="false" customHeight="false" outlineLevel="0" collapsed="false">
      <c r="A167" s="77" t="s">
        <v>3014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1028</v>
      </c>
      <c r="C168" s="85" t="s">
        <v>3015</v>
      </c>
      <c r="D168" s="85" t="s">
        <v>3016</v>
      </c>
      <c r="E168" s="85" t="s">
        <v>3017</v>
      </c>
      <c r="F168" s="85" t="s">
        <v>3018</v>
      </c>
      <c r="G168" s="85" t="s">
        <v>3019</v>
      </c>
    </row>
    <row r="169" customFormat="false" ht="15" hidden="false" customHeight="false" outlineLevel="0" collapsed="false">
      <c r="A169" s="61" t="s">
        <v>3020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0.202946790039775</v>
      </c>
      <c r="G169" s="152" t="n">
        <f aca="false">AL_Q1</f>
        <v>0.184322317309608</v>
      </c>
      <c r="Y169" s="65" t="s">
        <v>3021</v>
      </c>
    </row>
    <row r="170" customFormat="false" ht="15" hidden="false" customHeight="false" outlineLevel="0" collapsed="false">
      <c r="A170" s="5" t="s">
        <v>3022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3023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3024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3025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3026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3027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3028</v>
      </c>
      <c r="C177" s="62" t="s">
        <v>3029</v>
      </c>
      <c r="D177" s="59" t="s">
        <v>3030</v>
      </c>
    </row>
    <row r="178" customFormat="false" ht="15" hidden="false" customHeight="false" outlineLevel="0" collapsed="false">
      <c r="A178" s="60" t="s">
        <v>3031</v>
      </c>
      <c r="C178" s="92" t="str">
        <f aca="false">IFERROR(LEFT(README!$B$5,FIND("（",README!$B$5)-1),README!$B$5)</f>
        <v>20261017_Tokenomics_v15.0</v>
      </c>
      <c r="D178" s="59" t="s">
        <v>3032</v>
      </c>
    </row>
    <row r="179" customFormat="false" ht="15" hidden="false" customHeight="false" outlineLevel="0" collapsed="false">
      <c r="A179" s="60" t="s">
        <v>3033</v>
      </c>
      <c r="C179" s="105" t="n">
        <f aca="false">SUM(R183:R395)</f>
        <v>0</v>
      </c>
      <c r="D179" s="59" t="s">
        <v>3034</v>
      </c>
    </row>
    <row r="180" customFormat="false" ht="15" hidden="false" customHeight="false" outlineLevel="0" collapsed="false">
      <c r="A180" s="60" t="s">
        <v>3035</v>
      </c>
      <c r="C180" s="181" t="str">
        <f aca="false">IF(AND(C177=C178,C179=0,C404=0),"一致","區間過期")</f>
        <v>一致</v>
      </c>
      <c r="D180" s="59" t="s">
        <v>3036</v>
      </c>
    </row>
    <row r="182" customFormat="false" ht="43.5" hidden="false" customHeight="true" outlineLevel="0" collapsed="false">
      <c r="A182" s="60" t="s">
        <v>3037</v>
      </c>
      <c r="B182" s="60" t="s">
        <v>3038</v>
      </c>
      <c r="C182" s="85" t="s">
        <v>3039</v>
      </c>
      <c r="D182" s="85" t="s">
        <v>3040</v>
      </c>
      <c r="E182" s="85" t="s">
        <v>3041</v>
      </c>
      <c r="F182" s="85" t="s">
        <v>3042</v>
      </c>
      <c r="G182" s="85" t="s">
        <v>3043</v>
      </c>
      <c r="H182" s="85" t="s">
        <v>3044</v>
      </c>
      <c r="I182" s="85" t="s">
        <v>3045</v>
      </c>
      <c r="J182" s="85" t="s">
        <v>3046</v>
      </c>
      <c r="K182" s="85" t="s">
        <v>3047</v>
      </c>
      <c r="L182" s="85" t="s">
        <v>3048</v>
      </c>
      <c r="M182" s="85" t="s">
        <v>3049</v>
      </c>
      <c r="N182" s="85" t="s">
        <v>3050</v>
      </c>
      <c r="O182" s="85" t="s">
        <v>3051</v>
      </c>
      <c r="P182" s="85" t="s">
        <v>3052</v>
      </c>
      <c r="Q182" s="85" t="s">
        <v>3053</v>
      </c>
      <c r="R182" s="84" t="s">
        <v>3054</v>
      </c>
    </row>
    <row r="183" customFormat="false" ht="15" hidden="false" customHeight="false" outlineLevel="0" collapsed="false">
      <c r="A183" s="10" t="s">
        <v>3055</v>
      </c>
      <c r="B183" s="61" t="s">
        <v>3056</v>
      </c>
      <c r="C183" s="61" t="n">
        <v>11.0322267091769</v>
      </c>
    </row>
    <row r="184" customFormat="false" ht="15" hidden="false" customHeight="false" outlineLevel="0" collapsed="false">
      <c r="A184" s="62" t="s">
        <v>3055</v>
      </c>
      <c r="B184" s="61" t="s">
        <v>3057</v>
      </c>
      <c r="C184" s="78" t="n">
        <f aca="false">IF_AllocImpliedNk</f>
        <v>11.36020687772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3055</v>
      </c>
      <c r="B185" s="61" t="s">
        <v>3058</v>
      </c>
      <c r="C185" s="61" t="n">
        <v>13.6421014726665</v>
      </c>
    </row>
    <row r="186" customFormat="false" ht="15" hidden="false" customHeight="false" outlineLevel="0" collapsed="false">
      <c r="A186" s="10" t="s">
        <v>3059</v>
      </c>
      <c r="B186" s="61" t="s">
        <v>3056</v>
      </c>
      <c r="C186" s="61" t="n">
        <v>0.153313016520972</v>
      </c>
    </row>
    <row r="187" customFormat="false" ht="15" hidden="false" customHeight="false" outlineLevel="0" collapsed="false">
      <c r="A187" s="62" t="s">
        <v>3059</v>
      </c>
      <c r="B187" s="61" t="s">
        <v>3057</v>
      </c>
      <c r="C187" s="103" t="n">
        <f aca="false">IF_AllocQ1</f>
        <v>0.184322317309608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3059</v>
      </c>
      <c r="B188" s="61" t="s">
        <v>3058</v>
      </c>
      <c r="C188" s="61" t="n">
        <v>0.190680493048307</v>
      </c>
    </row>
    <row r="189" customFormat="false" ht="15" hidden="false" customHeight="false" outlineLevel="0" collapsed="false">
      <c r="A189" s="10" t="s">
        <v>3060</v>
      </c>
      <c r="B189" s="61" t="s">
        <v>3056</v>
      </c>
      <c r="C189" s="61" t="n">
        <v>0.546417687421949</v>
      </c>
    </row>
    <row r="190" customFormat="false" ht="15" hidden="false" customHeight="false" outlineLevel="0" collapsed="false">
      <c r="A190" s="62" t="s">
        <v>3060</v>
      </c>
      <c r="B190" s="61" t="s">
        <v>3057</v>
      </c>
      <c r="C190" s="103" t="n">
        <f aca="false">IF_AllocQ1_R2</f>
        <v>0.563029812844433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3060</v>
      </c>
      <c r="B191" s="61" t="s">
        <v>3058</v>
      </c>
      <c r="C191" s="61" t="n">
        <v>0.566435978418736</v>
      </c>
    </row>
    <row r="192" customFormat="false" ht="15" hidden="false" customHeight="false" outlineLevel="0" collapsed="false">
      <c r="A192" s="10" t="s">
        <v>3061</v>
      </c>
      <c r="B192" s="61" t="s">
        <v>3056</v>
      </c>
      <c r="C192" s="61" t="n">
        <v>0.153883942337164</v>
      </c>
    </row>
    <row r="193" customFormat="false" ht="15" hidden="false" customHeight="false" outlineLevel="0" collapsed="false">
      <c r="A193" s="62" t="s">
        <v>3061</v>
      </c>
      <c r="B193" s="61" t="s">
        <v>3057</v>
      </c>
      <c r="C193" s="103" t="n">
        <f aca="false">IF_AllocQ2</f>
        <v>0.184983490208217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3061</v>
      </c>
      <c r="B194" s="61" t="s">
        <v>3058</v>
      </c>
      <c r="C194" s="61" t="n">
        <v>0.191359122452657</v>
      </c>
    </row>
    <row r="195" customFormat="false" ht="15" hidden="false" customHeight="false" outlineLevel="0" collapsed="false">
      <c r="A195" s="10" t="s">
        <v>3062</v>
      </c>
      <c r="B195" s="61" t="s">
        <v>3056</v>
      </c>
      <c r="C195" s="61" t="n">
        <v>0.162621884818735</v>
      </c>
    </row>
    <row r="196" customFormat="false" ht="15" hidden="false" customHeight="false" outlineLevel="0" collapsed="false">
      <c r="A196" s="62" t="s">
        <v>3062</v>
      </c>
      <c r="B196" s="61" t="s">
        <v>3057</v>
      </c>
      <c r="C196" s="74" t="n">
        <f aca="false">IF_AllocRDGW</f>
        <v>0.202946790039775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3062</v>
      </c>
      <c r="B197" s="61" t="s">
        <v>3058</v>
      </c>
      <c r="C197" s="61" t="n">
        <v>0.211596803516698</v>
      </c>
    </row>
    <row r="198" customFormat="false" ht="15" hidden="false" customHeight="false" outlineLevel="0" collapsed="false">
      <c r="A198" s="10" t="s">
        <v>3063</v>
      </c>
      <c r="B198" s="61" t="s">
        <v>3056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3063</v>
      </c>
      <c r="B199" s="61" t="s">
        <v>3057</v>
      </c>
      <c r="C199" s="182" t="n">
        <f aca="false">INDEX(IF_AmortBU_Astra,1,1)</f>
        <v>2.77777469594551</v>
      </c>
      <c r="D199" s="182" t="n">
        <f aca="false">INDEX(IF_AmortBU_Astra,1,2)</f>
        <v>3.96888441256699</v>
      </c>
      <c r="E199" s="182" t="n">
        <f aca="false">INDEX(IF_AmortBU_Astra,1,3)</f>
        <v>6.81603431985413</v>
      </c>
      <c r="F199" s="182" t="n">
        <f aca="false">INDEX(IF_AmortBU_Astra,1,4)</f>
        <v>0.228452001604401</v>
      </c>
      <c r="G199" s="182" t="n">
        <f aca="false">INDEX(IF_AmortBU_Astra,1,5)</f>
        <v>0.305031478460118</v>
      </c>
      <c r="H199" s="182" t="n">
        <f aca="false">INDEX(IF_AmortBU_Astra,1,6)</f>
        <v>0.49473653693433</v>
      </c>
      <c r="I199" s="182" t="n">
        <f aca="false">INDEX(IF_AmortBU_Astra,1,7)</f>
        <v>0.24019799874652</v>
      </c>
      <c r="J199" s="182" t="n">
        <f aca="false">INDEX(IF_AmortBU_Astra,1,8)</f>
        <v>0.310229615842608</v>
      </c>
      <c r="K199" s="182" t="n">
        <f aca="false">INDEX(IF_AmortBU_Astra,1,9)</f>
        <v>0.528181046387546</v>
      </c>
      <c r="L199" s="182" t="n">
        <f aca="false">INDEX(IF_AmortBU_Astra,1,10)</f>
        <v>0.100573347953864</v>
      </c>
      <c r="M199" s="182" t="n">
        <f aca="false">INDEX(IF_AmortBU_Astra,1,11)</f>
        <v>0.129262679409264</v>
      </c>
      <c r="N199" s="182" t="n">
        <f aca="false">INDEX(IF_AmortBU_Astra,1,12)</f>
        <v>0.208827861414237</v>
      </c>
      <c r="O199" s="182" t="n">
        <f aca="false">INDEX(IF_AmortBU_Astra,1,13)</f>
        <v>0.0523766024928945</v>
      </c>
      <c r="P199" s="182" t="n">
        <f aca="false">INDEX(IF_AmortBU_Astra,1,14)</f>
        <v>0.0796052541194475</v>
      </c>
      <c r="Q199" s="182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3063</v>
      </c>
      <c r="B200" s="61" t="s">
        <v>3058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3064</v>
      </c>
      <c r="B201" s="61" t="s">
        <v>3056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3064</v>
      </c>
      <c r="B202" s="61" t="s">
        <v>3057</v>
      </c>
      <c r="C202" s="182" t="n">
        <f aca="false">INDEX(IF_AmortBU_Luna,1,1)</f>
        <v>0.0461948299236361</v>
      </c>
      <c r="D202" s="182" t="n">
        <f aca="false">INDEX(IF_AmortBU_Luna,1,2)</f>
        <v>0.0660031717808905</v>
      </c>
      <c r="E202" s="182" t="n">
        <f aca="false">INDEX(IF_AmortBU_Luna,1,3)</f>
        <v>0.113351722376516</v>
      </c>
      <c r="F202" s="182" t="n">
        <f aca="false">INDEX(IF_AmortBU_Luna,1,4)</f>
        <v>0.00307089725293388</v>
      </c>
      <c r="G202" s="182" t="n">
        <f aca="false">INDEX(IF_AmortBU_Luna,1,5)</f>
        <v>0.00410029381525669</v>
      </c>
      <c r="H202" s="182" t="n">
        <f aca="false">INDEX(IF_AmortBU_Luna,1,6)</f>
        <v>0.0066503469504659</v>
      </c>
      <c r="I202" s="182" t="n">
        <f aca="false">INDEX(IF_AmortBU_Luna,1,7)</f>
        <v>0.00342892011098242</v>
      </c>
      <c r="J202" s="182" t="n">
        <f aca="false">INDEX(IF_AmortBU_Luna,1,8)</f>
        <v>0.00442864875784267</v>
      </c>
      <c r="K202" s="182" t="n">
        <f aca="false">INDEX(IF_AmortBU_Luna,1,9)</f>
        <v>0.0075399904314325</v>
      </c>
      <c r="L202" s="182" t="n">
        <f aca="false">INDEX(IF_AmortBU_Luna,1,10)</f>
        <v>0.00155811775340172</v>
      </c>
      <c r="M202" s="182" t="n">
        <f aca="false">INDEX(IF_AmortBU_Luna,1,11)</f>
        <v>0.00200258298781343</v>
      </c>
      <c r="N202" s="182" t="n">
        <f aca="false">INDEX(IF_AmortBU_Luna,1,12)</f>
        <v>0.00323523483004361</v>
      </c>
      <c r="O202" s="182" t="n">
        <f aca="false">INDEX(IF_AmortBU_Luna,1,13)</f>
        <v>0.000773266108996229</v>
      </c>
      <c r="P202" s="182" t="n">
        <f aca="false">INDEX(IF_AmortBU_Luna,1,14)</f>
        <v>0.00117525845852548</v>
      </c>
      <c r="Q202" s="182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3064</v>
      </c>
      <c r="B203" s="61" t="s">
        <v>3058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3065</v>
      </c>
      <c r="B204" s="61" t="s">
        <v>3056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3065</v>
      </c>
      <c r="B205" s="61" t="s">
        <v>3057</v>
      </c>
      <c r="C205" s="182" t="n">
        <f aca="false">INDEX(IF_AmortBU_Sol,1,1)</f>
        <v>0.114040439741435</v>
      </c>
      <c r="D205" s="182" t="n">
        <f aca="false">INDEX(IF_AmortBU_Sol,1,2)</f>
        <v>0.162940977305579</v>
      </c>
      <c r="E205" s="182" t="n">
        <f aca="false">INDEX(IF_AmortBU_Sol,1,3)</f>
        <v>0.279829588866025</v>
      </c>
      <c r="F205" s="182" t="n">
        <f aca="false">INDEX(IF_AmortBU_Sol,1,4)</f>
        <v>0.00876653267880038</v>
      </c>
      <c r="G205" s="182" t="n">
        <f aca="false">INDEX(IF_AmortBU_Sol,1,5)</f>
        <v>0.0117051652215942</v>
      </c>
      <c r="H205" s="182" t="n">
        <f aca="false">INDEX(IF_AmortBU_Sol,1,6)</f>
        <v>0.0189848370247231</v>
      </c>
      <c r="I205" s="182" t="n">
        <f aca="false">INDEX(IF_AmortBU_Sol,1,7)</f>
        <v>0.00936389932228216</v>
      </c>
      <c r="J205" s="182" t="n">
        <f aca="false">INDEX(IF_AmortBU_Sol,1,8)</f>
        <v>0.0120940178715063</v>
      </c>
      <c r="K205" s="182" t="n">
        <f aca="false">INDEX(IF_AmortBU_Sol,1,9)</f>
        <v>0.0205906550767309</v>
      </c>
      <c r="L205" s="182" t="n">
        <f aca="false">INDEX(IF_AmortBU_Sol,1,10)</f>
        <v>0.00403441053211496</v>
      </c>
      <c r="M205" s="182" t="n">
        <f aca="false">INDEX(IF_AmortBU_Sol,1,11)</f>
        <v>0.00518525758392133</v>
      </c>
      <c r="N205" s="182" t="n">
        <f aca="false">INDEX(IF_AmortBU_Sol,1,12)</f>
        <v>0.00837694419673806</v>
      </c>
      <c r="O205" s="182" t="n">
        <f aca="false">INDEX(IF_AmortBU_Sol,1,13)</f>
        <v>0.00207075943620614</v>
      </c>
      <c r="P205" s="182" t="n">
        <f aca="false">INDEX(IF_AmortBU_Sol,1,14)</f>
        <v>0.00314727040880126</v>
      </c>
      <c r="Q205" s="182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3065</v>
      </c>
      <c r="B206" s="61" t="s">
        <v>3058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3066</v>
      </c>
      <c r="B207" s="61" t="s">
        <v>3056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3066</v>
      </c>
      <c r="B208" s="61" t="s">
        <v>3057</v>
      </c>
      <c r="C208" s="182" t="n">
        <f aca="false">INDEX(IF_AmortDefault_Astra,1,1)</f>
        <v>6.71333459608619</v>
      </c>
      <c r="D208" s="182" t="n">
        <f aca="false">INDEX(IF_AmortDefault_Astra,1,2)</f>
        <v>9.59173457910629</v>
      </c>
      <c r="E208" s="182" t="n">
        <f aca="false">INDEX(IF_AmortDefault_Astra,1,3)</f>
        <v>16.4720715710975</v>
      </c>
      <c r="F208" s="182" t="n">
        <f aca="false">INDEX(IF_AmortDefault_Astra,1,4)</f>
        <v>1.52013235990977</v>
      </c>
      <c r="G208" s="182" t="n">
        <f aca="false">INDEX(IF_AmortDefault_Astra,1,5)</f>
        <v>2.02947544058869</v>
      </c>
      <c r="H208" s="182" t="n">
        <f aca="false">INDEX(IF_AmortDefault_Astra,1,6)</f>
        <v>3.29123593923616</v>
      </c>
      <c r="I208" s="182" t="n">
        <f aca="false">INDEX(IF_AmortDefault_Astra,1,7)</f>
        <v>1.4045212266443</v>
      </c>
      <c r="J208" s="182" t="n">
        <f aca="false">INDEX(IF_AmortDefault_Astra,1,8)</f>
        <v>1.81382399146405</v>
      </c>
      <c r="K208" s="182" t="n">
        <f aca="false">INDEX(IF_AmortDefault_Astra,1,9)</f>
        <v>3.08765039755805</v>
      </c>
      <c r="L208" s="182" t="n">
        <f aca="false">INDEX(IF_AmortDefault_Astra,1,10)</f>
        <v>0.959356186038775</v>
      </c>
      <c r="M208" s="182" t="n">
        <f aca="false">INDEX(IF_AmortDefault_Astra,1,11)</f>
        <v>1.23283860001109</v>
      </c>
      <c r="N208" s="182" t="n">
        <f aca="false">INDEX(IF_AmortDefault_Astra,1,12)</f>
        <v>1.99129747440816</v>
      </c>
      <c r="O208" s="182" t="n">
        <f aca="false">INDEX(IF_AmortDefault_Astra,1,13)</f>
        <v>0.737286975101976</v>
      </c>
      <c r="P208" s="182" t="n">
        <f aca="false">INDEX(IF_AmortDefault_Astra,1,14)</f>
        <v>1.12024727602933</v>
      </c>
      <c r="Q208" s="182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3066</v>
      </c>
      <c r="B209" s="61" t="s">
        <v>3058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3067</v>
      </c>
      <c r="B210" s="61" t="s">
        <v>3056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3067</v>
      </c>
      <c r="B211" s="61" t="s">
        <v>3057</v>
      </c>
      <c r="C211" s="182" t="n">
        <f aca="false">INDEX(IF_AmortDefault_Luna,1,1)</f>
        <v>0.111643809823497</v>
      </c>
      <c r="D211" s="182" t="n">
        <f aca="false">INDEX(IF_AmortDefault_Luna,1,2)</f>
        <v>0.159512054091793</v>
      </c>
      <c r="E211" s="182" t="n">
        <f aca="false">INDEX(IF_AmortDefault_Luna,1,3)</f>
        <v>0.273933140015809</v>
      </c>
      <c r="F211" s="182" t="n">
        <f aca="false">INDEX(IF_AmortDefault_Luna,1,4)</f>
        <v>0.0204339215912253</v>
      </c>
      <c r="G211" s="182" t="n">
        <f aca="false">INDEX(IF_AmortDefault_Luna,1,5)</f>
        <v>0.027280612608476</v>
      </c>
      <c r="H211" s="182" t="n">
        <f aca="false">INDEX(IF_AmortDefault_Luna,1,6)</f>
        <v>0.0442414482411035</v>
      </c>
      <c r="I211" s="182" t="n">
        <f aca="false">INDEX(IF_AmortDefault_Luna,1,7)</f>
        <v>0.020050088283311</v>
      </c>
      <c r="J211" s="182" t="n">
        <f aca="false">INDEX(IF_AmortDefault_Luna,1,8)</f>
        <v>0.0258930448820136</v>
      </c>
      <c r="K211" s="182" t="n">
        <f aca="false">INDEX(IF_AmortDefault_Luna,1,9)</f>
        <v>0.0440774136300878</v>
      </c>
      <c r="L211" s="182" t="n">
        <f aca="false">INDEX(IF_AmortDefault_Luna,1,10)</f>
        <v>0.0148626841575213</v>
      </c>
      <c r="M211" s="182" t="n">
        <f aca="false">INDEX(IF_AmortDefault_Luna,1,11)</f>
        <v>0.0190995701031786</v>
      </c>
      <c r="N211" s="182" t="n">
        <f aca="false">INDEX(IF_AmortDefault_Luna,1,12)</f>
        <v>0.0308498823028407</v>
      </c>
      <c r="O211" s="182" t="n">
        <f aca="false">INDEX(IF_AmortDefault_Luna,1,13)</f>
        <v>0.0108849945073861</v>
      </c>
      <c r="P211" s="182" t="n">
        <f aca="false">INDEX(IF_AmortDefault_Luna,1,14)</f>
        <v>0.0165388591664826</v>
      </c>
      <c r="Q211" s="182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3067</v>
      </c>
      <c r="B212" s="61" t="s">
        <v>3058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3068</v>
      </c>
      <c r="B213" s="61" t="s">
        <v>3056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3068</v>
      </c>
      <c r="B214" s="61" t="s">
        <v>3057</v>
      </c>
      <c r="C214" s="182" t="n">
        <f aca="false">INDEX(IF_AmortDefault_Sol,1,1)</f>
        <v>0.275613292390679</v>
      </c>
      <c r="D214" s="182" t="n">
        <f aca="false">INDEX(IF_AmortDefault_Sol,1,2)</f>
        <v>0.393784863430792</v>
      </c>
      <c r="E214" s="182" t="n">
        <f aca="false">INDEX(IF_AmortDefault_Sol,1,3)</f>
        <v>0.676254373028246</v>
      </c>
      <c r="F214" s="182" t="n">
        <f aca="false">INDEX(IF_AmortDefault_Sol,1,4)</f>
        <v>0.0583329973721456</v>
      </c>
      <c r="G214" s="182" t="n">
        <f aca="false">INDEX(IF_AmortDefault_Sol,1,5)</f>
        <v>0.0778783405082709</v>
      </c>
      <c r="H214" s="182" t="n">
        <f aca="false">INDEX(IF_AmortDefault_Sol,1,6)</f>
        <v>0.126296671564817</v>
      </c>
      <c r="I214" s="182" t="n">
        <f aca="false">INDEX(IF_AmortDefault_Sol,1,7)</f>
        <v>0.0547539755990414</v>
      </c>
      <c r="J214" s="182" t="n">
        <f aca="false">INDEX(IF_AmortDefault_Sol,1,8)</f>
        <v>0.0707102695819418</v>
      </c>
      <c r="K214" s="182" t="n">
        <f aca="false">INDEX(IF_AmortDefault_Sol,1,9)</f>
        <v>0.120369227121036</v>
      </c>
      <c r="L214" s="182" t="n">
        <f aca="false">INDEX(IF_AmortDefault_Sol,1,10)</f>
        <v>0.0384837213809363</v>
      </c>
      <c r="M214" s="182" t="n">
        <f aca="false">INDEX(IF_AmortDefault_Sol,1,11)</f>
        <v>0.0494542255326352</v>
      </c>
      <c r="N214" s="182" t="n">
        <f aca="false">INDEX(IF_AmortDefault_Sol,1,12)</f>
        <v>0.0798791296776901</v>
      </c>
      <c r="O214" s="182" t="n">
        <f aca="false">INDEX(IF_AmortDefault_Sol,1,13)</f>
        <v>0.0291493508211308</v>
      </c>
      <c r="P214" s="182" t="n">
        <f aca="false">INDEX(IF_AmortDefault_Sol,1,14)</f>
        <v>0.0442900552405372</v>
      </c>
      <c r="Q214" s="182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3068</v>
      </c>
      <c r="B215" s="61" t="s">
        <v>3058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3069</v>
      </c>
      <c r="B216" s="61" t="s">
        <v>3056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3069</v>
      </c>
      <c r="B217" s="61" t="s">
        <v>3057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1.890740550451</v>
      </c>
      <c r="G217" s="126" t="n">
        <f aca="false">INDEX(IF_FullCostDefault_Astra,1,5)</f>
        <v>2.52424050339698</v>
      </c>
      <c r="H217" s="126" t="n">
        <f aca="false">INDEX(IF_FullCostDefault_Astra,1,6)</f>
        <v>4.09356626209152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3069</v>
      </c>
      <c r="B218" s="61" t="s">
        <v>3058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3070</v>
      </c>
      <c r="B219" s="61" t="s">
        <v>3056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3070</v>
      </c>
      <c r="B220" s="61" t="s">
        <v>3057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0.0426387824877877</v>
      </c>
      <c r="G220" s="126" t="n">
        <f aca="false">INDEX(IF_FullCostDefault_Luna,1,5)</f>
        <v>0.0569251416993579</v>
      </c>
      <c r="H220" s="126" t="n">
        <f aca="false">INDEX(IF_FullCostDefault_Luna,1,6)</f>
        <v>0.0923157544443471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3070</v>
      </c>
      <c r="B221" s="61" t="s">
        <v>3058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3071</v>
      </c>
      <c r="B222" s="61" t="s">
        <v>3056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3071</v>
      </c>
      <c r="B223" s="61" t="s">
        <v>3057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0.133918692436171</v>
      </c>
      <c r="G223" s="126" t="n">
        <f aca="false">INDEX(IF_FullCostDefault_Sol,1,5)</f>
        <v>0.178795992196144</v>
      </c>
      <c r="H223" s="126" t="n">
        <f aca="false">INDEX(IF_FullCostDefault_Sol,1,6)</f>
        <v>0.289967432961802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3071</v>
      </c>
      <c r="B224" s="61" t="s">
        <v>3058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3072</v>
      </c>
      <c r="B225" s="61" t="s">
        <v>3056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3072</v>
      </c>
      <c r="B226" s="61" t="s">
        <v>3057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0.599060192145636</v>
      </c>
      <c r="G226" s="126" t="n">
        <f aca="false">INDEX(IF_FullCost_Astra,1,5)</f>
        <v>0.79979654126841</v>
      </c>
      <c r="H226" s="126" t="n">
        <f aca="false">INDEX(IF_FullCost_Astra,1,6)</f>
        <v>1.2970668597897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3072</v>
      </c>
      <c r="B227" s="61" t="s">
        <v>3058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3073</v>
      </c>
      <c r="B228" s="61" t="s">
        <v>3056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3073</v>
      </c>
      <c r="B229" s="61" t="s">
        <v>3057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0.768239561562932</v>
      </c>
      <c r="G229" s="126" t="n">
        <f aca="false">INDEX(IF_FullCost_Astra_Prod,1,5)</f>
        <v>1.02568658738703</v>
      </c>
      <c r="H229" s="126" t="n">
        <f aca="false">INDEX(IF_FullCost_Astra_Prod,1,6)</f>
        <v>1.66344235555438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3073</v>
      </c>
      <c r="B230" s="61" t="s">
        <v>3058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3074</v>
      </c>
      <c r="B231" s="61" t="s">
        <v>3056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3074</v>
      </c>
      <c r="B232" s="61" t="s">
        <v>3057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0.0252757581494963</v>
      </c>
      <c r="G232" s="126" t="n">
        <f aca="false">INDEX(IF_FullCost_Luna,1,5)</f>
        <v>0.0337448229061386</v>
      </c>
      <c r="H232" s="126" t="n">
        <f aca="false">INDEX(IF_FullCost_Luna,1,6)</f>
        <v>0.0547246531537095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3074</v>
      </c>
      <c r="B233" s="61" t="s">
        <v>3058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3075</v>
      </c>
      <c r="B234" s="61" t="s">
        <v>3056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3075</v>
      </c>
      <c r="B235" s="61" t="s">
        <v>3057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0.0316179029806012</v>
      </c>
      <c r="G235" s="126" t="n">
        <f aca="false">INDEX(IF_FullCost_Luna_Prod,1,5)</f>
        <v>0.0422129203657971</v>
      </c>
      <c r="H235" s="126" t="n">
        <f aca="false">INDEX(IF_FullCost_Luna_Prod,1,6)</f>
        <v>0.0684592264927087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3075</v>
      </c>
      <c r="B236" s="61" t="s">
        <v>3058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3076</v>
      </c>
      <c r="B237" s="61" t="s">
        <v>3056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3076</v>
      </c>
      <c r="B238" s="61" t="s">
        <v>3057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0.0843522277428262</v>
      </c>
      <c r="G238" s="126" t="n">
        <f aca="false">INDEX(IF_FullCost_Sol,1,5)</f>
        <v>0.112622816909467</v>
      </c>
      <c r="H238" s="126" t="n">
        <f aca="false">INDEX(IF_FullCost_Sol,1,6)</f>
        <v>0.182655598421708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3076</v>
      </c>
      <c r="B239" s="61" t="s">
        <v>3058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3077</v>
      </c>
      <c r="B240" s="61" t="s">
        <v>3056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3077</v>
      </c>
      <c r="B241" s="61" t="s">
        <v>3057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0.1037019329333</v>
      </c>
      <c r="G241" s="126" t="n">
        <f aca="false">INDEX(IF_FullCost_Sol_Prod,1,5)</f>
        <v>0.138458743671178</v>
      </c>
      <c r="H241" s="126" t="n">
        <f aca="false">INDEX(IF_FullCost_Sol_Prod,1,6)</f>
        <v>0.224559394708913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3077</v>
      </c>
      <c r="B242" s="61" t="s">
        <v>3058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3078</v>
      </c>
      <c r="B243" s="61" t="s">
        <v>3056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0.76441272196215</v>
      </c>
      <c r="G243" s="61" t="n">
        <v>0.685478287726934</v>
      </c>
      <c r="H243" s="61" t="n">
        <v>0.489939455691906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3078</v>
      </c>
      <c r="B244" s="61" t="s">
        <v>3057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0.764703194772414</v>
      </c>
      <c r="G244" s="103" t="n">
        <f aca="false">INDEX(IF_GMDefault_Astra,1,5)</f>
        <v>0.685866087796282</v>
      </c>
      <c r="H244" s="103" t="n">
        <f aca="false">INDEX(IF_GMDefault_Astra,1,6)</f>
        <v>0.490568357870247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3078</v>
      </c>
      <c r="B245" s="61" t="s">
        <v>3058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0.765055108817111</v>
      </c>
      <c r="G245" s="61" t="n">
        <v>0.686335915904508</v>
      </c>
      <c r="H245" s="61" t="n">
        <v>0.491330286358827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3079</v>
      </c>
      <c r="B246" s="61" t="s">
        <v>3056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0.46198309235107</v>
      </c>
      <c r="G246" s="61" t="n">
        <v>0.281717490686818</v>
      </c>
      <c r="H246" s="61" t="n">
        <v>-0.164842056449253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3079</v>
      </c>
      <c r="B247" s="61" t="s">
        <v>3057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0.469373558642023</v>
      </c>
      <c r="G247" s="103" t="n">
        <f aca="false">INDEX(IF_GMDefault_Luna,1,5)</f>
        <v>0.291584243232548</v>
      </c>
      <c r="H247" s="103" t="n">
        <f aca="false">INDEX(IF_GMDefault_Luna,1,6)</f>
        <v>-0.148840970684629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3079</v>
      </c>
      <c r="B248" s="61" t="s">
        <v>3058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0.474763591006618</v>
      </c>
      <c r="G248" s="61" t="n">
        <v>0.298780286548522</v>
      </c>
      <c r="H248" s="61" t="n">
        <v>-0.137171020948768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3080</v>
      </c>
      <c r="B249" s="61" t="s">
        <v>3056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0.916413109354303</v>
      </c>
      <c r="G249" s="61" t="n">
        <v>0.888402438308753</v>
      </c>
      <c r="H249" s="61" t="n">
        <v>0.819013534038622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3080</v>
      </c>
      <c r="B250" s="61" t="s">
        <v>3057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0.916671167593643</v>
      </c>
      <c r="G250" s="103" t="n">
        <f aca="false">INDEX(IF_GMDefault_Sol,1,5)</f>
        <v>0.88874696282043</v>
      </c>
      <c r="H250" s="103" t="n">
        <f aca="false">INDEX(IF_GMDefault_Sol,1,6)</f>
        <v>0.819572255485605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3080</v>
      </c>
      <c r="B251" s="61" t="s">
        <v>3058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0.916915731950103</v>
      </c>
      <c r="G251" s="61" t="n">
        <v>0.889073472121967</v>
      </c>
      <c r="H251" s="61" t="n">
        <v>0.820101761350135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3081</v>
      </c>
      <c r="B252" s="61" t="s">
        <v>3056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0.402634260102595</v>
      </c>
      <c r="G252" s="61" t="n">
        <v>0.402634260102595</v>
      </c>
      <c r="H252" s="61" t="n">
        <v>0.402634260102595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3081</v>
      </c>
      <c r="B253" s="61" t="s">
        <v>3057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0.416669816052578</v>
      </c>
      <c r="G253" s="103" t="n">
        <f aca="false">INDEX(IF_PostShareGPUh_Astra,1,5)</f>
        <v>0.416669816052578</v>
      </c>
      <c r="H253" s="103" t="n">
        <f aca="false">INDEX(IF_PostShareGPUh_Astra,1,6)</f>
        <v>0.416669816052578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3081</v>
      </c>
      <c r="B254" s="61" t="s">
        <v>3058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0.437899463202178</v>
      </c>
      <c r="G254" s="61" t="n">
        <v>0.437899463202178</v>
      </c>
      <c r="H254" s="61" t="n">
        <v>0.437899463202178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3082</v>
      </c>
      <c r="B255" s="61" t="s">
        <v>3056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0.204805770896559</v>
      </c>
      <c r="G255" s="61" t="n">
        <v>0.204805770896559</v>
      </c>
      <c r="H255" s="61" t="n">
        <v>0.204805770896559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3082</v>
      </c>
      <c r="B256" s="61" t="s">
        <v>3057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0.214693934547681</v>
      </c>
      <c r="G256" s="103" t="n">
        <f aca="false">INDEX(IF_PostShareGPUh_Luna,1,5)</f>
        <v>0.214693934547681</v>
      </c>
      <c r="H256" s="103" t="n">
        <f aca="false">INDEX(IF_PostShareGPUh_Luna,1,6)</f>
        <v>0.214693934547681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3082</v>
      </c>
      <c r="B257" s="61" t="s">
        <v>3058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0.227137197591792</v>
      </c>
      <c r="G257" s="61" t="n">
        <v>0.227137197591792</v>
      </c>
      <c r="H257" s="61" t="n">
        <v>0.227137197591792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3083</v>
      </c>
      <c r="B258" s="61" t="s">
        <v>3056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0.20064723634329</v>
      </c>
      <c r="G258" s="61" t="n">
        <v>0.20064723634329</v>
      </c>
      <c r="H258" s="61" t="n">
        <v>0.20064723634329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3083</v>
      </c>
      <c r="B259" s="61" t="s">
        <v>3057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0.210900160119004</v>
      </c>
      <c r="G259" s="103" t="n">
        <f aca="false">INDEX(IF_PostShareGPUh_Sol,1,5)</f>
        <v>0.210900160119004</v>
      </c>
      <c r="H259" s="103" t="n">
        <f aca="false">INDEX(IF_PostShareGPUh_Sol,1,6)</f>
        <v>0.210900160119004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3083</v>
      </c>
      <c r="B260" s="61" t="s">
        <v>3058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0.223790887842391</v>
      </c>
      <c r="G260" s="61" t="n">
        <v>0.223790887842391</v>
      </c>
      <c r="H260" s="61" t="n">
        <v>0.223790887842391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3084</v>
      </c>
      <c r="B261" s="61" t="s">
        <v>3056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371.318044569582</v>
      </c>
      <c r="G261" s="61" t="n">
        <v>495.787698591115</v>
      </c>
      <c r="H261" s="61" t="n">
        <v>804.127791314759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3084</v>
      </c>
      <c r="B262" s="61" t="s">
        <v>3057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382.330413796237</v>
      </c>
      <c r="G262" s="69" t="n">
        <f aca="false">INDEX(IF_ProgCost_Astra,1,5)</f>
        <v>510.491528029966</v>
      </c>
      <c r="H262" s="69" t="n">
        <f aca="false">INDEX(IF_ProgCost_Astra,1,6)</f>
        <v>827.976220640721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3084</v>
      </c>
      <c r="B263" s="61" t="s">
        <v>3058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400.032328005676</v>
      </c>
      <c r="G263" s="61" t="n">
        <v>534.127307208779</v>
      </c>
      <c r="H263" s="61" t="n">
        <v>866.311554415788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3085</v>
      </c>
      <c r="B264" s="61" t="s">
        <v>3056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17.3441575199526</v>
      </c>
      <c r="G264" s="61" t="n">
        <v>23.158098741974</v>
      </c>
      <c r="H264" s="61" t="n">
        <v>37.5605745066915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3085</v>
      </c>
      <c r="B265" s="61" t="s">
        <v>3057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18.2732852679089</v>
      </c>
      <c r="G265" s="69" t="n">
        <f aca="false">INDEX(IF_ProgCost_Luna,1,5)</f>
        <v>24.3986797333728</v>
      </c>
      <c r="H265" s="69" t="n">
        <f aca="false">INDEX(IF_ProgCost_Luna,1,6)</f>
        <v>39.5726971458684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3085</v>
      </c>
      <c r="B266" s="61" t="s">
        <v>3058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19.7116674580399</v>
      </c>
      <c r="G266" s="61" t="n">
        <v>26.3192225299561</v>
      </c>
      <c r="H266" s="61" t="n">
        <v>42.6876631717108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3086</v>
      </c>
      <c r="B267" s="61" t="s">
        <v>3056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56.5244655710604</v>
      </c>
      <c r="G267" s="61" t="n">
        <v>75.4720518149159</v>
      </c>
      <c r="H267" s="61" t="n">
        <v>122.409600932783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3086</v>
      </c>
      <c r="B268" s="61" t="s">
        <v>3057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58.6856239928768</v>
      </c>
      <c r="G268" s="69" t="n">
        <f aca="false">INDEX(IF_ProgCost_Sol,1,5)</f>
        <v>78.3576529213344</v>
      </c>
      <c r="H268" s="69" t="n">
        <f aca="false">INDEX(IF_ProgCost_Sol,1,6)</f>
        <v>127.089813957256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3086</v>
      </c>
      <c r="B269" s="61" t="s">
        <v>3058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61.9545751251606</v>
      </c>
      <c r="G269" s="61" t="n">
        <v>82.7223903274049</v>
      </c>
      <c r="H269" s="61" t="n">
        <v>134.169067153708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3087</v>
      </c>
      <c r="B270" s="61" t="s">
        <v>3056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246849552.692315</v>
      </c>
      <c r="G270" s="61" t="n">
        <v>246849552.692315</v>
      </c>
      <c r="H270" s="61" t="n">
        <v>246849552.692315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3087</v>
      </c>
      <c r="B271" s="61" t="s">
        <v>3057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254170496.17308</v>
      </c>
      <c r="G271" s="69" t="n">
        <f aca="false">INDEX(IF_ProgGPUh_Astra,1,5)</f>
        <v>254170496.17308</v>
      </c>
      <c r="H271" s="69" t="n">
        <f aca="false">INDEX(IF_ProgGPUh_Astra,1,6)</f>
        <v>254170496.17308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3087</v>
      </c>
      <c r="B272" s="61" t="s">
        <v>3058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265938600.816266</v>
      </c>
      <c r="G272" s="61" t="n">
        <v>265938600.816266</v>
      </c>
      <c r="H272" s="61" t="n">
        <v>265938600.816266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3088</v>
      </c>
      <c r="B273" s="61" t="s">
        <v>3056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11530270.5813508</v>
      </c>
      <c r="G273" s="61" t="n">
        <v>11530270.5813508</v>
      </c>
      <c r="H273" s="61" t="n">
        <v>11530270.5813508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3088</v>
      </c>
      <c r="B274" s="61" t="s">
        <v>3057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12147947.9938312</v>
      </c>
      <c r="G274" s="69" t="n">
        <f aca="false">INDEX(IF_ProgGPUh_Luna,1,5)</f>
        <v>12147947.9938312</v>
      </c>
      <c r="H274" s="69" t="n">
        <f aca="false">INDEX(IF_ProgGPUh_Luna,1,6)</f>
        <v>12147947.9938312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3088</v>
      </c>
      <c r="B275" s="61" t="s">
        <v>3058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13104174.0793316</v>
      </c>
      <c r="G275" s="61" t="n">
        <v>13104174.0793316</v>
      </c>
      <c r="H275" s="61" t="n">
        <v>13104174.0793316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3089</v>
      </c>
      <c r="B276" s="61" t="s">
        <v>3056</v>
      </c>
      <c r="C276" s="61" t="n">
        <v>102173916.5855</v>
      </c>
      <c r="D276" s="61" t="n">
        <v>102173916.5855</v>
      </c>
      <c r="E276" s="61" t="n">
        <v>102173916.5855</v>
      </c>
      <c r="F276" s="61" t="n">
        <v>37577056.2364192</v>
      </c>
      <c r="G276" s="61" t="n">
        <v>37577056.2364192</v>
      </c>
      <c r="H276" s="61" t="n">
        <v>37577056.2364192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3089</v>
      </c>
      <c r="B277" s="61" t="s">
        <v>3057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39013778.7375866</v>
      </c>
      <c r="G277" s="69" t="n">
        <f aca="false">INDEX(IF_ProgGPUh_Sol,1,5)</f>
        <v>39013778.7375866</v>
      </c>
      <c r="H277" s="69" t="n">
        <f aca="false">INDEX(IF_ProgGPUh_Sol,1,6)</f>
        <v>39013778.7375866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3089</v>
      </c>
      <c r="B278" s="61" t="s">
        <v>3058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41186953.8271858</v>
      </c>
      <c r="G278" s="61" t="n">
        <v>41186953.8271858</v>
      </c>
      <c r="H278" s="61" t="n">
        <v>41186953.8271858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3090</v>
      </c>
      <c r="B279" s="61" t="s">
        <v>3056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0.0561597644364947</v>
      </c>
      <c r="G279" s="61" t="n">
        <v>0.0561597644364947</v>
      </c>
      <c r="H279" s="61" t="n">
        <v>0.0561597644364947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3090</v>
      </c>
      <c r="B280" s="61" t="s">
        <v>3057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0.0578253233036203</v>
      </c>
      <c r="G280" s="102" t="n">
        <f aca="false">INDEX(IF_ProgGWyr_Astra,1,5)</f>
        <v>0.0578253233036203</v>
      </c>
      <c r="H280" s="102" t="n">
        <f aca="false">INDEX(IF_ProgGWyr_Astra,1,6)</f>
        <v>0.0578253233036203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3090</v>
      </c>
      <c r="B281" s="61" t="s">
        <v>3058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0.060502638200152</v>
      </c>
      <c r="G281" s="61" t="n">
        <v>0.060502638200152</v>
      </c>
      <c r="H281" s="61" t="n">
        <v>0.060502638200152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3091</v>
      </c>
      <c r="B282" s="61" t="s">
        <v>3056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0.00262320621072717</v>
      </c>
      <c r="G282" s="61" t="n">
        <v>0.00262320621072717</v>
      </c>
      <c r="H282" s="61" t="n">
        <v>0.00262320621072717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3091</v>
      </c>
      <c r="B283" s="61" t="s">
        <v>3057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0.00276373155340779</v>
      </c>
      <c r="G283" s="102" t="n">
        <f aca="false">INDEX(IF_ProgGWyr_Luna,1,5)</f>
        <v>0.00276373155340779</v>
      </c>
      <c r="H283" s="102" t="n">
        <f aca="false">INDEX(IF_ProgGWyr_Luna,1,6)</f>
        <v>0.00276373155340779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3091</v>
      </c>
      <c r="B284" s="61" t="s">
        <v>3058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0.00298127876434671</v>
      </c>
      <c r="G284" s="61" t="n">
        <v>0.00298127876434671</v>
      </c>
      <c r="H284" s="61" t="n">
        <v>0.00298127876434671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3092</v>
      </c>
      <c r="B285" s="61" t="s">
        <v>3056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0.00854900729386624</v>
      </c>
      <c r="G285" s="61" t="n">
        <v>0.00854900729386624</v>
      </c>
      <c r="H285" s="61" t="n">
        <v>0.00854900729386624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3092</v>
      </c>
      <c r="B286" s="61" t="s">
        <v>3057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0.00887587034201096</v>
      </c>
      <c r="G286" s="102" t="n">
        <f aca="false">INDEX(IF_ProgGWyr_Sol,1,5)</f>
        <v>0.00887587034201096</v>
      </c>
      <c r="H286" s="102" t="n">
        <f aca="false">INDEX(IF_ProgGWyr_Sol,1,6)</f>
        <v>0.00887587034201096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3092</v>
      </c>
      <c r="B287" s="61" t="s">
        <v>3058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0.00937028080287686</v>
      </c>
      <c r="G287" s="61" t="n">
        <v>0.00937028080287686</v>
      </c>
      <c r="H287" s="61" t="n">
        <v>0.00937028080287686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3093</v>
      </c>
      <c r="B288" s="61" t="s">
        <v>3056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0.105635557190853</v>
      </c>
      <c r="G288" s="61" t="n">
        <v>0.105635557190853</v>
      </c>
      <c r="H288" s="61" t="n">
        <v>0.105635557190853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3093</v>
      </c>
      <c r="B289" s="61" t="s">
        <v>3057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0.11524673684497</v>
      </c>
      <c r="G289" s="103" t="n">
        <f aca="false">INDEX(IF_RLMFU_Astra,1,5)</f>
        <v>0.11524673684497</v>
      </c>
      <c r="H289" s="103" t="n">
        <f aca="false">INDEX(IF_RLMFU_Astra,1,6)</f>
        <v>0.11524673684497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3093</v>
      </c>
      <c r="B290" s="61" t="s">
        <v>3058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0.122161232466222</v>
      </c>
      <c r="G290" s="61" t="n">
        <v>0.122161232466222</v>
      </c>
      <c r="H290" s="61" t="n">
        <v>0.122161232466222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3094</v>
      </c>
      <c r="B291" s="61" t="s">
        <v>3056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0.113621428141311</v>
      </c>
      <c r="G291" s="61" t="n">
        <v>0.113621428141311</v>
      </c>
      <c r="H291" s="61" t="n">
        <v>0.113621428141311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3094</v>
      </c>
      <c r="B292" s="61" t="s">
        <v>3057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0.12223346909218</v>
      </c>
      <c r="G292" s="103" t="n">
        <f aca="false">INDEX(IF_RLMFU_Luna,1,5)</f>
        <v>0.12223346909218</v>
      </c>
      <c r="H292" s="103" t="n">
        <f aca="false">INDEX(IF_RLMFU_Luna,1,6)</f>
        <v>0.12223346909218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3094</v>
      </c>
      <c r="B293" s="61" t="s">
        <v>3058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0.129834016722821</v>
      </c>
      <c r="G293" s="61" t="n">
        <v>0.129834016722821</v>
      </c>
      <c r="H293" s="61" t="n">
        <v>0.129834016722821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3095</v>
      </c>
      <c r="B294" s="61" t="s">
        <v>3056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0.111274094775743</v>
      </c>
      <c r="G294" s="61" t="n">
        <v>0.111274094775743</v>
      </c>
      <c r="H294" s="61" t="n">
        <v>0.111274094775743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3095</v>
      </c>
      <c r="B295" s="61" t="s">
        <v>3057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0.120133991950214</v>
      </c>
      <c r="G295" s="103" t="n">
        <f aca="false">INDEX(IF_RLMFU_Sol,1,5)</f>
        <v>0.120133991950214</v>
      </c>
      <c r="H295" s="103" t="n">
        <f aca="false">INDEX(IF_RLMFU_Sol,1,6)</f>
        <v>0.120133991950214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3095</v>
      </c>
      <c r="B296" s="61" t="s">
        <v>3058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0.1280058060561</v>
      </c>
      <c r="G296" s="61" t="n">
        <v>0.1280058060561</v>
      </c>
      <c r="H296" s="61" t="n">
        <v>0.1280058060561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3096</v>
      </c>
      <c r="B297" s="61" t="s">
        <v>3056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46.4147555711978</v>
      </c>
      <c r="G297" s="61" t="n">
        <v>61.9734623238894</v>
      </c>
      <c r="H297" s="61" t="n">
        <v>100.515973914345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3096</v>
      </c>
      <c r="B298" s="61" t="s">
        <v>3057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47.7913017245296</v>
      </c>
      <c r="G298" s="75" t="n">
        <f aca="false">INDEX(IF_TrainCost_Astra,1,5)</f>
        <v>63.8114410037457</v>
      </c>
      <c r="H298" s="75" t="n">
        <f aca="false">INDEX(IF_TrainCost_Astra,1,6)</f>
        <v>103.49702758009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3096</v>
      </c>
      <c r="B299" s="61" t="s">
        <v>3058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50.0040410007095</v>
      </c>
      <c r="G299" s="61" t="n">
        <v>66.7659134010974</v>
      </c>
      <c r="H299" s="61" t="n">
        <v>108.288944301973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3097</v>
      </c>
      <c r="B300" s="61" t="s">
        <v>3056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2.16801968999408</v>
      </c>
      <c r="G300" s="61" t="n">
        <v>2.89476234274675</v>
      </c>
      <c r="H300" s="61" t="n">
        <v>4.69507181333643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3097</v>
      </c>
      <c r="B301" s="61" t="s">
        <v>3057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2.28416065848862</v>
      </c>
      <c r="G301" s="75" t="n">
        <f aca="false">INDEX(IF_TrainCost_Luna,1,5)</f>
        <v>3.0498349666716</v>
      </c>
      <c r="H301" s="75" t="n">
        <f aca="false">INDEX(IF_TrainCost_Luna,1,6)</f>
        <v>4.94658714323355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3097</v>
      </c>
      <c r="B302" s="61" t="s">
        <v>3058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2.46395843225499</v>
      </c>
      <c r="G302" s="61" t="n">
        <v>3.28990281624451</v>
      </c>
      <c r="H302" s="61" t="n">
        <v>5.33595789646385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3098</v>
      </c>
      <c r="B303" s="61" t="s">
        <v>3056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7.06555819638256</v>
      </c>
      <c r="G303" s="61" t="n">
        <v>9.43400647686449</v>
      </c>
      <c r="H303" s="61" t="n">
        <v>15.3012001165979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3098</v>
      </c>
      <c r="B304" s="61" t="s">
        <v>3057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7.3357029991096</v>
      </c>
      <c r="G304" s="75" t="n">
        <f aca="false">INDEX(IF_TrainCost_Sol,1,5)</f>
        <v>9.79470661516679</v>
      </c>
      <c r="H304" s="75" t="n">
        <f aca="false">INDEX(IF_TrainCost_Sol,1,6)</f>
        <v>15.886226744657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3098</v>
      </c>
      <c r="B305" s="61" t="s">
        <v>3058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7.74432189064507</v>
      </c>
      <c r="G305" s="61" t="n">
        <v>10.3402987909256</v>
      </c>
      <c r="H305" s="61" t="n">
        <v>16.7711333942135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3099</v>
      </c>
      <c r="B306" s="61" t="s">
        <v>3056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30856194.0865393</v>
      </c>
      <c r="G306" s="61" t="n">
        <v>30856194.0865393</v>
      </c>
      <c r="H306" s="61" t="n">
        <v>30856194.0865393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3099</v>
      </c>
      <c r="B307" s="61" t="s">
        <v>3057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31771312.021635</v>
      </c>
      <c r="G307" s="69" t="n">
        <f aca="false">INDEX(IF_TrainGPUh_Astra,1,5)</f>
        <v>31771312.021635</v>
      </c>
      <c r="H307" s="69" t="n">
        <f aca="false">INDEX(IF_TrainGPUh_Astra,1,6)</f>
        <v>31771312.021635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3099</v>
      </c>
      <c r="B308" s="61" t="s">
        <v>3058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33242325.1020332</v>
      </c>
      <c r="G308" s="61" t="n">
        <v>33242325.1020332</v>
      </c>
      <c r="H308" s="61" t="n">
        <v>33242325.1020332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3100</v>
      </c>
      <c r="B309" s="61" t="s">
        <v>3056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1441283.82266885</v>
      </c>
      <c r="G309" s="61" t="n">
        <v>1441283.82266885</v>
      </c>
      <c r="H309" s="61" t="n">
        <v>1441283.82266885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3100</v>
      </c>
      <c r="B310" s="61" t="s">
        <v>3057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1518493.4992289</v>
      </c>
      <c r="G310" s="69" t="n">
        <f aca="false">INDEX(IF_TrainGPUh_Luna,1,5)</f>
        <v>1518493.4992289</v>
      </c>
      <c r="H310" s="69" t="n">
        <f aca="false">INDEX(IF_TrainGPUh_Luna,1,6)</f>
        <v>1518493.4992289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3100</v>
      </c>
      <c r="B311" s="61" t="s">
        <v>3058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1638021.75991645</v>
      </c>
      <c r="G311" s="61" t="n">
        <v>1638021.75991645</v>
      </c>
      <c r="H311" s="61" t="n">
        <v>1638021.75991645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3101</v>
      </c>
      <c r="B312" s="61" t="s">
        <v>3056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4697132.0295524</v>
      </c>
      <c r="G312" s="61" t="n">
        <v>4697132.0295524</v>
      </c>
      <c r="H312" s="61" t="n">
        <v>4697132.0295524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3101</v>
      </c>
      <c r="B313" s="61" t="s">
        <v>3057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4876722.34219832</v>
      </c>
      <c r="G313" s="69" t="n">
        <f aca="false">INDEX(IF_TrainGPUh_Sol,1,5)</f>
        <v>4876722.34219832</v>
      </c>
      <c r="H313" s="69" t="n">
        <f aca="false">INDEX(IF_TrainGPUh_Sol,1,6)</f>
        <v>4876722.34219832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3101</v>
      </c>
      <c r="B314" s="61" t="s">
        <v>3058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5148369.22839822</v>
      </c>
      <c r="G314" s="61" t="n">
        <v>5148369.22839822</v>
      </c>
      <c r="H314" s="61" t="n">
        <v>5148369.22839822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3102</v>
      </c>
      <c r="B315" s="61" t="s">
        <v>3056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0.135734156718301</v>
      </c>
      <c r="G315" s="61" t="n">
        <v>0.135734156718301</v>
      </c>
      <c r="H315" s="61" t="n">
        <v>0.135734156718301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3102</v>
      </c>
      <c r="B316" s="61" t="s">
        <v>3057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0.160627846136576</v>
      </c>
      <c r="G316" s="103" t="n">
        <f aca="false">INDEX(IF_TrainInferShare_Astra,1,5)</f>
        <v>0.160627846136576</v>
      </c>
      <c r="H316" s="103" t="n">
        <f aca="false">INDEX(IF_TrainInferShare_Astra,1,6)</f>
        <v>0.160627846136576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3102</v>
      </c>
      <c r="B317" s="61" t="s">
        <v>3058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0.197771078863687</v>
      </c>
      <c r="G317" s="61" t="n">
        <v>0.197771078863687</v>
      </c>
      <c r="H317" s="61" t="n">
        <v>0.197771078863687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3103</v>
      </c>
      <c r="B318" s="61" t="s">
        <v>3056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0.233582054098076</v>
      </c>
      <c r="G318" s="61" t="n">
        <v>0.233582054098076</v>
      </c>
      <c r="H318" s="61" t="n">
        <v>0.233582054098076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3103</v>
      </c>
      <c r="B319" s="61" t="s">
        <v>3057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0.272551520706235</v>
      </c>
      <c r="G319" s="103" t="n">
        <f aca="false">INDEX(IF_TrainInferShare_Luna,1,5)</f>
        <v>0.272551520706235</v>
      </c>
      <c r="H319" s="103" t="n">
        <f aca="false">INDEX(IF_TrainInferShare_Luna,1,6)</f>
        <v>0.272551520706235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3103</v>
      </c>
      <c r="B320" s="61" t="s">
        <v>3058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0.325634241337626</v>
      </c>
      <c r="G320" s="61" t="n">
        <v>0.325634241337626</v>
      </c>
      <c r="H320" s="61" t="n">
        <v>0.325634241337626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3104</v>
      </c>
      <c r="B321" s="61" t="s">
        <v>3056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0.162454527772943</v>
      </c>
      <c r="G321" s="61" t="n">
        <v>0.162454527772943</v>
      </c>
      <c r="H321" s="61" t="n">
        <v>0.162454527772943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3104</v>
      </c>
      <c r="B322" s="61" t="s">
        <v>3057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0.193298000633985</v>
      </c>
      <c r="G322" s="103" t="n">
        <f aca="false">INDEX(IF_TrainInferShare_Sol,1,5)</f>
        <v>0.193298000633985</v>
      </c>
      <c r="H322" s="103" t="n">
        <f aca="false">INDEX(IF_TrainInferShare_Sol,1,6)</f>
        <v>0.193298000633985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3104</v>
      </c>
      <c r="B323" s="61" t="s">
        <v>3058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0.23586256360477</v>
      </c>
      <c r="G323" s="61" t="n">
        <v>0.23586256360477</v>
      </c>
      <c r="H323" s="61" t="n">
        <v>0.23586256360477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3105</v>
      </c>
      <c r="B324" s="61" t="s">
        <v>3056</v>
      </c>
      <c r="C324" s="61" t="n">
        <v>0.153313016520972</v>
      </c>
    </row>
    <row r="325" customFormat="false" ht="15" hidden="false" customHeight="false" outlineLevel="0" collapsed="false">
      <c r="A325" s="62" t="s">
        <v>3105</v>
      </c>
      <c r="B325" s="61" t="s">
        <v>3057</v>
      </c>
      <c r="C325" s="116" t="n">
        <f aca="false">L1_Ans1</f>
        <v>0.184322317309608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3105</v>
      </c>
      <c r="B326" s="61" t="s">
        <v>3058</v>
      </c>
      <c r="C326" s="61" t="n">
        <v>0.190680493048307</v>
      </c>
    </row>
    <row r="327" customFormat="false" ht="15" hidden="false" customHeight="false" outlineLevel="0" collapsed="false">
      <c r="A327" s="10" t="s">
        <v>3106</v>
      </c>
      <c r="B327" s="61" t="s">
        <v>3056</v>
      </c>
      <c r="C327" s="61" t="n">
        <v>0.558989196311711</v>
      </c>
    </row>
    <row r="328" customFormat="false" ht="15" hidden="false" customHeight="false" outlineLevel="0" collapsed="false">
      <c r="A328" s="62" t="s">
        <v>3106</v>
      </c>
      <c r="B328" s="61" t="s">
        <v>3057</v>
      </c>
      <c r="C328" s="116" t="n">
        <f aca="false">L1_Ans1_Hi</f>
        <v>0.61267650366603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3106</v>
      </c>
      <c r="B329" s="61" t="s">
        <v>3058</v>
      </c>
      <c r="C329" s="61" t="n">
        <v>0.622533492082219</v>
      </c>
    </row>
    <row r="330" customFormat="false" ht="15" hidden="false" customHeight="false" outlineLevel="0" collapsed="false">
      <c r="A330" s="10" t="s">
        <v>3107</v>
      </c>
      <c r="B330" s="61" t="s">
        <v>3056</v>
      </c>
      <c r="C330" s="61" t="n">
        <v>0.0830205757080398</v>
      </c>
    </row>
    <row r="331" customFormat="false" ht="15" hidden="false" customHeight="false" outlineLevel="0" collapsed="false">
      <c r="A331" s="62" t="s">
        <v>3107</v>
      </c>
      <c r="B331" s="61" t="s">
        <v>3057</v>
      </c>
      <c r="C331" s="116" t="n">
        <f aca="false">L1_Ans1_Lo</f>
        <v>0.101517091423676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3107</v>
      </c>
      <c r="B332" s="61" t="s">
        <v>3058</v>
      </c>
      <c r="C332" s="61" t="n">
        <v>0.105387960675648</v>
      </c>
    </row>
    <row r="333" customFormat="false" ht="15" hidden="false" customHeight="false" outlineLevel="0" collapsed="false">
      <c r="A333" s="10" t="s">
        <v>3108</v>
      </c>
      <c r="B333" s="61" t="s">
        <v>3056</v>
      </c>
      <c r="C333" s="61" t="n">
        <v>0.153883942337164</v>
      </c>
    </row>
    <row r="334" customFormat="false" ht="15" hidden="false" customHeight="false" outlineLevel="0" collapsed="false">
      <c r="A334" s="62" t="s">
        <v>3108</v>
      </c>
      <c r="B334" s="61" t="s">
        <v>3057</v>
      </c>
      <c r="C334" s="116" t="n">
        <f aca="false">L1_Ans2</f>
        <v>0.184983490208217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3108</v>
      </c>
      <c r="B335" s="61" t="s">
        <v>3058</v>
      </c>
      <c r="C335" s="61" t="n">
        <v>0.191359122452657</v>
      </c>
    </row>
    <row r="336" customFormat="false" ht="15" hidden="false" customHeight="false" outlineLevel="0" collapsed="false">
      <c r="A336" s="10" t="s">
        <v>3109</v>
      </c>
      <c r="B336" s="61" t="s">
        <v>3056</v>
      </c>
      <c r="C336" s="61" t="n">
        <v>0.560071517623849</v>
      </c>
    </row>
    <row r="337" customFormat="false" ht="15" hidden="false" customHeight="false" outlineLevel="0" collapsed="false">
      <c r="A337" s="62" t="s">
        <v>3109</v>
      </c>
      <c r="B337" s="61" t="s">
        <v>3057</v>
      </c>
      <c r="C337" s="116" t="n">
        <f aca="false">L1_Ans2_Hi</f>
        <v>0.613718116401616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3109</v>
      </c>
      <c r="B338" s="61" t="s">
        <v>3058</v>
      </c>
      <c r="C338" s="61" t="n">
        <v>0.62356488362824</v>
      </c>
    </row>
    <row r="339" customFormat="false" ht="15" hidden="false" customHeight="false" outlineLevel="0" collapsed="false">
      <c r="A339" s="10" t="s">
        <v>3110</v>
      </c>
      <c r="B339" s="61" t="s">
        <v>3056</v>
      </c>
      <c r="C339" s="61" t="n">
        <v>0.0833555082836879</v>
      </c>
    </row>
    <row r="340" customFormat="false" ht="15" hidden="false" customHeight="false" outlineLevel="0" collapsed="false">
      <c r="A340" s="62" t="s">
        <v>3110</v>
      </c>
      <c r="B340" s="61" t="s">
        <v>3057</v>
      </c>
      <c r="C340" s="116" t="n">
        <f aca="false">L1_Ans2_Lo</f>
        <v>0.101918351271327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3110</v>
      </c>
      <c r="B341" s="61" t="s">
        <v>3058</v>
      </c>
      <c r="C341" s="61" t="n">
        <v>0.105802718952231</v>
      </c>
    </row>
    <row r="342" customFormat="false" ht="15" hidden="false" customHeight="false" outlineLevel="0" collapsed="false">
      <c r="A342" s="10" t="s">
        <v>3111</v>
      </c>
      <c r="B342" s="61" t="s">
        <v>3056</v>
      </c>
      <c r="C342" s="61" t="n">
        <v>1.52771609039391</v>
      </c>
    </row>
    <row r="343" customFormat="false" ht="15" hidden="false" customHeight="false" outlineLevel="0" collapsed="false">
      <c r="A343" s="62" t="s">
        <v>3111</v>
      </c>
      <c r="B343" s="61" t="s">
        <v>3057</v>
      </c>
      <c r="C343" s="116" t="n">
        <f aca="false">L1_Ans3</f>
        <v>1.90653968242434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3111</v>
      </c>
      <c r="B344" s="61" t="s">
        <v>3058</v>
      </c>
      <c r="C344" s="61" t="n">
        <v>1.98780036136401</v>
      </c>
    </row>
    <row r="345" customFormat="false" ht="15" hidden="false" customHeight="false" outlineLevel="0" collapsed="false">
      <c r="A345" s="10" t="s">
        <v>3112</v>
      </c>
      <c r="B345" s="61" t="s">
        <v>3056</v>
      </c>
      <c r="C345" s="61" t="n">
        <v>10.6940126327574</v>
      </c>
    </row>
    <row r="346" customFormat="false" ht="15" hidden="false" customHeight="false" outlineLevel="0" collapsed="false">
      <c r="A346" s="62" t="s">
        <v>3112</v>
      </c>
      <c r="B346" s="61" t="s">
        <v>3057</v>
      </c>
      <c r="C346" s="116" t="n">
        <f aca="false">L1_Ans3_Hi</f>
        <v>13.3457777769704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3112</v>
      </c>
      <c r="B347" s="61" t="s">
        <v>3058</v>
      </c>
      <c r="C347" s="61" t="n">
        <v>13.9146025295481</v>
      </c>
    </row>
    <row r="348" customFormat="false" ht="15" hidden="false" customHeight="false" outlineLevel="0" collapsed="false">
      <c r="A348" s="10" t="s">
        <v>3113</v>
      </c>
      <c r="B348" s="61" t="s">
        <v>3056</v>
      </c>
      <c r="C348" s="61" t="n">
        <v>0.763858045196955</v>
      </c>
    </row>
    <row r="349" customFormat="false" ht="15" hidden="false" customHeight="false" outlineLevel="0" collapsed="false">
      <c r="A349" s="62" t="s">
        <v>3113</v>
      </c>
      <c r="B349" s="61" t="s">
        <v>3057</v>
      </c>
      <c r="C349" s="116" t="n">
        <f aca="false">L1_Ans3_Lo</f>
        <v>0.95326984121217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3113</v>
      </c>
      <c r="B350" s="61" t="s">
        <v>3058</v>
      </c>
      <c r="C350" s="61" t="n">
        <v>0.993900180682007</v>
      </c>
    </row>
    <row r="351" customFormat="false" ht="15" hidden="false" customHeight="false" outlineLevel="0" collapsed="false">
      <c r="A351" s="10" t="s">
        <v>3114</v>
      </c>
      <c r="B351" s="61" t="s">
        <v>3056</v>
      </c>
      <c r="C351" s="61" t="n">
        <v>0.929355267188663</v>
      </c>
    </row>
    <row r="352" customFormat="false" ht="15" hidden="false" customHeight="false" outlineLevel="0" collapsed="false">
      <c r="A352" s="62" t="s">
        <v>3114</v>
      </c>
      <c r="B352" s="61" t="s">
        <v>3057</v>
      </c>
      <c r="C352" s="116" t="n">
        <f aca="false">L1_Ans5_FullMargin</f>
        <v>0.929445151757729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3114</v>
      </c>
      <c r="B353" s="61" t="s">
        <v>3058</v>
      </c>
      <c r="C353" s="61" t="n">
        <v>0.929798362553058</v>
      </c>
    </row>
    <row r="354" customFormat="false" ht="15" hidden="false" customHeight="false" outlineLevel="0" collapsed="false">
      <c r="A354" s="10" t="s">
        <v>3115</v>
      </c>
      <c r="B354" s="61" t="s">
        <v>3056</v>
      </c>
      <c r="C354" s="61" t="n">
        <v>0.945028925617829</v>
      </c>
    </row>
    <row r="355" customFormat="false" ht="15" hidden="false" customHeight="false" outlineLevel="0" collapsed="false">
      <c r="A355" s="62" t="s">
        <v>3115</v>
      </c>
      <c r="B355" s="61" t="s">
        <v>3057</v>
      </c>
      <c r="C355" s="116" t="n">
        <f aca="false">L1_Ans5_FullMargin_Hi</f>
        <v>0.945098870959711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3115</v>
      </c>
      <c r="B356" s="61" t="s">
        <v>3058</v>
      </c>
      <c r="C356" s="61" t="n">
        <v>0.945373728480778</v>
      </c>
    </row>
    <row r="357" customFormat="false" ht="15" hidden="false" customHeight="false" outlineLevel="0" collapsed="false">
      <c r="A357" s="10" t="s">
        <v>3116</v>
      </c>
      <c r="B357" s="61" t="s">
        <v>3056</v>
      </c>
      <c r="C357" s="61" t="n">
        <v>0.885886931666831</v>
      </c>
    </row>
    <row r="358" customFormat="false" ht="15" hidden="false" customHeight="false" outlineLevel="0" collapsed="false">
      <c r="A358" s="62" t="s">
        <v>3116</v>
      </c>
      <c r="B358" s="61" t="s">
        <v>3057</v>
      </c>
      <c r="C358" s="116" t="n">
        <f aca="false">L1_Ans5_FullMargin_Lo</f>
        <v>0.886032114430712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3116</v>
      </c>
      <c r="B359" s="61" t="s">
        <v>3058</v>
      </c>
      <c r="C359" s="61" t="n">
        <v>0.886602625254</v>
      </c>
    </row>
    <row r="360" customFormat="false" ht="15" hidden="false" customHeight="false" outlineLevel="0" collapsed="false">
      <c r="A360" s="10" t="s">
        <v>3117</v>
      </c>
      <c r="B360" s="61" t="s">
        <v>3056</v>
      </c>
      <c r="C360" s="61" t="n">
        <v>0.255750165631584</v>
      </c>
    </row>
    <row r="361" customFormat="false" ht="15" hidden="false" customHeight="false" outlineLevel="0" collapsed="false">
      <c r="A361" s="62" t="s">
        <v>3117</v>
      </c>
      <c r="B361" s="61" t="s">
        <v>3057</v>
      </c>
      <c r="C361" s="116" t="n">
        <f aca="false">L1_Ans6_GPUh</f>
        <v>0.282310936548276</v>
      </c>
      <c r="R361" s="105" t="n">
        <f aca="false">SUMPRODUCT((C361&lt;C360-0.000000001*ABS(C360)-0.000000000001)+(C361&gt;C362+0.000000001*ABS(C362)+0.000000000001))</f>
        <v>0</v>
      </c>
    </row>
    <row r="362" customFormat="false" ht="15" hidden="false" customHeight="false" outlineLevel="0" collapsed="false">
      <c r="A362" s="62" t="s">
        <v>3117</v>
      </c>
      <c r="B362" s="61" t="s">
        <v>3058</v>
      </c>
      <c r="C362" s="61" t="n">
        <v>0.289555034699528</v>
      </c>
    </row>
    <row r="363" customFormat="false" ht="15" hidden="false" customHeight="false" outlineLevel="0" collapsed="false">
      <c r="A363" s="10" t="s">
        <v>3118</v>
      </c>
      <c r="B363" s="61" t="s">
        <v>3056</v>
      </c>
      <c r="C363" s="61" t="n">
        <v>0.255750165631584</v>
      </c>
    </row>
    <row r="364" customFormat="false" ht="15" hidden="false" customHeight="false" outlineLevel="0" collapsed="false">
      <c r="A364" s="62" t="s">
        <v>3118</v>
      </c>
      <c r="B364" s="61" t="s">
        <v>3057</v>
      </c>
      <c r="C364" s="116" t="n">
        <f aca="false">L1_Ans6_GPUh_Hi</f>
        <v>0.282310936548276</v>
      </c>
      <c r="R364" s="105" t="n">
        <f aca="false">SUMPRODUCT((C364&lt;C363-0.000000001*ABS(C363)-0.000000000001)+(C364&gt;C365+0.000000001*ABS(C365)+0.000000000001))</f>
        <v>0</v>
      </c>
    </row>
    <row r="365" customFormat="false" ht="15" hidden="false" customHeight="false" outlineLevel="0" collapsed="false">
      <c r="A365" s="62" t="s">
        <v>3118</v>
      </c>
      <c r="B365" s="61" t="s">
        <v>3058</v>
      </c>
      <c r="C365" s="61" t="n">
        <v>0.289555034699528</v>
      </c>
    </row>
    <row r="366" customFormat="false" ht="15" hidden="false" customHeight="false" outlineLevel="0" collapsed="false">
      <c r="A366" s="10" t="s">
        <v>3119</v>
      </c>
      <c r="B366" s="61" t="s">
        <v>3056</v>
      </c>
      <c r="C366" s="61" t="n">
        <v>0.255750165631584</v>
      </c>
    </row>
    <row r="367" customFormat="false" ht="15" hidden="false" customHeight="false" outlineLevel="0" collapsed="false">
      <c r="A367" s="62" t="s">
        <v>3119</v>
      </c>
      <c r="B367" s="61" t="s">
        <v>3057</v>
      </c>
      <c r="C367" s="116" t="n">
        <f aca="false">L1_Ans6_GPUh_Lo</f>
        <v>0.282310936548276</v>
      </c>
      <c r="R367" s="105" t="n">
        <f aca="false">SUMPRODUCT((C367&lt;C366-0.000000001*ABS(C366)-0.000000000001)+(C367&gt;C368+0.000000001*ABS(C368)+0.000000000001))</f>
        <v>0</v>
      </c>
    </row>
    <row r="368" customFormat="false" ht="15" hidden="false" customHeight="false" outlineLevel="0" collapsed="false">
      <c r="A368" s="62" t="s">
        <v>3119</v>
      </c>
      <c r="B368" s="61" t="s">
        <v>3058</v>
      </c>
      <c r="C368" s="61" t="n">
        <v>0.289555034699528</v>
      </c>
    </row>
    <row r="369" customFormat="false" ht="15" hidden="false" customHeight="false" outlineLevel="0" collapsed="false">
      <c r="A369" s="10" t="s">
        <v>3120</v>
      </c>
      <c r="B369" s="61" t="s">
        <v>3056</v>
      </c>
      <c r="C369" s="61" t="n">
        <v>0.972034022206469</v>
      </c>
    </row>
    <row r="370" customFormat="false" ht="15" hidden="false" customHeight="false" outlineLevel="0" collapsed="false">
      <c r="A370" s="62" t="s">
        <v>3120</v>
      </c>
      <c r="B370" s="61" t="s">
        <v>3057</v>
      </c>
      <c r="C370" s="116" t="n">
        <f aca="false">L1_RLshare_Astra_VR200</f>
        <v>1.12717162997901</v>
      </c>
      <c r="R370" s="105" t="n">
        <f aca="false">SUMPRODUCT((C370&lt;C369-0.000000001*ABS(C369)-0.000000000001)+(C370&gt;C371+0.000000001*ABS(C371)+0.000000000001))</f>
        <v>0</v>
      </c>
    </row>
    <row r="371" customFormat="false" ht="15" hidden="false" customHeight="false" outlineLevel="0" collapsed="false">
      <c r="A371" s="62" t="s">
        <v>3120</v>
      </c>
      <c r="B371" s="61" t="s">
        <v>3058</v>
      </c>
      <c r="C371" s="61" t="n">
        <v>1.17149666077117</v>
      </c>
    </row>
    <row r="372" customFormat="false" ht="15" hidden="false" customHeight="false" outlineLevel="0" collapsed="false">
      <c r="A372" s="10" t="s">
        <v>3121</v>
      </c>
      <c r="B372" s="61" t="s">
        <v>3056</v>
      </c>
      <c r="C372" s="61" t="n">
        <v>2.91610206661941</v>
      </c>
    </row>
    <row r="373" customFormat="false" ht="15" hidden="false" customHeight="false" outlineLevel="0" collapsed="false">
      <c r="A373" s="62" t="s">
        <v>3121</v>
      </c>
      <c r="B373" s="61" t="s">
        <v>3057</v>
      </c>
      <c r="C373" s="116" t="n">
        <f aca="false">L1_RLshare_Astra_VR200_Hi</f>
        <v>3.38151488993704</v>
      </c>
      <c r="R373" s="105" t="n">
        <f aca="false">SUMPRODUCT((C373&lt;C372-0.000000001*ABS(C372)-0.000000000001)+(C373&gt;C374+0.000000001*ABS(C374)+0.000000000001))</f>
        <v>0</v>
      </c>
    </row>
    <row r="374" customFormat="false" ht="15" hidden="false" customHeight="false" outlineLevel="0" collapsed="false">
      <c r="A374" s="62" t="s">
        <v>3121</v>
      </c>
      <c r="B374" s="61" t="s">
        <v>3058</v>
      </c>
      <c r="C374" s="61" t="n">
        <v>3.51448998231351</v>
      </c>
    </row>
    <row r="375" customFormat="false" ht="15" hidden="false" customHeight="false" outlineLevel="0" collapsed="false">
      <c r="A375" s="10" t="s">
        <v>3122</v>
      </c>
      <c r="B375" s="61" t="s">
        <v>3056</v>
      </c>
      <c r="C375" s="61" t="n">
        <v>0.291610206661941</v>
      </c>
    </row>
    <row r="376" customFormat="false" ht="15" hidden="false" customHeight="false" outlineLevel="0" collapsed="false">
      <c r="A376" s="62" t="s">
        <v>3122</v>
      </c>
      <c r="B376" s="61" t="s">
        <v>3057</v>
      </c>
      <c r="C376" s="116" t="n">
        <f aca="false">L1_RLshare_Astra_VR200_Lo</f>
        <v>0.338151488993704</v>
      </c>
      <c r="R376" s="105" t="n">
        <f aca="false">SUMPRODUCT((C376&lt;C375-0.000000001*ABS(C375)-0.000000000001)+(C376&gt;C377+0.000000001*ABS(C377)+0.000000000001))</f>
        <v>0</v>
      </c>
    </row>
    <row r="377" customFormat="false" ht="15" hidden="false" customHeight="false" outlineLevel="0" collapsed="false">
      <c r="A377" s="62" t="s">
        <v>3122</v>
      </c>
      <c r="B377" s="61" t="s">
        <v>3058</v>
      </c>
      <c r="C377" s="61" t="n">
        <v>0.351448998231351</v>
      </c>
    </row>
    <row r="378" customFormat="false" ht="15" hidden="false" customHeight="false" outlineLevel="0" collapsed="false">
      <c r="A378" s="10" t="s">
        <v>3123</v>
      </c>
      <c r="B378" s="61" t="s">
        <v>3056</v>
      </c>
      <c r="C378" s="61" t="n">
        <v>0.324106750891038</v>
      </c>
    </row>
    <row r="379" customFormat="false" ht="15" hidden="false" customHeight="false" outlineLevel="0" collapsed="false">
      <c r="A379" s="62" t="s">
        <v>3123</v>
      </c>
      <c r="B379" s="61" t="s">
        <v>3057</v>
      </c>
      <c r="C379" s="116" t="n">
        <f aca="false">L1_RLshare_Sol_VR200</f>
        <v>0.371397626434424</v>
      </c>
      <c r="R379" s="105" t="n">
        <f aca="false">SUMPRODUCT((C379&lt;C378-0.000000001*ABS(C378)-0.000000000001)+(C379&gt;C380+0.000000001*ABS(C380)+0.000000000001))</f>
        <v>0</v>
      </c>
    </row>
    <row r="380" customFormat="false" ht="15" hidden="false" customHeight="false" outlineLevel="0" collapsed="false">
      <c r="A380" s="62" t="s">
        <v>3123</v>
      </c>
      <c r="B380" s="61" t="s">
        <v>3058</v>
      </c>
      <c r="C380" s="61" t="n">
        <v>0.384909305161106</v>
      </c>
    </row>
    <row r="381" customFormat="false" ht="15" hidden="false" customHeight="false" outlineLevel="0" collapsed="false">
      <c r="A381" s="10" t="s">
        <v>3124</v>
      </c>
      <c r="B381" s="61" t="s">
        <v>3056</v>
      </c>
      <c r="C381" s="61" t="n">
        <v>0.972320252673115</v>
      </c>
    </row>
    <row r="382" customFormat="false" ht="15" hidden="false" customHeight="false" outlineLevel="0" collapsed="false">
      <c r="A382" s="62" t="s">
        <v>3124</v>
      </c>
      <c r="B382" s="61" t="s">
        <v>3057</v>
      </c>
      <c r="C382" s="116" t="n">
        <f aca="false">L1_RLshare_Sol_VR200_Hi</f>
        <v>1.11419287930327</v>
      </c>
      <c r="R382" s="105" t="n">
        <f aca="false">SUMPRODUCT((C382&lt;C381-0.000000001*ABS(C381)-0.000000000001)+(C382&gt;C383+0.000000001*ABS(C383)+0.000000000001))</f>
        <v>0</v>
      </c>
    </row>
    <row r="383" customFormat="false" ht="15" hidden="false" customHeight="false" outlineLevel="0" collapsed="false">
      <c r="A383" s="62" t="s">
        <v>3124</v>
      </c>
      <c r="B383" s="61" t="s">
        <v>3058</v>
      </c>
      <c r="C383" s="61" t="n">
        <v>1.15472791548332</v>
      </c>
    </row>
    <row r="384" customFormat="false" ht="15" hidden="false" customHeight="false" outlineLevel="0" collapsed="false">
      <c r="A384" s="10" t="s">
        <v>3125</v>
      </c>
      <c r="B384" s="61" t="s">
        <v>3056</v>
      </c>
      <c r="C384" s="61" t="n">
        <v>0.0972320252673115</v>
      </c>
    </row>
    <row r="385" customFormat="false" ht="15" hidden="false" customHeight="false" outlineLevel="0" collapsed="false">
      <c r="A385" s="62" t="s">
        <v>3125</v>
      </c>
      <c r="B385" s="61" t="s">
        <v>3057</v>
      </c>
      <c r="C385" s="116" t="n">
        <f aca="false">L1_RLshare_Sol_VR200_Lo</f>
        <v>0.111419287930327</v>
      </c>
      <c r="R385" s="105" t="n">
        <f aca="false">SUMPRODUCT((C385&lt;C384-0.000000001*ABS(C384)-0.000000000001)+(C385&gt;C386+0.000000001*ABS(C386)+0.000000000001))</f>
        <v>0</v>
      </c>
    </row>
    <row r="386" customFormat="false" ht="15" hidden="false" customHeight="false" outlineLevel="0" collapsed="false">
      <c r="A386" s="62" t="s">
        <v>3125</v>
      </c>
      <c r="B386" s="61" t="s">
        <v>3058</v>
      </c>
      <c r="C386" s="61" t="n">
        <v>0.115472791548332</v>
      </c>
    </row>
    <row r="387" customFormat="false" ht="15" hidden="false" customHeight="false" outlineLevel="0" collapsed="false">
      <c r="A387" s="10" t="s">
        <v>3126</v>
      </c>
      <c r="B387" s="61" t="s">
        <v>3056</v>
      </c>
      <c r="C387" s="61" t="n">
        <v>6.03682353280472</v>
      </c>
    </row>
    <row r="388" customFormat="false" ht="15" hidden="false" customHeight="false" outlineLevel="0" collapsed="false">
      <c r="A388" s="62" t="s">
        <v>3126</v>
      </c>
      <c r="B388" s="61" t="s">
        <v>3057</v>
      </c>
      <c r="C388" s="116" t="n">
        <f aca="false">L1_ScaleRD</f>
        <v>6.29412548326343</v>
      </c>
      <c r="R388" s="105" t="n">
        <f aca="false">SUMPRODUCT((C388&lt;C387-0.000000001*ABS(C387)-0.000000000001)+(C388&gt;C389+0.000000001*ABS(C389)+0.000000000001))</f>
        <v>0</v>
      </c>
    </row>
    <row r="389" customFormat="false" ht="15" hidden="false" customHeight="false" outlineLevel="0" collapsed="false">
      <c r="A389" s="62" t="s">
        <v>3126</v>
      </c>
      <c r="B389" s="61" t="s">
        <v>3058</v>
      </c>
      <c r="C389" s="61" t="n">
        <v>7.8548626118783</v>
      </c>
    </row>
    <row r="390" customFormat="false" ht="15" hidden="false" customHeight="false" outlineLevel="0" collapsed="false">
      <c r="A390" s="10" t="s">
        <v>3127</v>
      </c>
      <c r="B390" s="61" t="s">
        <v>3056</v>
      </c>
      <c r="C390" s="61" t="n">
        <v>12.0736470656094</v>
      </c>
    </row>
    <row r="391" customFormat="false" ht="15" hidden="false" customHeight="false" outlineLevel="0" collapsed="false">
      <c r="A391" s="62" t="s">
        <v>3127</v>
      </c>
      <c r="B391" s="61" t="s">
        <v>3057</v>
      </c>
      <c r="C391" s="116" t="n">
        <f aca="false">L1_ScaleRD_Hi</f>
        <v>12.5882509665269</v>
      </c>
      <c r="R391" s="105" t="n">
        <f aca="false">SUMPRODUCT((C391&lt;C390-0.000000001*ABS(C390)-0.000000000001)+(C391&gt;C392+0.000000001*ABS(C392)+0.000000000001))</f>
        <v>0</v>
      </c>
    </row>
    <row r="392" customFormat="false" ht="15" hidden="false" customHeight="false" outlineLevel="0" collapsed="false">
      <c r="A392" s="62" t="s">
        <v>3127</v>
      </c>
      <c r="B392" s="61" t="s">
        <v>3058</v>
      </c>
      <c r="C392" s="61" t="n">
        <v>15.7097252237566</v>
      </c>
    </row>
    <row r="393" customFormat="false" ht="15" hidden="false" customHeight="false" outlineLevel="0" collapsed="false">
      <c r="A393" s="10" t="s">
        <v>3128</v>
      </c>
      <c r="B393" s="61" t="s">
        <v>3056</v>
      </c>
      <c r="C393" s="61" t="n">
        <v>0.862403361829246</v>
      </c>
    </row>
    <row r="394" customFormat="false" ht="15" hidden="false" customHeight="false" outlineLevel="0" collapsed="false">
      <c r="A394" s="62" t="s">
        <v>3128</v>
      </c>
      <c r="B394" s="61" t="s">
        <v>3057</v>
      </c>
      <c r="C394" s="116" t="n">
        <f aca="false">L1_ScaleRD_Lo</f>
        <v>0.899160783323347</v>
      </c>
      <c r="R394" s="105" t="n">
        <f aca="false">SUMPRODUCT((C394&lt;C393-0.000000001*ABS(C393)-0.000000000001)+(C394&gt;C395+0.000000001*ABS(C395)+0.000000000001))</f>
        <v>0</v>
      </c>
    </row>
    <row r="395" customFormat="false" ht="15" hidden="false" customHeight="false" outlineLevel="0" collapsed="false">
      <c r="A395" s="62" t="s">
        <v>3128</v>
      </c>
      <c r="B395" s="61" t="s">
        <v>3058</v>
      </c>
      <c r="C395" s="61" t="n">
        <v>1.12212323026833</v>
      </c>
    </row>
    <row r="397" customFormat="false" ht="15" hidden="false" customHeight="false" outlineLevel="0" collapsed="false">
      <c r="A397" s="60" t="s">
        <v>3129</v>
      </c>
    </row>
    <row r="398" customFormat="false" ht="15" hidden="false" customHeight="false" outlineLevel="0" collapsed="false">
      <c r="A398" s="65" t="s">
        <v>3130</v>
      </c>
    </row>
    <row r="399" customFormat="false" ht="15" hidden="false" customHeight="false" outlineLevel="0" collapsed="false">
      <c r="A399" s="65" t="s">
        <v>3131</v>
      </c>
    </row>
    <row r="400" customFormat="false" ht="15" hidden="false" customHeight="false" outlineLevel="0" collapsed="false">
      <c r="A400" s="65" t="s">
        <v>3132</v>
      </c>
    </row>
    <row r="402" customFormat="false" ht="15" hidden="false" customHeight="false" outlineLevel="0" collapsed="false">
      <c r="A402" s="77" t="s">
        <v>3133</v>
      </c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</row>
    <row r="403" customFormat="false" ht="15" hidden="false" customHeight="false" outlineLevel="0" collapsed="false">
      <c r="A403" s="60" t="s">
        <v>3134</v>
      </c>
      <c r="C403" s="105" t="n">
        <f aca="false">COUNT(C407:C1010)</f>
        <v>604</v>
      </c>
      <c r="D403" s="65" t="s">
        <v>3135</v>
      </c>
      <c r="Y403" s="65" t="s">
        <v>3136</v>
      </c>
    </row>
    <row r="404" customFormat="false" ht="15" hidden="false" customHeight="false" outlineLevel="0" collapsed="false">
      <c r="A404" s="60" t="s">
        <v>3137</v>
      </c>
      <c r="C404" s="105" t="n">
        <f aca="false">SUM(E407:E1010)</f>
        <v>0</v>
      </c>
      <c r="D404" s="65" t="s">
        <v>3138</v>
      </c>
    </row>
    <row r="406" customFormat="false" ht="15" hidden="false" customHeight="false" outlineLevel="0" collapsed="false">
      <c r="A406" s="60" t="s">
        <v>12</v>
      </c>
      <c r="B406" s="60" t="s">
        <v>3139</v>
      </c>
      <c r="C406" s="60" t="s">
        <v>3140</v>
      </c>
      <c r="D406" s="60" t="s">
        <v>3141</v>
      </c>
      <c r="E406" s="60" t="s">
        <v>3142</v>
      </c>
    </row>
    <row r="407" customFormat="false" ht="15" hidden="false" customHeight="false" outlineLevel="0" collapsed="false">
      <c r="A407" s="62" t="s">
        <v>3143</v>
      </c>
      <c r="B407" s="62" t="s">
        <v>3144</v>
      </c>
      <c r="C407" s="63" t="n">
        <f aca="false">Inputs!E5</f>
        <v>1</v>
      </c>
      <c r="D407" s="61" t="n">
        <v>1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3143</v>
      </c>
      <c r="B408" s="62" t="s">
        <v>3145</v>
      </c>
      <c r="C408" s="63" t="n">
        <f aca="false">Inputs!E6</f>
        <v>2</v>
      </c>
      <c r="D408" s="61" t="n">
        <v>2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3143</v>
      </c>
      <c r="B409" s="62" t="s">
        <v>3146</v>
      </c>
      <c r="C409" s="112" t="n">
        <f aca="false">Inputs!E8</f>
        <v>0.08</v>
      </c>
      <c r="D409" s="61" t="n">
        <v>0.08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3143</v>
      </c>
      <c r="B410" s="62" t="s">
        <v>3147</v>
      </c>
      <c r="C410" s="97" t="n">
        <f aca="false">Inputs!D9</f>
        <v>1.1</v>
      </c>
      <c r="D410" s="61" t="n">
        <v>1.1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3143</v>
      </c>
      <c r="B411" s="62" t="s">
        <v>3148</v>
      </c>
      <c r="C411" s="97" t="n">
        <f aca="false">Inputs!E9</f>
        <v>1.2</v>
      </c>
      <c r="D411" s="61" t="n">
        <v>1.2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3143</v>
      </c>
      <c r="B412" s="62" t="s">
        <v>3149</v>
      </c>
      <c r="C412" s="97" t="n">
        <f aca="false">Inputs!F9</f>
        <v>1.3</v>
      </c>
      <c r="D412" s="61" t="n">
        <v>1.3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3143</v>
      </c>
      <c r="B413" s="62" t="s">
        <v>3150</v>
      </c>
      <c r="C413" s="112" t="n">
        <f aca="false">Inputs!D10</f>
        <v>0.7</v>
      </c>
      <c r="D413" s="61" t="n">
        <v>0.7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3143</v>
      </c>
      <c r="B414" s="62" t="s">
        <v>3151</v>
      </c>
      <c r="C414" s="112" t="n">
        <f aca="false">Inputs!E10</f>
        <v>0.8</v>
      </c>
      <c r="D414" s="61" t="n">
        <v>0.8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3143</v>
      </c>
      <c r="B415" s="62" t="s">
        <v>3152</v>
      </c>
      <c r="C415" s="112" t="n">
        <f aca="false">Inputs!F10</f>
        <v>0.9</v>
      </c>
      <c r="D415" s="61" t="n">
        <v>0.9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3143</v>
      </c>
      <c r="B416" s="62" t="s">
        <v>3153</v>
      </c>
      <c r="C416" s="97" t="n">
        <f aca="false">Inputs!D11</f>
        <v>0.06</v>
      </c>
      <c r="D416" s="61" t="n">
        <v>0.06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3143</v>
      </c>
      <c r="B417" s="62" t="s">
        <v>3154</v>
      </c>
      <c r="C417" s="97" t="n">
        <f aca="false">Inputs!E11</f>
        <v>0.08</v>
      </c>
      <c r="D417" s="61" t="n">
        <v>0.08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3143</v>
      </c>
      <c r="B418" s="62" t="s">
        <v>3155</v>
      </c>
      <c r="C418" s="97" t="n">
        <f aca="false">Inputs!F11</f>
        <v>0.1</v>
      </c>
      <c r="D418" s="61" t="n">
        <v>0.1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3143</v>
      </c>
      <c r="B419" s="62" t="s">
        <v>3156</v>
      </c>
      <c r="C419" s="112" t="n">
        <f aca="false">Inputs!D13</f>
        <v>0.05</v>
      </c>
      <c r="D419" s="61" t="n">
        <v>0.05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3143</v>
      </c>
      <c r="B420" s="62" t="s">
        <v>3157</v>
      </c>
      <c r="C420" s="112" t="n">
        <f aca="false">Inputs!E13</f>
        <v>0.1</v>
      </c>
      <c r="D420" s="61" t="n">
        <v>0.1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3143</v>
      </c>
      <c r="B421" s="62" t="s">
        <v>3158</v>
      </c>
      <c r="C421" s="63" t="n">
        <f aca="false">Inputs!D14</f>
        <v>300</v>
      </c>
      <c r="D421" s="61" t="n">
        <v>300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3143</v>
      </c>
      <c r="B422" s="62" t="s">
        <v>3159</v>
      </c>
      <c r="C422" s="63" t="n">
        <f aca="false">Inputs!E14</f>
        <v>500</v>
      </c>
      <c r="D422" s="61" t="n">
        <v>500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3143</v>
      </c>
      <c r="B423" s="62" t="s">
        <v>3160</v>
      </c>
      <c r="C423" s="63" t="n">
        <f aca="false">Inputs!F14</f>
        <v>800</v>
      </c>
      <c r="D423" s="61" t="n">
        <v>800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3143</v>
      </c>
      <c r="B424" s="62" t="s">
        <v>3161</v>
      </c>
      <c r="C424" s="97" t="n">
        <f aca="false">Inputs!D16</f>
        <v>0.02</v>
      </c>
      <c r="D424" s="61" t="n">
        <v>0.02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3143</v>
      </c>
      <c r="B425" s="62" t="s">
        <v>3162</v>
      </c>
      <c r="C425" s="97" t="n">
        <f aca="false">Inputs!E16</f>
        <v>0.02</v>
      </c>
      <c r="D425" s="61" t="n">
        <v>0.02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3143</v>
      </c>
      <c r="B426" s="62" t="s">
        <v>3163</v>
      </c>
      <c r="C426" s="97" t="n">
        <f aca="false">Inputs!F16</f>
        <v>0.02</v>
      </c>
      <c r="D426" s="61" t="n">
        <v>0.02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3143</v>
      </c>
      <c r="B427" s="62" t="s">
        <v>3164</v>
      </c>
      <c r="C427" s="97" t="n">
        <f aca="false">Inputs!D17</f>
        <v>3</v>
      </c>
      <c r="D427" s="61" t="n">
        <v>3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3143</v>
      </c>
      <c r="B428" s="62" t="s">
        <v>3165</v>
      </c>
      <c r="C428" s="97" t="n">
        <f aca="false">Inputs!E17</f>
        <v>3.6</v>
      </c>
      <c r="D428" s="61" t="n">
        <v>3.6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3143</v>
      </c>
      <c r="B429" s="62" t="s">
        <v>3166</v>
      </c>
      <c r="C429" s="97" t="n">
        <f aca="false">Inputs!F17</f>
        <v>4.5</v>
      </c>
      <c r="D429" s="61" t="n">
        <v>4.5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3143</v>
      </c>
      <c r="B430" s="62" t="s">
        <v>3167</v>
      </c>
      <c r="C430" s="97" t="n">
        <f aca="false">Inputs!D18</f>
        <v>3.8</v>
      </c>
      <c r="D430" s="61" t="n">
        <v>3.8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3143</v>
      </c>
      <c r="B431" s="62" t="s">
        <v>3168</v>
      </c>
      <c r="C431" s="97" t="n">
        <f aca="false">Inputs!E18</f>
        <v>4.5</v>
      </c>
      <c r="D431" s="61" t="n">
        <v>4.5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3143</v>
      </c>
      <c r="B432" s="62" t="s">
        <v>3169</v>
      </c>
      <c r="C432" s="97" t="n">
        <f aca="false">Inputs!F18</f>
        <v>5.5</v>
      </c>
      <c r="D432" s="61" t="n">
        <v>5.5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3143</v>
      </c>
      <c r="B433" s="62" t="s">
        <v>3170</v>
      </c>
      <c r="C433" s="97" t="n">
        <f aca="false">Inputs!D19</f>
        <v>2</v>
      </c>
      <c r="D433" s="61" t="n">
        <v>2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3143</v>
      </c>
      <c r="B434" s="62" t="s">
        <v>3171</v>
      </c>
      <c r="C434" s="97" t="n">
        <f aca="false">Inputs!E19</f>
        <v>2.5</v>
      </c>
      <c r="D434" s="61" t="n">
        <v>2.5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3143</v>
      </c>
      <c r="B435" s="62" t="s">
        <v>3172</v>
      </c>
      <c r="C435" s="97" t="n">
        <f aca="false">Inputs!F19</f>
        <v>3.2</v>
      </c>
      <c r="D435" s="61" t="n">
        <v>3.2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3143</v>
      </c>
      <c r="B436" s="62" t="s">
        <v>3173</v>
      </c>
      <c r="C436" s="97" t="n">
        <f aca="false">Inputs!D20</f>
        <v>0.3</v>
      </c>
      <c r="D436" s="61" t="n">
        <v>0.3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3143</v>
      </c>
      <c r="B437" s="62" t="s">
        <v>3174</v>
      </c>
      <c r="C437" s="97" t="n">
        <f aca="false">Inputs!E20</f>
        <v>0.4</v>
      </c>
      <c r="D437" s="61" t="n">
        <v>0.4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3143</v>
      </c>
      <c r="B438" s="62" t="s">
        <v>3175</v>
      </c>
      <c r="C438" s="97" t="n">
        <f aca="false">Inputs!F20</f>
        <v>0.5</v>
      </c>
      <c r="D438" s="61" t="n">
        <v>0.5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3143</v>
      </c>
      <c r="B439" s="62" t="s">
        <v>3176</v>
      </c>
      <c r="C439" s="112" t="n">
        <f aca="false">Inputs!D21</f>
        <v>0.12</v>
      </c>
      <c r="D439" s="61" t="n">
        <v>0.12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3143</v>
      </c>
      <c r="B440" s="62" t="s">
        <v>3177</v>
      </c>
      <c r="C440" s="112" t="n">
        <f aca="false">Inputs!E21</f>
        <v>0.15</v>
      </c>
      <c r="D440" s="61" t="n">
        <v>0.15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3143</v>
      </c>
      <c r="B441" s="62" t="s">
        <v>3178</v>
      </c>
      <c r="C441" s="112" t="n">
        <f aca="false">Inputs!F21</f>
        <v>0.18</v>
      </c>
      <c r="D441" s="61" t="n">
        <v>0.18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3143</v>
      </c>
      <c r="B442" s="62" t="s">
        <v>3179</v>
      </c>
      <c r="C442" s="63" t="n">
        <f aca="false">Inputs!E24</f>
        <v>30</v>
      </c>
      <c r="D442" s="61" t="n">
        <v>30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3143</v>
      </c>
      <c r="B443" s="62" t="s">
        <v>3180</v>
      </c>
      <c r="C443" s="63" t="n">
        <f aca="false">Inputs!E25</f>
        <v>20</v>
      </c>
      <c r="D443" s="61" t="n">
        <v>20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3143</v>
      </c>
      <c r="B444" s="62" t="s">
        <v>3181</v>
      </c>
      <c r="C444" s="63" t="n">
        <f aca="false">Inputs!E26</f>
        <v>15</v>
      </c>
      <c r="D444" s="61" t="n">
        <v>15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3143</v>
      </c>
      <c r="B445" s="62" t="s">
        <v>3182</v>
      </c>
      <c r="C445" s="63" t="n">
        <f aca="false">Inputs!E27</f>
        <v>10</v>
      </c>
      <c r="D445" s="61" t="n">
        <v>10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3143</v>
      </c>
      <c r="B446" s="62" t="s">
        <v>3183</v>
      </c>
      <c r="C446" s="112" t="n">
        <f aca="false">Inputs!D28</f>
        <v>0.08</v>
      </c>
      <c r="D446" s="61" t="n">
        <v>0.08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3143</v>
      </c>
      <c r="B447" s="62" t="s">
        <v>3184</v>
      </c>
      <c r="C447" s="112" t="n">
        <f aca="false">Inputs!E28</f>
        <v>0.1</v>
      </c>
      <c r="D447" s="61" t="n">
        <v>0.1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3143</v>
      </c>
      <c r="B448" s="62" t="s">
        <v>3185</v>
      </c>
      <c r="C448" s="112" t="n">
        <f aca="false">Inputs!F28</f>
        <v>0.13</v>
      </c>
      <c r="D448" s="61" t="n">
        <v>0.13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3143</v>
      </c>
      <c r="B449" s="62" t="s">
        <v>3186</v>
      </c>
      <c r="C449" s="112" t="n">
        <f aca="false">Inputs!D31</f>
        <v>0.015</v>
      </c>
      <c r="D449" s="61" t="n">
        <v>0.015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3143</v>
      </c>
      <c r="B450" s="62" t="s">
        <v>3187</v>
      </c>
      <c r="C450" s="112" t="n">
        <f aca="false">Inputs!E31</f>
        <v>0.02</v>
      </c>
      <c r="D450" s="61" t="n">
        <v>0.02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3143</v>
      </c>
      <c r="B451" s="62" t="s">
        <v>3188</v>
      </c>
      <c r="C451" s="112" t="n">
        <f aca="false">Inputs!F31</f>
        <v>0.025</v>
      </c>
      <c r="D451" s="61" t="n">
        <v>0.025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3143</v>
      </c>
      <c r="B452" s="62" t="s">
        <v>3189</v>
      </c>
      <c r="C452" s="63" t="n">
        <f aca="false">Inputs!D32</f>
        <v>50</v>
      </c>
      <c r="D452" s="61" t="n">
        <v>50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3143</v>
      </c>
      <c r="B453" s="62" t="s">
        <v>3190</v>
      </c>
      <c r="C453" s="63" t="n">
        <f aca="false">Inputs!E32</f>
        <v>75</v>
      </c>
      <c r="D453" s="61" t="n">
        <v>75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3143</v>
      </c>
      <c r="B454" s="62" t="s">
        <v>3191</v>
      </c>
      <c r="C454" s="63" t="n">
        <f aca="false">Inputs!F32</f>
        <v>100</v>
      </c>
      <c r="D454" s="61" t="n">
        <v>100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3143</v>
      </c>
      <c r="B455" s="62" t="s">
        <v>3192</v>
      </c>
      <c r="C455" s="63" t="n">
        <f aca="false">Inputs!D33</f>
        <v>150</v>
      </c>
      <c r="D455" s="61" t="n">
        <v>150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3143</v>
      </c>
      <c r="B456" s="62" t="s">
        <v>3193</v>
      </c>
      <c r="C456" s="63" t="n">
        <f aca="false">Inputs!E33</f>
        <v>200</v>
      </c>
      <c r="D456" s="61" t="n">
        <v>200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3143</v>
      </c>
      <c r="B457" s="62" t="s">
        <v>3194</v>
      </c>
      <c r="C457" s="63" t="n">
        <f aca="false">Inputs!F33</f>
        <v>250</v>
      </c>
      <c r="D457" s="61" t="n">
        <v>250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3143</v>
      </c>
      <c r="B458" s="62" t="s">
        <v>3195</v>
      </c>
      <c r="C458" s="97" t="n">
        <f aca="false">Inputs!D34</f>
        <v>0.04</v>
      </c>
      <c r="D458" s="61" t="n">
        <v>0.04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3143</v>
      </c>
      <c r="B459" s="62" t="s">
        <v>3196</v>
      </c>
      <c r="C459" s="97" t="n">
        <f aca="false">Inputs!E34</f>
        <v>0.05</v>
      </c>
      <c r="D459" s="61" t="n">
        <v>0.05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3143</v>
      </c>
      <c r="B460" s="62" t="s">
        <v>3197</v>
      </c>
      <c r="C460" s="97" t="n">
        <f aca="false">Inputs!F34</f>
        <v>0.06</v>
      </c>
      <c r="D460" s="61" t="n">
        <v>0.06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3143</v>
      </c>
      <c r="B461" s="62" t="s">
        <v>3198</v>
      </c>
      <c r="C461" s="112" t="n">
        <f aca="false">Inputs!D35</f>
        <v>0.003</v>
      </c>
      <c r="D461" s="61" t="n">
        <v>0.003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3143</v>
      </c>
      <c r="B462" s="62" t="s">
        <v>3199</v>
      </c>
      <c r="C462" s="112" t="n">
        <f aca="false">Inputs!E35</f>
        <v>0.005</v>
      </c>
      <c r="D462" s="61" t="n">
        <v>0.005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3143</v>
      </c>
      <c r="B463" s="62" t="s">
        <v>3200</v>
      </c>
      <c r="C463" s="112" t="n">
        <f aca="false">Inputs!F35</f>
        <v>0.008</v>
      </c>
      <c r="D463" s="61" t="n">
        <v>0.008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3143</v>
      </c>
      <c r="B464" s="62" t="s">
        <v>3201</v>
      </c>
      <c r="C464" s="113" t="n">
        <f aca="false">Inputs!D37</f>
        <v>0.0025</v>
      </c>
      <c r="D464" s="61" t="n">
        <v>0.0025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3143</v>
      </c>
      <c r="B465" s="62" t="s">
        <v>3202</v>
      </c>
      <c r="C465" s="113" t="n">
        <f aca="false">Inputs!E37</f>
        <v>0.005</v>
      </c>
      <c r="D465" s="61" t="n">
        <v>0.005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3143</v>
      </c>
      <c r="B466" s="62" t="s">
        <v>3203</v>
      </c>
      <c r="C466" s="113" t="n">
        <f aca="false">Inputs!F37</f>
        <v>0.01</v>
      </c>
      <c r="D466" s="61" t="n">
        <v>0.01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3143</v>
      </c>
      <c r="B467" s="62" t="s">
        <v>3204</v>
      </c>
      <c r="C467" s="113" t="n">
        <f aca="false">Inputs!D38</f>
        <v>0.02</v>
      </c>
      <c r="D467" s="61" t="n">
        <v>0.02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3143</v>
      </c>
      <c r="B468" s="62" t="s">
        <v>3205</v>
      </c>
      <c r="C468" s="113" t="n">
        <f aca="false">Inputs!E38</f>
        <v>0.03</v>
      </c>
      <c r="D468" s="61" t="n">
        <v>0.03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3143</v>
      </c>
      <c r="B469" s="62" t="s">
        <v>3206</v>
      </c>
      <c r="C469" s="113" t="n">
        <f aca="false">Inputs!F38</f>
        <v>0.05</v>
      </c>
      <c r="D469" s="61" t="n">
        <v>0.05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3207</v>
      </c>
      <c r="B470" s="62" t="s">
        <v>3208</v>
      </c>
      <c r="C470" s="63" t="n">
        <f aca="false">Spec_Rack!C6</f>
        <v>32</v>
      </c>
      <c r="D470" s="61" t="n">
        <v>32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3207</v>
      </c>
      <c r="B471" s="62" t="s">
        <v>3209</v>
      </c>
      <c r="C471" s="63" t="n">
        <f aca="false">Spec_Rack!C8</f>
        <v>38</v>
      </c>
      <c r="D471" s="61" t="n">
        <v>38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3207</v>
      </c>
      <c r="B472" s="62" t="s">
        <v>3210</v>
      </c>
      <c r="C472" s="63" t="n">
        <f aca="false">Spec_Rack!G8</f>
        <v>300</v>
      </c>
      <c r="D472" s="61" t="n">
        <v>300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3207</v>
      </c>
      <c r="B473" s="62" t="s">
        <v>3211</v>
      </c>
      <c r="C473" s="63" t="n">
        <f aca="false">Spec_Rack!C9</f>
        <v>41</v>
      </c>
      <c r="D473" s="61" t="n">
        <v>41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3207</v>
      </c>
      <c r="B474" s="62" t="s">
        <v>3148</v>
      </c>
      <c r="C474" s="63" t="n">
        <f aca="false">Spec_Rack!E9</f>
        <v>136</v>
      </c>
      <c r="D474" s="61" t="n">
        <v>136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3207</v>
      </c>
      <c r="B475" s="62" t="s">
        <v>3212</v>
      </c>
      <c r="C475" s="63" t="n">
        <f aca="false">Spec_Rack!G9</f>
        <v>340</v>
      </c>
      <c r="D475" s="61" t="n">
        <v>340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3207</v>
      </c>
      <c r="B476" s="62" t="s">
        <v>3213</v>
      </c>
      <c r="C476" s="63" t="n">
        <f aca="false">Spec_Rack!C10</f>
        <v>44</v>
      </c>
      <c r="D476" s="61" t="n">
        <v>44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3207</v>
      </c>
      <c r="B477" s="62" t="s">
        <v>3150</v>
      </c>
      <c r="C477" s="63" t="n">
        <f aca="false">Spec_Rack!D10</f>
        <v>140</v>
      </c>
      <c r="D477" s="61" t="n">
        <v>140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3207</v>
      </c>
      <c r="B478" s="62" t="s">
        <v>3214</v>
      </c>
      <c r="C478" s="63" t="n">
        <f aca="false">Spec_Rack!G10</f>
        <v>454</v>
      </c>
      <c r="D478" s="61" t="n">
        <v>454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3207</v>
      </c>
      <c r="B479" s="62" t="s">
        <v>3215</v>
      </c>
      <c r="C479" s="98" t="n">
        <f aca="false">Spec_Rack!C11</f>
        <v>0.9</v>
      </c>
      <c r="D479" s="61" t="n">
        <v>0.9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3207</v>
      </c>
      <c r="B480" s="62" t="s">
        <v>3155</v>
      </c>
      <c r="C480" s="98" t="n">
        <f aca="false">Spec_Rack!F11</f>
        <v>7.8</v>
      </c>
      <c r="D480" s="61" t="n">
        <v>7.8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3207</v>
      </c>
      <c r="B481" s="62" t="s">
        <v>3216</v>
      </c>
      <c r="C481" s="98" t="n">
        <f aca="false">Spec_Rack!C12</f>
        <v>1.1</v>
      </c>
      <c r="D481" s="61" t="n">
        <v>1.1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3207</v>
      </c>
      <c r="B482" s="62" t="s">
        <v>3217</v>
      </c>
      <c r="C482" s="98" t="n">
        <f aca="false">Spec_Rack!D12</f>
        <v>3.1</v>
      </c>
      <c r="D482" s="61" t="n">
        <v>3.1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3207</v>
      </c>
      <c r="B483" s="62" t="s">
        <v>3218</v>
      </c>
      <c r="C483" s="98" t="n">
        <f aca="false">Spec_Rack!E12</f>
        <v>4.3</v>
      </c>
      <c r="D483" s="61" t="n">
        <v>4.3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3207</v>
      </c>
      <c r="B484" s="62" t="s">
        <v>3219</v>
      </c>
      <c r="C484" s="98" t="n">
        <f aca="false">Spec_Rack!F12</f>
        <v>8.4</v>
      </c>
      <c r="D484" s="61" t="n">
        <v>8.4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3207</v>
      </c>
      <c r="B485" s="62" t="s">
        <v>3220</v>
      </c>
      <c r="C485" s="98" t="n">
        <f aca="false">Spec_Rack!C13</f>
        <v>1.3</v>
      </c>
      <c r="D485" s="61" t="n">
        <v>1.3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3207</v>
      </c>
      <c r="B486" s="62" t="s">
        <v>3221</v>
      </c>
      <c r="C486" s="98" t="n">
        <f aca="false">Spec_Rack!F13</f>
        <v>9.1</v>
      </c>
      <c r="D486" s="61" t="n">
        <v>9.1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3207</v>
      </c>
      <c r="B487" s="62" t="s">
        <v>3222</v>
      </c>
      <c r="C487" s="94" t="n">
        <f aca="false">Spec_Rack!G23</f>
        <v>70</v>
      </c>
      <c r="D487" s="61" t="n">
        <v>70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3207</v>
      </c>
      <c r="B488" s="62" t="s">
        <v>3223</v>
      </c>
      <c r="C488" s="94" t="n">
        <f aca="false">Spec_Rack!G24</f>
        <v>100</v>
      </c>
      <c r="D488" s="61" t="n">
        <v>100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3207</v>
      </c>
      <c r="B489" s="62" t="s">
        <v>3224</v>
      </c>
      <c r="C489" s="63" t="n">
        <f aca="false">Spec_Rack!D25</f>
        <v>186</v>
      </c>
      <c r="D489" s="61" t="n">
        <v>186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3207</v>
      </c>
      <c r="B490" s="62" t="s">
        <v>3225</v>
      </c>
      <c r="C490" s="63" t="n">
        <f aca="false">Spec_Rack!G25</f>
        <v>1024</v>
      </c>
      <c r="D490" s="61" t="n">
        <v>1024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3207</v>
      </c>
      <c r="B491" s="62" t="s">
        <v>3226</v>
      </c>
      <c r="C491" s="95" t="n">
        <f aca="false">Spec_Rack!G26</f>
        <v>32</v>
      </c>
      <c r="D491" s="61" t="n">
        <v>32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3207</v>
      </c>
      <c r="B492" s="62" t="s">
        <v>3227</v>
      </c>
      <c r="C492" s="95" t="n">
        <f aca="false">Spec_Rack!G27</f>
        <v>1.8</v>
      </c>
      <c r="D492" s="61" t="n">
        <v>1.8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3207</v>
      </c>
      <c r="B493" s="62" t="s">
        <v>3228</v>
      </c>
      <c r="C493" s="63" t="n">
        <f aca="false">Spec_Rack!C29</f>
        <v>64</v>
      </c>
      <c r="D493" s="61" t="n">
        <v>64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3207</v>
      </c>
      <c r="B494" s="62" t="s">
        <v>3229</v>
      </c>
      <c r="C494" s="63" t="n">
        <f aca="false">Spec_Rack!D29</f>
        <v>32</v>
      </c>
      <c r="D494" s="61" t="n">
        <v>32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3207</v>
      </c>
      <c r="B495" s="62" t="s">
        <v>3230</v>
      </c>
      <c r="C495" s="63" t="n">
        <f aca="false">Spec_Rack!F29</f>
        <v>32</v>
      </c>
      <c r="D495" s="61" t="n">
        <v>32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3207</v>
      </c>
      <c r="B496" s="62" t="s">
        <v>3231</v>
      </c>
      <c r="C496" s="63" t="n">
        <f aca="false">Spec_Rack!G29</f>
        <v>64</v>
      </c>
      <c r="D496" s="61" t="n">
        <v>64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3207</v>
      </c>
      <c r="B497" s="62" t="s">
        <v>3232</v>
      </c>
      <c r="C497" s="97" t="n">
        <f aca="false">Spec_Rack!C31</f>
        <v>1</v>
      </c>
      <c r="D497" s="61" t="n">
        <v>1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3207</v>
      </c>
      <c r="B498" s="62" t="s">
        <v>3186</v>
      </c>
      <c r="C498" s="97" t="n">
        <f aca="false">Spec_Rack!D31</f>
        <v>1</v>
      </c>
      <c r="D498" s="61" t="n">
        <v>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3207</v>
      </c>
      <c r="B499" s="62" t="s">
        <v>3187</v>
      </c>
      <c r="C499" s="97" t="n">
        <f aca="false">Spec_Rack!E31</f>
        <v>1</v>
      </c>
      <c r="D499" s="61" t="n">
        <v>1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3207</v>
      </c>
      <c r="B500" s="62" t="s">
        <v>3188</v>
      </c>
      <c r="C500" s="97" t="n">
        <f aca="false">Spec_Rack!F31</f>
        <v>1</v>
      </c>
      <c r="D500" s="61" t="n">
        <v>1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3207</v>
      </c>
      <c r="B501" s="62" t="s">
        <v>3233</v>
      </c>
      <c r="C501" s="97" t="n">
        <f aca="false">Spec_Rack!G31</f>
        <v>1</v>
      </c>
      <c r="D501" s="61" t="n">
        <v>1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3207</v>
      </c>
      <c r="B502" s="62" t="s">
        <v>3234</v>
      </c>
      <c r="C502" s="63" t="n">
        <f aca="false">Spec_Rack!C32</f>
        <v>8</v>
      </c>
      <c r="D502" s="61" t="n">
        <v>8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3207</v>
      </c>
      <c r="B503" s="62" t="s">
        <v>3189</v>
      </c>
      <c r="C503" s="63" t="n">
        <f aca="false">Spec_Rack!D32</f>
        <v>4</v>
      </c>
      <c r="D503" s="61" t="n">
        <v>4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3207</v>
      </c>
      <c r="B504" s="62" t="s">
        <v>3191</v>
      </c>
      <c r="C504" s="63" t="n">
        <f aca="false">Spec_Rack!F32</f>
        <v>4</v>
      </c>
      <c r="D504" s="61" t="n">
        <v>4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3207</v>
      </c>
      <c r="B505" s="62" t="s">
        <v>3235</v>
      </c>
      <c r="C505" s="63" t="n">
        <f aca="false">Spec_Rack!G32</f>
        <v>8</v>
      </c>
      <c r="D505" s="61" t="n">
        <v>8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3207</v>
      </c>
      <c r="B506" s="62" t="s">
        <v>3236</v>
      </c>
      <c r="C506" s="94" t="n">
        <f aca="false">Spec_Rack!G40</f>
        <v>35</v>
      </c>
      <c r="D506" s="61" t="n">
        <v>35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3207</v>
      </c>
      <c r="B507" s="62" t="s">
        <v>3237</v>
      </c>
      <c r="C507" s="97" t="n">
        <f aca="false">Spec_Rack!C44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3207</v>
      </c>
      <c r="B508" s="62" t="s">
        <v>3238</v>
      </c>
      <c r="C508" s="97" t="n">
        <f aca="false">Spec_Rack!D44</f>
        <v>1</v>
      </c>
      <c r="D508" s="61" t="n">
        <v>1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3207</v>
      </c>
      <c r="B509" s="62" t="s">
        <v>3239</v>
      </c>
      <c r="C509" s="97" t="n">
        <f aca="false">Spec_Rack!E44</f>
        <v>1</v>
      </c>
      <c r="D509" s="61" t="n">
        <v>1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3207</v>
      </c>
      <c r="B510" s="62" t="s">
        <v>3240</v>
      </c>
      <c r="C510" s="97" t="n">
        <f aca="false">Spec_Rack!F44</f>
        <v>1</v>
      </c>
      <c r="D510" s="61" t="n">
        <v>1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3207</v>
      </c>
      <c r="B511" s="62" t="s">
        <v>3241</v>
      </c>
      <c r="C511" s="97" t="n">
        <f aca="false">Spec_Rack!G44</f>
        <v>1</v>
      </c>
      <c r="D511" s="61" t="n">
        <v>1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3207</v>
      </c>
      <c r="B512" s="62" t="s">
        <v>3242</v>
      </c>
      <c r="C512" s="97" t="n">
        <f aca="false">Spec_Rack!C49</f>
        <v>1.5</v>
      </c>
      <c r="D512" s="61" t="n">
        <v>1.5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3207</v>
      </c>
      <c r="B513" s="62" t="s">
        <v>3243</v>
      </c>
      <c r="C513" s="97" t="n">
        <f aca="false">Spec_Rack!C50</f>
        <v>2.5</v>
      </c>
      <c r="D513" s="61" t="n">
        <v>2.5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3244</v>
      </c>
      <c r="B514" s="62" t="s">
        <v>3145</v>
      </c>
      <c r="C514" s="63" t="n">
        <f aca="false">Arch!E6</f>
        <v>4000</v>
      </c>
      <c r="D514" s="61" t="n">
        <v>4000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3244</v>
      </c>
      <c r="B515" s="62" t="s">
        <v>3245</v>
      </c>
      <c r="C515" s="63" t="n">
        <f aca="false">Arch!E7</f>
        <v>180</v>
      </c>
      <c r="D515" s="61" t="n">
        <v>180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3244</v>
      </c>
      <c r="B516" s="62" t="s">
        <v>3146</v>
      </c>
      <c r="C516" s="63" t="n">
        <f aca="false">Arch!E8</f>
        <v>100</v>
      </c>
      <c r="D516" s="61" t="n">
        <v>100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3244</v>
      </c>
      <c r="B517" s="62" t="s">
        <v>3148</v>
      </c>
      <c r="C517" s="63" t="n">
        <f aca="false">Arch!E9</f>
        <v>12288</v>
      </c>
      <c r="D517" s="61" t="n">
        <v>12288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3244</v>
      </c>
      <c r="B518" s="62" t="s">
        <v>3151</v>
      </c>
      <c r="C518" s="63" t="n">
        <f aca="false">Arch!E10</f>
        <v>96</v>
      </c>
      <c r="D518" s="61" t="n">
        <v>96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3244</v>
      </c>
      <c r="B519" s="62" t="s">
        <v>3154</v>
      </c>
      <c r="C519" s="63" t="n">
        <f aca="false">Arch!E11</f>
        <v>128</v>
      </c>
      <c r="D519" s="61" t="n">
        <v>128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3244</v>
      </c>
      <c r="B520" s="62" t="s">
        <v>3218</v>
      </c>
      <c r="C520" s="63" t="n">
        <f aca="false">Arch!E12</f>
        <v>512</v>
      </c>
      <c r="D520" s="61" t="n">
        <v>512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3244</v>
      </c>
      <c r="B521" s="62" t="s">
        <v>3157</v>
      </c>
      <c r="C521" s="63" t="n">
        <f aca="false">Arch!E13</f>
        <v>16</v>
      </c>
      <c r="D521" s="61" t="n">
        <v>16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3244</v>
      </c>
      <c r="B522" s="62" t="s">
        <v>3159</v>
      </c>
      <c r="C522" s="63" t="n">
        <f aca="false">Arch!E14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3244</v>
      </c>
      <c r="B523" s="62" t="s">
        <v>3162</v>
      </c>
      <c r="C523" s="66" t="n">
        <f aca="false">Arch!E16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3244</v>
      </c>
      <c r="B524" s="62" t="s">
        <v>3165</v>
      </c>
      <c r="C524" s="63" t="n">
        <f aca="false">Arch!E17</f>
        <v>0</v>
      </c>
      <c r="D524" s="61" t="n">
        <v>0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3244</v>
      </c>
      <c r="B525" s="62" t="s">
        <v>3168</v>
      </c>
      <c r="C525" s="63" t="n">
        <f aca="false">Arch!E18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3244</v>
      </c>
      <c r="B526" s="62" t="s">
        <v>3171</v>
      </c>
      <c r="C526" s="63" t="n">
        <f aca="false">Arch!E19</f>
        <v>0</v>
      </c>
      <c r="D526" s="61" t="n">
        <v>0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3244</v>
      </c>
      <c r="B527" s="62" t="s">
        <v>3174</v>
      </c>
      <c r="C527" s="90" t="n">
        <f aca="false">Arch!E20</f>
        <v>2</v>
      </c>
      <c r="D527" s="61" t="n">
        <v>2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3244</v>
      </c>
      <c r="B528" s="62" t="s">
        <v>3246</v>
      </c>
      <c r="C528" s="63" t="n">
        <f aca="false">Arch!C34</f>
        <v>65</v>
      </c>
      <c r="D528" s="61" t="n">
        <v>65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3244</v>
      </c>
      <c r="B529" s="62" t="s">
        <v>3195</v>
      </c>
      <c r="C529" s="63" t="n">
        <f aca="false">Arch!D34</f>
        <v>65</v>
      </c>
      <c r="D529" s="61" t="n">
        <v>65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3244</v>
      </c>
      <c r="B530" s="62" t="s">
        <v>3199</v>
      </c>
      <c r="C530" s="63" t="n">
        <f aca="false">Arch!E35</f>
        <v>576</v>
      </c>
      <c r="D530" s="61" t="n">
        <v>576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3244</v>
      </c>
      <c r="B531" s="62" t="s">
        <v>3247</v>
      </c>
      <c r="C531" s="66" t="n">
        <f aca="false">Arch!E36</f>
        <v>0.26</v>
      </c>
      <c r="D531" s="61" t="n">
        <v>0.26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3244</v>
      </c>
      <c r="B532" s="62" t="s">
        <v>3202</v>
      </c>
      <c r="C532" s="63" t="n">
        <f aca="false">Arch!E37</f>
        <v>8</v>
      </c>
      <c r="D532" s="61" t="n">
        <v>8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3248</v>
      </c>
      <c r="B533" s="62" t="s">
        <v>3208</v>
      </c>
      <c r="C533" s="90" t="n">
        <f aca="false">Serving!C6</f>
        <v>3</v>
      </c>
      <c r="D533" s="61" t="n">
        <v>3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3248</v>
      </c>
      <c r="B534" s="62" t="s">
        <v>3211</v>
      </c>
      <c r="C534" s="66" t="n">
        <f aca="false">Serving!C9</f>
        <v>0.1</v>
      </c>
      <c r="D534" s="61" t="n">
        <v>0.1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3248</v>
      </c>
      <c r="B535" s="62" t="s">
        <v>3213</v>
      </c>
      <c r="C535" s="66" t="n">
        <f aca="false">Serving!C10</f>
        <v>0.2</v>
      </c>
      <c r="D535" s="61" t="n">
        <v>0.2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3248</v>
      </c>
      <c r="B536" s="62" t="s">
        <v>3215</v>
      </c>
      <c r="C536" s="66" t="n">
        <f aca="false">Serving!C11</f>
        <v>0.4</v>
      </c>
      <c r="D536" s="61" t="n">
        <v>0.4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3248</v>
      </c>
      <c r="B537" s="62" t="s">
        <v>3216</v>
      </c>
      <c r="C537" s="111" t="n">
        <f aca="false">Serving!C12</f>
        <v>3</v>
      </c>
      <c r="D537" s="61" t="n">
        <v>3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3248</v>
      </c>
      <c r="B538" s="62" t="s">
        <v>3220</v>
      </c>
      <c r="C538" s="66" t="n">
        <f aca="false">Serving!C13</f>
        <v>0.7</v>
      </c>
      <c r="D538" s="61" t="n">
        <v>0.7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3248</v>
      </c>
      <c r="B539" s="62" t="s">
        <v>3249</v>
      </c>
      <c r="C539" s="66" t="n">
        <f aca="false">Serving!C14</f>
        <v>0.7</v>
      </c>
      <c r="D539" s="61" t="n">
        <v>0.7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3248</v>
      </c>
      <c r="B540" s="62" t="s">
        <v>3250</v>
      </c>
      <c r="C540" s="97" t="n">
        <f aca="false">Serving!C15</f>
        <v>0.1</v>
      </c>
      <c r="D540" s="61" t="n">
        <v>0.1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3248</v>
      </c>
      <c r="B541" s="62" t="s">
        <v>3251</v>
      </c>
      <c r="C541" s="90" t="n">
        <f aca="false">Serving!C16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3248</v>
      </c>
      <c r="B542" s="62" t="s">
        <v>3252</v>
      </c>
      <c r="C542" s="66" t="n">
        <f aca="false">Serving!C17</f>
        <v>0.6</v>
      </c>
      <c r="D542" s="61" t="n">
        <v>0.6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3248</v>
      </c>
      <c r="B543" s="62" t="s">
        <v>3253</v>
      </c>
      <c r="C543" s="97" t="n">
        <f aca="false">Serving!C18</f>
        <v>1</v>
      </c>
      <c r="D543" s="61" t="n">
        <v>1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3248</v>
      </c>
      <c r="B544" s="62" t="s">
        <v>3254</v>
      </c>
      <c r="C544" s="111" t="n">
        <f aca="false">Serving!C22</f>
        <v>2</v>
      </c>
      <c r="D544" s="61" t="n">
        <v>2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3248</v>
      </c>
      <c r="B545" s="62" t="s">
        <v>3255</v>
      </c>
      <c r="C545" s="111" t="n">
        <f aca="false">Serving!D22</f>
        <v>3</v>
      </c>
      <c r="D545" s="61" t="n">
        <v>3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3248</v>
      </c>
      <c r="B546" s="62" t="s">
        <v>3256</v>
      </c>
      <c r="C546" s="111" t="n">
        <f aca="false">Serving!E22</f>
        <v>5</v>
      </c>
      <c r="D546" s="61" t="n">
        <v>5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3248</v>
      </c>
      <c r="B547" s="62" t="s">
        <v>3257</v>
      </c>
      <c r="C547" s="63" t="n">
        <f aca="false">Serving!C23</f>
        <v>8192</v>
      </c>
      <c r="D547" s="61" t="n">
        <v>8192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3248</v>
      </c>
      <c r="B548" s="62" t="s">
        <v>3258</v>
      </c>
      <c r="C548" s="63" t="n">
        <f aca="false">Serving!D23</f>
        <v>16384</v>
      </c>
      <c r="D548" s="61" t="n">
        <v>16384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3248</v>
      </c>
      <c r="B549" s="62" t="s">
        <v>3259</v>
      </c>
      <c r="C549" s="63" t="n">
        <f aca="false">Serving!E23</f>
        <v>32768</v>
      </c>
      <c r="D549" s="61" t="n">
        <v>32768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3248</v>
      </c>
      <c r="B550" s="62" t="s">
        <v>3260</v>
      </c>
      <c r="C550" s="63" t="n">
        <f aca="false">Serving!C24</f>
        <v>1024</v>
      </c>
      <c r="D550" s="61" t="n">
        <v>1024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3248</v>
      </c>
      <c r="B551" s="62" t="s">
        <v>3261</v>
      </c>
      <c r="C551" s="63" t="n">
        <f aca="false">Serving!D24</f>
        <v>2048</v>
      </c>
      <c r="D551" s="61" t="n">
        <v>2048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3248</v>
      </c>
      <c r="B552" s="62" t="s">
        <v>3179</v>
      </c>
      <c r="C552" s="63" t="n">
        <f aca="false">Serving!E24</f>
        <v>4096</v>
      </c>
      <c r="D552" s="61" t="n">
        <v>4096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3248</v>
      </c>
      <c r="B553" s="62" t="s">
        <v>3262</v>
      </c>
      <c r="C553" s="97" t="n">
        <f aca="false">Serving!C28</f>
        <v>0.85</v>
      </c>
      <c r="D553" s="61" t="n">
        <v>0.85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3263</v>
      </c>
      <c r="B554" s="62" t="s">
        <v>3264</v>
      </c>
      <c r="C554" s="66" t="n">
        <f aca="false">Calib!C5</f>
        <v>0.3</v>
      </c>
      <c r="D554" s="61" t="n">
        <v>0.3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3263</v>
      </c>
      <c r="B555" s="62" t="s">
        <v>3213</v>
      </c>
      <c r="C555" s="90" t="n">
        <f aca="false">Calib!C10</f>
        <v>3</v>
      </c>
      <c r="D555" s="61" t="n">
        <v>3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3263</v>
      </c>
      <c r="B556" s="62" t="s">
        <v>3150</v>
      </c>
      <c r="C556" s="90" t="n">
        <f aca="false">Calib!D10</f>
        <v>3</v>
      </c>
      <c r="D556" s="61" t="n">
        <v>3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3263</v>
      </c>
      <c r="B557" s="62" t="s">
        <v>3265</v>
      </c>
      <c r="C557" s="97" t="n">
        <f aca="false">Calib!C67</f>
        <v>1.2</v>
      </c>
      <c r="D557" s="61" t="n">
        <v>1.2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3263</v>
      </c>
      <c r="B558" s="62" t="s">
        <v>3266</v>
      </c>
      <c r="C558" s="97" t="n">
        <f aca="false">Calib!D67</f>
        <v>1</v>
      </c>
      <c r="D558" s="61" t="n">
        <v>1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3263</v>
      </c>
      <c r="B559" s="62" t="s">
        <v>3267</v>
      </c>
      <c r="C559" s="97" t="n">
        <f aca="false">Calib!E67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3263</v>
      </c>
      <c r="B560" s="62" t="s">
        <v>3268</v>
      </c>
      <c r="C560" s="97" t="n">
        <f aca="false">Calib!F67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3263</v>
      </c>
      <c r="B561" s="62" t="s">
        <v>3269</v>
      </c>
      <c r="C561" s="97" t="n">
        <f aca="false">Calib!G67</f>
        <v>1</v>
      </c>
      <c r="D561" s="61" t="n">
        <v>1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3263</v>
      </c>
      <c r="B562" s="62" t="s">
        <v>3270</v>
      </c>
      <c r="C562" s="97" t="n">
        <f aca="false">Calib!C68</f>
        <v>1.5</v>
      </c>
      <c r="D562" s="61" t="n">
        <v>1.5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3263</v>
      </c>
      <c r="B563" s="62" t="s">
        <v>3271</v>
      </c>
      <c r="C563" s="97" t="n">
        <f aca="false">Calib!D68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3263</v>
      </c>
      <c r="B564" s="62" t="s">
        <v>3272</v>
      </c>
      <c r="C564" s="97" t="n">
        <f aca="false">Calib!E68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3263</v>
      </c>
      <c r="B565" s="62" t="s">
        <v>3273</v>
      </c>
      <c r="C565" s="97" t="n">
        <f aca="false">Calib!F68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3263</v>
      </c>
      <c r="B566" s="62" t="s">
        <v>3274</v>
      </c>
      <c r="C566" s="97" t="n">
        <f aca="false">Calib!G68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3263</v>
      </c>
      <c r="B567" s="62" t="s">
        <v>3275</v>
      </c>
      <c r="C567" s="97" t="n">
        <f aca="false">Calib!D69</f>
        <v>1</v>
      </c>
      <c r="D567" s="61" t="n">
        <v>1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3263</v>
      </c>
      <c r="B568" s="62" t="s">
        <v>3276</v>
      </c>
      <c r="C568" s="97" t="n">
        <f aca="false">Calib!E69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3263</v>
      </c>
      <c r="B569" s="62" t="s">
        <v>3277</v>
      </c>
      <c r="C569" s="97" t="n">
        <f aca="false">Calib!F69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3263</v>
      </c>
      <c r="B570" s="62" t="s">
        <v>3278</v>
      </c>
      <c r="C570" s="97" t="n">
        <f aca="false">Calib!G69</f>
        <v>1</v>
      </c>
      <c r="D570" s="61" t="n">
        <v>1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3263</v>
      </c>
      <c r="B571" s="62" t="s">
        <v>3279</v>
      </c>
      <c r="C571" s="97" t="n">
        <f aca="false">Calib!C156</f>
        <v>1</v>
      </c>
      <c r="D571" s="61" t="n">
        <v>1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3263</v>
      </c>
      <c r="B572" s="62" t="s">
        <v>3280</v>
      </c>
      <c r="C572" s="97" t="n">
        <f aca="false">Calib!D156</f>
        <v>2.36</v>
      </c>
      <c r="D572" s="61" t="n">
        <v>2.36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3263</v>
      </c>
      <c r="B573" s="62" t="s">
        <v>3281</v>
      </c>
      <c r="C573" s="97" t="n">
        <f aca="false">Calib!E156</f>
        <v>1</v>
      </c>
      <c r="D573" s="61" t="n">
        <v>1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3263</v>
      </c>
      <c r="B574" s="62" t="s">
        <v>3282</v>
      </c>
      <c r="C574" s="97" t="n">
        <f aca="false">Calib!F156</f>
        <v>0.75</v>
      </c>
      <c r="D574" s="61" t="n">
        <v>0.75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3263</v>
      </c>
      <c r="B575" s="62" t="s">
        <v>3283</v>
      </c>
      <c r="C575" s="97" t="n">
        <f aca="false">Calib!G156</f>
        <v>1</v>
      </c>
      <c r="D575" s="61" t="n">
        <v>1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3144</v>
      </c>
      <c r="C576" s="97" t="n">
        <f aca="false">Tech_Registry!E5</f>
        <v>1</v>
      </c>
      <c r="D576" s="61" t="n">
        <v>1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3284</v>
      </c>
      <c r="C577" s="97" t="n">
        <f aca="false">Tech_Registry!F5</f>
        <v>1</v>
      </c>
      <c r="D577" s="61" t="n">
        <v>1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3285</v>
      </c>
      <c r="C578" s="97" t="n">
        <f aca="false">Tech_Registry!G5</f>
        <v>1</v>
      </c>
      <c r="D578" s="61" t="n">
        <v>1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3286</v>
      </c>
      <c r="C579" s="90" t="n">
        <f aca="false">Tech_Registry!H5</f>
        <v>2</v>
      </c>
      <c r="D579" s="61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3287</v>
      </c>
      <c r="C580" s="66" t="n">
        <f aca="false">Tech_Registry!N5</f>
        <v>1</v>
      </c>
      <c r="D580" s="61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3288</v>
      </c>
      <c r="C581" s="90" t="n">
        <f aca="false">Tech_Registry!O5</f>
        <v>1</v>
      </c>
      <c r="D581" s="61" t="n">
        <v>1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3145</v>
      </c>
      <c r="C582" s="97" t="n">
        <f aca="false">Tech_Registry!E6</f>
        <v>1</v>
      </c>
      <c r="D582" s="61" t="n">
        <v>1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3289</v>
      </c>
      <c r="C583" s="97" t="n">
        <f aca="false">Tech_Registry!F6</f>
        <v>1</v>
      </c>
      <c r="D583" s="61" t="n">
        <v>1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3290</v>
      </c>
      <c r="C584" s="97" t="n">
        <f aca="false">Tech_Registry!G6</f>
        <v>1</v>
      </c>
      <c r="D584" s="61" t="n">
        <v>1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3291</v>
      </c>
      <c r="C585" s="90" t="n">
        <f aca="false">Tech_Registry!H6</f>
        <v>2</v>
      </c>
      <c r="D585" s="61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3292</v>
      </c>
      <c r="C586" s="66" t="n">
        <f aca="false">Tech_Registry!N6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3293</v>
      </c>
      <c r="C587" s="90" t="n">
        <f aca="false">Tech_Registry!O6</f>
        <v>1</v>
      </c>
      <c r="D587" s="61" t="n">
        <v>1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3245</v>
      </c>
      <c r="C588" s="97" t="n">
        <f aca="false">Tech_Registry!E7</f>
        <v>1</v>
      </c>
      <c r="D588" s="61" t="n">
        <v>1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3294</v>
      </c>
      <c r="C589" s="97" t="n">
        <f aca="false">Tech_Registry!F7</f>
        <v>1</v>
      </c>
      <c r="D589" s="61" t="n">
        <v>1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3295</v>
      </c>
      <c r="C590" s="97" t="n">
        <f aca="false">Tech_Registry!G7</f>
        <v>1</v>
      </c>
      <c r="D590" s="61" t="n">
        <v>1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3296</v>
      </c>
      <c r="C591" s="90" t="n">
        <f aca="false">Tech_Registry!H7</f>
        <v>2</v>
      </c>
      <c r="D591" s="61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3297</v>
      </c>
      <c r="C592" s="66" t="n">
        <f aca="false">Tech_Registry!N7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3298</v>
      </c>
      <c r="C593" s="90" t="n">
        <f aca="false">Tech_Registry!O7</f>
        <v>1</v>
      </c>
      <c r="D593" s="61" t="n">
        <v>1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3146</v>
      </c>
      <c r="C594" s="97" t="n">
        <f aca="false">Tech_Registry!E8</f>
        <v>1</v>
      </c>
      <c r="D594" s="61" t="n">
        <v>1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3299</v>
      </c>
      <c r="C595" s="97" t="n">
        <f aca="false">Tech_Registry!F8</f>
        <v>1</v>
      </c>
      <c r="D595" s="61" t="n">
        <v>1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3210</v>
      </c>
      <c r="C596" s="97" t="n">
        <f aca="false">Tech_Registry!G8</f>
        <v>1</v>
      </c>
      <c r="D596" s="61" t="n">
        <v>1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3300</v>
      </c>
      <c r="C597" s="90" t="n">
        <f aca="false">Tech_Registry!H8</f>
        <v>2</v>
      </c>
      <c r="D597" s="61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3301</v>
      </c>
      <c r="C598" s="66" t="n">
        <f aca="false">Tech_Registry!N8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3302</v>
      </c>
      <c r="C599" s="90" t="n">
        <f aca="false">Tech_Registry!O8</f>
        <v>1</v>
      </c>
      <c r="D599" s="61" t="n">
        <v>1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3148</v>
      </c>
      <c r="C600" s="97" t="n">
        <f aca="false">Tech_Registry!E9</f>
        <v>1</v>
      </c>
      <c r="D600" s="61" t="n">
        <v>1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3149</v>
      </c>
      <c r="C601" s="97" t="n">
        <f aca="false">Tech_Registry!F9</f>
        <v>1</v>
      </c>
      <c r="D601" s="61" t="n">
        <v>1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3212</v>
      </c>
      <c r="C602" s="97" t="n">
        <f aca="false">Tech_Registry!G9</f>
        <v>1</v>
      </c>
      <c r="D602" s="61" t="n">
        <v>1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3303</v>
      </c>
      <c r="C603" s="90" t="n">
        <f aca="false">Tech_Registry!H9</f>
        <v>2</v>
      </c>
      <c r="D603" s="61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3304</v>
      </c>
      <c r="C604" s="66" t="n">
        <f aca="false">Tech_Registry!N9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3305</v>
      </c>
      <c r="C605" s="90" t="n">
        <f aca="false">Tech_Registry!O9</f>
        <v>1</v>
      </c>
      <c r="D605" s="61" t="n">
        <v>1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3151</v>
      </c>
      <c r="C606" s="97" t="n">
        <f aca="false">Tech_Registry!E10</f>
        <v>0.7</v>
      </c>
      <c r="D606" s="61" t="n">
        <v>0.7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3152</v>
      </c>
      <c r="C607" s="97" t="n">
        <f aca="false">Tech_Registry!F10</f>
        <v>0.85</v>
      </c>
      <c r="D607" s="61" t="n">
        <v>0.85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3214</v>
      </c>
      <c r="C608" s="97" t="n">
        <f aca="false">Tech_Registry!G10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3306</v>
      </c>
      <c r="C609" s="90" t="n">
        <f aca="false">Tech_Registry!H10</f>
        <v>2</v>
      </c>
      <c r="D609" s="61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3307</v>
      </c>
      <c r="C610" s="66" t="n">
        <f aca="false">Tech_Registry!N10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3308</v>
      </c>
      <c r="C611" s="90" t="n">
        <f aca="false">Tech_Registry!O10</f>
        <v>0</v>
      </c>
      <c r="D611" s="61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24</v>
      </c>
      <c r="B612" s="62" t="s">
        <v>3154</v>
      </c>
      <c r="C612" s="97" t="n">
        <f aca="false">Tech_Registry!E11</f>
        <v>1.5</v>
      </c>
      <c r="D612" s="61" t="n">
        <v>1.5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24</v>
      </c>
      <c r="B613" s="62" t="s">
        <v>3155</v>
      </c>
      <c r="C613" s="97" t="n">
        <f aca="false">Tech_Registry!F11</f>
        <v>2</v>
      </c>
      <c r="D613" s="61" t="n">
        <v>2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24</v>
      </c>
      <c r="B614" s="62" t="s">
        <v>3309</v>
      </c>
      <c r="C614" s="97" t="n">
        <f aca="false">Tech_Registry!G11</f>
        <v>3</v>
      </c>
      <c r="D614" s="61" t="n">
        <v>3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24</v>
      </c>
      <c r="B615" s="62" t="s">
        <v>3310</v>
      </c>
      <c r="C615" s="90" t="n">
        <f aca="false">Tech_Registry!H11</f>
        <v>2</v>
      </c>
      <c r="D615" s="61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24</v>
      </c>
      <c r="B616" s="62" t="s">
        <v>3311</v>
      </c>
      <c r="C616" s="66" t="n">
        <f aca="false">Tech_Registry!N11</f>
        <v>1</v>
      </c>
      <c r="D616" s="61" t="n">
        <v>1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24</v>
      </c>
      <c r="B617" s="62" t="s">
        <v>3312</v>
      </c>
      <c r="C617" s="90" t="n">
        <f aca="false">Tech_Registry!O11</f>
        <v>0</v>
      </c>
      <c r="D617" s="61" t="n">
        <v>0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24</v>
      </c>
      <c r="B618" s="62" t="s">
        <v>3218</v>
      </c>
      <c r="C618" s="97" t="n">
        <f aca="false">Tech_Registry!E12</f>
        <v>1.5</v>
      </c>
      <c r="D618" s="61" t="n">
        <v>1.5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24</v>
      </c>
      <c r="B619" s="62" t="s">
        <v>3219</v>
      </c>
      <c r="C619" s="97" t="n">
        <f aca="false">Tech_Registry!F12</f>
        <v>2</v>
      </c>
      <c r="D619" s="61" t="n">
        <v>2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24</v>
      </c>
      <c r="B620" s="62" t="s">
        <v>3313</v>
      </c>
      <c r="C620" s="97" t="n">
        <f aca="false">Tech_Registry!G12</f>
        <v>4</v>
      </c>
      <c r="D620" s="61" t="n">
        <v>4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24</v>
      </c>
      <c r="B621" s="62" t="s">
        <v>3314</v>
      </c>
      <c r="C621" s="90" t="n">
        <f aca="false">Tech_Registry!H12</f>
        <v>2</v>
      </c>
      <c r="D621" s="61" t="n">
        <v>2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24</v>
      </c>
      <c r="B622" s="62" t="s">
        <v>3315</v>
      </c>
      <c r="C622" s="66" t="n">
        <f aca="false">Tech_Registry!N12</f>
        <v>1</v>
      </c>
      <c r="D622" s="61" t="n">
        <v>1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24</v>
      </c>
      <c r="B623" s="62" t="s">
        <v>3316</v>
      </c>
      <c r="C623" s="90" t="n">
        <f aca="false">Tech_Registry!O12</f>
        <v>0</v>
      </c>
      <c r="D623" s="61" t="n">
        <v>0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24</v>
      </c>
      <c r="B624" s="62" t="s">
        <v>3157</v>
      </c>
      <c r="C624" s="97" t="n">
        <f aca="false">Tech_Registry!E13</f>
        <v>1.5</v>
      </c>
      <c r="D624" s="61" t="n">
        <v>1.5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24</v>
      </c>
      <c r="B625" s="62" t="s">
        <v>3221</v>
      </c>
      <c r="C625" s="97" t="n">
        <f aca="false">Tech_Registry!F13</f>
        <v>2</v>
      </c>
      <c r="D625" s="61" t="n">
        <v>2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24</v>
      </c>
      <c r="B626" s="62" t="s">
        <v>3317</v>
      </c>
      <c r="C626" s="97" t="n">
        <f aca="false">Tech_Registry!G13</f>
        <v>4</v>
      </c>
      <c r="D626" s="61" t="n">
        <v>4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24</v>
      </c>
      <c r="B627" s="62" t="s">
        <v>3318</v>
      </c>
      <c r="C627" s="90" t="n">
        <f aca="false">Tech_Registry!H13</f>
        <v>2</v>
      </c>
      <c r="D627" s="61" t="n">
        <v>2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24</v>
      </c>
      <c r="B628" s="62" t="s">
        <v>3319</v>
      </c>
      <c r="C628" s="66" t="n">
        <f aca="false">Tech_Registry!N13</f>
        <v>1</v>
      </c>
      <c r="D628" s="61" t="n">
        <v>1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24</v>
      </c>
      <c r="B629" s="62" t="s">
        <v>3320</v>
      </c>
      <c r="C629" s="90" t="n">
        <f aca="false">Tech_Registry!O13</f>
        <v>0</v>
      </c>
      <c r="D629" s="61" t="n">
        <v>0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24</v>
      </c>
      <c r="B630" s="62" t="s">
        <v>3159</v>
      </c>
      <c r="C630" s="97" t="n">
        <f aca="false">Tech_Registry!E14</f>
        <v>1.2</v>
      </c>
      <c r="D630" s="61" t="n">
        <v>1.2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24</v>
      </c>
      <c r="B631" s="62" t="s">
        <v>3160</v>
      </c>
      <c r="C631" s="97" t="n">
        <f aca="false">Tech_Registry!F14</f>
        <v>1.4</v>
      </c>
      <c r="D631" s="61" t="n">
        <v>1.4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24</v>
      </c>
      <c r="B632" s="62" t="s">
        <v>3321</v>
      </c>
      <c r="C632" s="97" t="n">
        <f aca="false">Tech_Registry!G14</f>
        <v>1.6</v>
      </c>
      <c r="D632" s="61" t="n">
        <v>1.6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24</v>
      </c>
      <c r="B633" s="62" t="s">
        <v>3322</v>
      </c>
      <c r="C633" s="90" t="n">
        <f aca="false">Tech_Registry!H14</f>
        <v>2</v>
      </c>
      <c r="D633" s="61" t="n">
        <v>2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24</v>
      </c>
      <c r="B634" s="62" t="s">
        <v>3323</v>
      </c>
      <c r="C634" s="66" t="n">
        <f aca="false">Tech_Registry!N14</f>
        <v>1</v>
      </c>
      <c r="D634" s="61" t="n">
        <v>1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24</v>
      </c>
      <c r="B635" s="62" t="s">
        <v>3324</v>
      </c>
      <c r="C635" s="90" t="n">
        <f aca="false">Tech_Registry!O14</f>
        <v>0</v>
      </c>
      <c r="D635" s="61" t="n">
        <v>0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24</v>
      </c>
      <c r="B636" s="62" t="s">
        <v>3325</v>
      </c>
      <c r="C636" s="97" t="n">
        <f aca="false">Tech_Registry!E15</f>
        <v>0.5</v>
      </c>
      <c r="D636" s="61" t="n">
        <v>0.5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24</v>
      </c>
      <c r="B637" s="62" t="s">
        <v>3326</v>
      </c>
      <c r="C637" s="97" t="n">
        <f aca="false">Tech_Registry!F15</f>
        <v>0.5</v>
      </c>
      <c r="D637" s="61" t="n">
        <v>0.5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24</v>
      </c>
      <c r="B638" s="62" t="s">
        <v>3327</v>
      </c>
      <c r="C638" s="97" t="n">
        <f aca="false">Tech_Registry!G15</f>
        <v>0.75</v>
      </c>
      <c r="D638" s="61" t="n">
        <v>0.75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24</v>
      </c>
      <c r="B639" s="62" t="s">
        <v>3328</v>
      </c>
      <c r="C639" s="90" t="n">
        <f aca="false">Tech_Registry!H15</f>
        <v>2</v>
      </c>
      <c r="D639" s="61" t="n">
        <v>2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24</v>
      </c>
      <c r="B640" s="62" t="s">
        <v>3329</v>
      </c>
      <c r="C640" s="66" t="n">
        <f aca="false">Tech_Registry!N15</f>
        <v>1</v>
      </c>
      <c r="D640" s="61" t="n">
        <v>1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24</v>
      </c>
      <c r="B641" s="62" t="s">
        <v>3330</v>
      </c>
      <c r="C641" s="90" t="n">
        <f aca="false">Tech_Registry!O15</f>
        <v>0</v>
      </c>
      <c r="D641" s="61" t="n">
        <v>0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24</v>
      </c>
      <c r="B642" s="62" t="s">
        <v>3162</v>
      </c>
      <c r="C642" s="97" t="n">
        <f aca="false">Tech_Registry!E16</f>
        <v>1</v>
      </c>
      <c r="D642" s="61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24</v>
      </c>
      <c r="B643" s="62" t="s">
        <v>3163</v>
      </c>
      <c r="C643" s="97" t="n">
        <f aca="false">Tech_Registry!F16</f>
        <v>1</v>
      </c>
      <c r="D643" s="61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24</v>
      </c>
      <c r="B644" s="62" t="s">
        <v>3331</v>
      </c>
      <c r="C644" s="97" t="n">
        <f aca="false">Tech_Registry!G16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24</v>
      </c>
      <c r="B645" s="62" t="s">
        <v>3332</v>
      </c>
      <c r="C645" s="90" t="n">
        <f aca="false">Tech_Registry!H16</f>
        <v>2</v>
      </c>
      <c r="D645" s="61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24</v>
      </c>
      <c r="B646" s="62" t="s">
        <v>3333</v>
      </c>
      <c r="C646" s="66" t="n">
        <f aca="false">Tech_Registry!N16</f>
        <v>1</v>
      </c>
      <c r="D646" s="61" t="n">
        <v>1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24</v>
      </c>
      <c r="B647" s="62" t="s">
        <v>3334</v>
      </c>
      <c r="C647" s="90" t="n">
        <f aca="false">Tech_Registry!O16</f>
        <v>0</v>
      </c>
      <c r="D647" s="61" t="n">
        <v>0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3335</v>
      </c>
      <c r="B648" s="62" t="s">
        <v>3208</v>
      </c>
      <c r="C648" s="90" t="n">
        <f aca="false">Perf!C6</f>
        <v>1</v>
      </c>
      <c r="D648" s="61" t="n">
        <v>1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3335</v>
      </c>
      <c r="B649" s="62" t="s">
        <v>3336</v>
      </c>
      <c r="C649" s="90" t="n">
        <f aca="false">Perf!D6</f>
        <v>1</v>
      </c>
      <c r="D649" s="61" t="n">
        <v>1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3335</v>
      </c>
      <c r="B650" s="62" t="s">
        <v>3145</v>
      </c>
      <c r="C650" s="90" t="n">
        <f aca="false">Perf!E6</f>
        <v>1</v>
      </c>
      <c r="D650" s="61" t="n">
        <v>1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3335</v>
      </c>
      <c r="B651" s="62" t="s">
        <v>3289</v>
      </c>
      <c r="C651" s="90" t="n">
        <f aca="false">Perf!F6</f>
        <v>2</v>
      </c>
      <c r="D651" s="61" t="n">
        <v>2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3335</v>
      </c>
      <c r="B652" s="62" t="s">
        <v>3290</v>
      </c>
      <c r="C652" s="90" t="n">
        <f aca="false">Perf!G6</f>
        <v>2</v>
      </c>
      <c r="D652" s="61" t="n">
        <v>2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3335</v>
      </c>
      <c r="B653" s="62" t="s">
        <v>3291</v>
      </c>
      <c r="C653" s="90" t="n">
        <f aca="false">Perf!H6</f>
        <v>2</v>
      </c>
      <c r="D653" s="61" t="n">
        <v>2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3335</v>
      </c>
      <c r="B654" s="62" t="s">
        <v>3337</v>
      </c>
      <c r="C654" s="90" t="n">
        <f aca="false">Perf!I6</f>
        <v>3</v>
      </c>
      <c r="D654" s="61" t="n">
        <v>3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3335</v>
      </c>
      <c r="B655" s="62" t="s">
        <v>3338</v>
      </c>
      <c r="C655" s="90" t="n">
        <f aca="false">Perf!J6</f>
        <v>3</v>
      </c>
      <c r="D655" s="61" t="n">
        <v>3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3335</v>
      </c>
      <c r="B656" s="62" t="s">
        <v>3339</v>
      </c>
      <c r="C656" s="90" t="n">
        <f aca="false">Perf!K6</f>
        <v>3</v>
      </c>
      <c r="D656" s="61" t="n">
        <v>3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3335</v>
      </c>
      <c r="B657" s="62" t="s">
        <v>3340</v>
      </c>
      <c r="C657" s="90" t="n">
        <f aca="false">Perf!L6</f>
        <v>4</v>
      </c>
      <c r="D657" s="61" t="n">
        <v>4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3335</v>
      </c>
      <c r="B658" s="62" t="s">
        <v>3341</v>
      </c>
      <c r="C658" s="90" t="n">
        <f aca="false">Perf!M6</f>
        <v>4</v>
      </c>
      <c r="D658" s="61" t="n">
        <v>4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3335</v>
      </c>
      <c r="B659" s="62" t="s">
        <v>3292</v>
      </c>
      <c r="C659" s="90" t="n">
        <f aca="false">Perf!N6</f>
        <v>4</v>
      </c>
      <c r="D659" s="61" t="n">
        <v>4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3335</v>
      </c>
      <c r="B660" s="62" t="s">
        <v>3293</v>
      </c>
      <c r="C660" s="90" t="n">
        <f aca="false">Perf!O6</f>
        <v>5</v>
      </c>
      <c r="D660" s="61" t="n">
        <v>5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3335</v>
      </c>
      <c r="B661" s="62" t="s">
        <v>3342</v>
      </c>
      <c r="C661" s="90" t="n">
        <f aca="false">Perf!P6</f>
        <v>5</v>
      </c>
      <c r="D661" s="61" t="n">
        <v>5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3335</v>
      </c>
      <c r="B662" s="62" t="s">
        <v>3343</v>
      </c>
      <c r="C662" s="90" t="n">
        <f aca="false">Perf!Q6</f>
        <v>5</v>
      </c>
      <c r="D662" s="61" t="n">
        <v>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3335</v>
      </c>
      <c r="B663" s="62" t="s">
        <v>3344</v>
      </c>
      <c r="C663" s="90" t="n">
        <f aca="false">Perf!C7</f>
        <v>1</v>
      </c>
      <c r="D663" s="61" t="n">
        <v>1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3335</v>
      </c>
      <c r="B664" s="62" t="s">
        <v>3345</v>
      </c>
      <c r="C664" s="90" t="n">
        <f aca="false">Perf!D7</f>
        <v>2</v>
      </c>
      <c r="D664" s="61" t="n">
        <v>2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3335</v>
      </c>
      <c r="B665" s="62" t="s">
        <v>3245</v>
      </c>
      <c r="C665" s="90" t="n">
        <f aca="false">Perf!E7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3335</v>
      </c>
      <c r="B666" s="62" t="s">
        <v>3294</v>
      </c>
      <c r="C666" s="90" t="n">
        <f aca="false">Perf!F7</f>
        <v>1</v>
      </c>
      <c r="D666" s="61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3335</v>
      </c>
      <c r="B667" s="62" t="s">
        <v>3295</v>
      </c>
      <c r="C667" s="90" t="n">
        <f aca="false">Perf!G7</f>
        <v>2</v>
      </c>
      <c r="D667" s="61" t="n">
        <v>2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3335</v>
      </c>
      <c r="B668" s="62" t="s">
        <v>3296</v>
      </c>
      <c r="C668" s="90" t="n">
        <f aca="false">Perf!H7</f>
        <v>3</v>
      </c>
      <c r="D668" s="61" t="n">
        <v>3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3335</v>
      </c>
      <c r="B669" s="62" t="s">
        <v>3346</v>
      </c>
      <c r="C669" s="90" t="n">
        <f aca="false">Perf!I7</f>
        <v>1</v>
      </c>
      <c r="D669" s="61" t="n">
        <v>1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3335</v>
      </c>
      <c r="B670" s="62" t="s">
        <v>3347</v>
      </c>
      <c r="C670" s="90" t="n">
        <f aca="false">Perf!J7</f>
        <v>2</v>
      </c>
      <c r="D670" s="61" t="n">
        <v>2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3335</v>
      </c>
      <c r="B671" s="62" t="s">
        <v>3348</v>
      </c>
      <c r="C671" s="90" t="n">
        <f aca="false">Perf!K7</f>
        <v>3</v>
      </c>
      <c r="D671" s="61" t="n">
        <v>3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3335</v>
      </c>
      <c r="B672" s="62" t="s">
        <v>3349</v>
      </c>
      <c r="C672" s="90" t="n">
        <f aca="false">Perf!L7</f>
        <v>1</v>
      </c>
      <c r="D672" s="61" t="n">
        <v>1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3335</v>
      </c>
      <c r="B673" s="62" t="s">
        <v>3350</v>
      </c>
      <c r="C673" s="90" t="n">
        <f aca="false">Perf!M7</f>
        <v>2</v>
      </c>
      <c r="D673" s="61" t="n">
        <v>2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3335</v>
      </c>
      <c r="B674" s="62" t="s">
        <v>3297</v>
      </c>
      <c r="C674" s="90" t="n">
        <f aca="false">Perf!N7</f>
        <v>3</v>
      </c>
      <c r="D674" s="61" t="n">
        <v>3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3335</v>
      </c>
      <c r="B675" s="62" t="s">
        <v>3298</v>
      </c>
      <c r="C675" s="90" t="n">
        <f aca="false">Perf!O7</f>
        <v>1</v>
      </c>
      <c r="D675" s="61" t="n">
        <v>1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3335</v>
      </c>
      <c r="B676" s="62" t="s">
        <v>3351</v>
      </c>
      <c r="C676" s="90" t="n">
        <f aca="false">Perf!P7</f>
        <v>2</v>
      </c>
      <c r="D676" s="61" t="n">
        <v>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3335</v>
      </c>
      <c r="B677" s="62" t="s">
        <v>3352</v>
      </c>
      <c r="C677" s="90" t="n">
        <f aca="false">Perf!Q7</f>
        <v>3</v>
      </c>
      <c r="D677" s="61" t="n">
        <v>3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3353</v>
      </c>
      <c r="B678" s="62" t="s">
        <v>3208</v>
      </c>
      <c r="C678" s="90" t="n">
        <f aca="false">Unit_Cost!C6</f>
        <v>1</v>
      </c>
      <c r="D678" s="61" t="n">
        <v>1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3353</v>
      </c>
      <c r="B679" s="62" t="s">
        <v>3336</v>
      </c>
      <c r="C679" s="90" t="n">
        <f aca="false">Unit_Cost!D6</f>
        <v>1</v>
      </c>
      <c r="D679" s="61" t="n">
        <v>1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3353</v>
      </c>
      <c r="B680" s="62" t="s">
        <v>3145</v>
      </c>
      <c r="C680" s="90" t="n">
        <f aca="false">Unit_Cost!E6</f>
        <v>1</v>
      </c>
      <c r="D680" s="61" t="n">
        <v>1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3353</v>
      </c>
      <c r="B681" s="62" t="s">
        <v>3289</v>
      </c>
      <c r="C681" s="90" t="n">
        <f aca="false">Unit_Cost!F6</f>
        <v>2</v>
      </c>
      <c r="D681" s="61" t="n">
        <v>2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3353</v>
      </c>
      <c r="B682" s="62" t="s">
        <v>3290</v>
      </c>
      <c r="C682" s="90" t="n">
        <f aca="false">Unit_Cost!G6</f>
        <v>2</v>
      </c>
      <c r="D682" s="61" t="n">
        <v>2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3353</v>
      </c>
      <c r="B683" s="62" t="s">
        <v>3291</v>
      </c>
      <c r="C683" s="90" t="n">
        <f aca="false">Unit_Cost!H6</f>
        <v>2</v>
      </c>
      <c r="D683" s="61" t="n">
        <v>2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3353</v>
      </c>
      <c r="B684" s="62" t="s">
        <v>3337</v>
      </c>
      <c r="C684" s="90" t="n">
        <f aca="false">Unit_Cost!I6</f>
        <v>3</v>
      </c>
      <c r="D684" s="61" t="n">
        <v>3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3353</v>
      </c>
      <c r="B685" s="62" t="s">
        <v>3338</v>
      </c>
      <c r="C685" s="90" t="n">
        <f aca="false">Unit_Cost!J6</f>
        <v>3</v>
      </c>
      <c r="D685" s="61" t="n">
        <v>3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3353</v>
      </c>
      <c r="B686" s="62" t="s">
        <v>3339</v>
      </c>
      <c r="C686" s="90" t="n">
        <f aca="false">Unit_Cost!K6</f>
        <v>3</v>
      </c>
      <c r="D686" s="61" t="n">
        <v>3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3353</v>
      </c>
      <c r="B687" s="62" t="s">
        <v>3340</v>
      </c>
      <c r="C687" s="90" t="n">
        <f aca="false">Unit_Cost!L6</f>
        <v>4</v>
      </c>
      <c r="D687" s="61" t="n">
        <v>4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3353</v>
      </c>
      <c r="B688" s="62" t="s">
        <v>3341</v>
      </c>
      <c r="C688" s="90" t="n">
        <f aca="false">Unit_Cost!M6</f>
        <v>4</v>
      </c>
      <c r="D688" s="61" t="n">
        <v>4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3353</v>
      </c>
      <c r="B689" s="62" t="s">
        <v>3292</v>
      </c>
      <c r="C689" s="90" t="n">
        <f aca="false">Unit_Cost!N6</f>
        <v>4</v>
      </c>
      <c r="D689" s="61" t="n">
        <v>4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3353</v>
      </c>
      <c r="B690" s="62" t="s">
        <v>3293</v>
      </c>
      <c r="C690" s="90" t="n">
        <f aca="false">Unit_Cost!O6</f>
        <v>5</v>
      </c>
      <c r="D690" s="61" t="n">
        <v>5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3353</v>
      </c>
      <c r="B691" s="62" t="s">
        <v>3342</v>
      </c>
      <c r="C691" s="90" t="n">
        <f aca="false">Unit_Cost!P6</f>
        <v>5</v>
      </c>
      <c r="D691" s="61" t="n">
        <v>5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3353</v>
      </c>
      <c r="B692" s="62" t="s">
        <v>3343</v>
      </c>
      <c r="C692" s="90" t="n">
        <f aca="false">Unit_Cost!Q6</f>
        <v>5</v>
      </c>
      <c r="D692" s="61" t="n">
        <v>5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3354</v>
      </c>
      <c r="B693" s="62" t="s">
        <v>3208</v>
      </c>
      <c r="C693" s="66" t="n">
        <f aca="false">Train_In!C6</f>
        <v>0.25</v>
      </c>
      <c r="D693" s="61" t="n">
        <v>0.25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3354</v>
      </c>
      <c r="B694" s="62" t="s">
        <v>3344</v>
      </c>
      <c r="C694" s="66" t="n">
        <f aca="false">Train_In!C7</f>
        <v>0.9</v>
      </c>
      <c r="D694" s="61" t="n">
        <v>0.9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3354</v>
      </c>
      <c r="B695" s="62" t="s">
        <v>3209</v>
      </c>
      <c r="C695" s="97" t="n">
        <f aca="false">Train_In!C8</f>
        <v>0.8</v>
      </c>
      <c r="D695" s="61" t="n">
        <v>0.8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3354</v>
      </c>
      <c r="B696" s="62" t="s">
        <v>3211</v>
      </c>
      <c r="C696" s="97" t="n">
        <f aca="false">Train_In!C9</f>
        <v>0.6</v>
      </c>
      <c r="D696" s="61" t="n">
        <v>0.6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3354</v>
      </c>
      <c r="B697" s="62" t="s">
        <v>3213</v>
      </c>
      <c r="C697" s="90" t="n">
        <f aca="false">Train_In!C10</f>
        <v>0</v>
      </c>
      <c r="D697" s="61" t="n">
        <v>0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3354</v>
      </c>
      <c r="B698" s="62" t="s">
        <v>3215</v>
      </c>
      <c r="C698" s="66" t="n">
        <f aca="false">Train_In!C11</f>
        <v>0.85</v>
      </c>
      <c r="D698" s="61" t="n">
        <v>0.85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3354</v>
      </c>
      <c r="B699" s="62" t="s">
        <v>3216</v>
      </c>
      <c r="C699" s="90" t="n">
        <f aca="false">Train_In!C12</f>
        <v>16</v>
      </c>
      <c r="D699" s="61" t="n">
        <v>16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3354</v>
      </c>
      <c r="B700" s="62" t="s">
        <v>3220</v>
      </c>
      <c r="C700" s="111" t="n">
        <f aca="false">Train_In!C13</f>
        <v>8</v>
      </c>
      <c r="D700" s="61" t="n">
        <v>8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3354</v>
      </c>
      <c r="B701" s="62" t="s">
        <v>3250</v>
      </c>
      <c r="C701" s="90" t="n">
        <f aca="false">Train_In!C15</f>
        <v>3</v>
      </c>
      <c r="D701" s="61" t="n">
        <v>3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3354</v>
      </c>
      <c r="B702" s="62" t="s">
        <v>3251</v>
      </c>
      <c r="C702" s="90" t="n">
        <f aca="false">Train_In!C16</f>
        <v>4</v>
      </c>
      <c r="D702" s="61" t="n">
        <v>4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3354</v>
      </c>
      <c r="B703" s="62" t="s">
        <v>3355</v>
      </c>
      <c r="C703" s="97" t="n">
        <f aca="false">Train_In!C21</f>
        <v>1</v>
      </c>
      <c r="D703" s="61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3354</v>
      </c>
      <c r="B704" s="62" t="s">
        <v>3176</v>
      </c>
      <c r="C704" s="97" t="n">
        <f aca="false">Train_In!D21</f>
        <v>1</v>
      </c>
      <c r="D704" s="61" t="n">
        <v>1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3354</v>
      </c>
      <c r="B705" s="62" t="s">
        <v>3177</v>
      </c>
      <c r="C705" s="97" t="n">
        <f aca="false">Train_In!E21</f>
        <v>1</v>
      </c>
      <c r="D705" s="61" t="n">
        <v>1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3354</v>
      </c>
      <c r="B706" s="62" t="s">
        <v>3178</v>
      </c>
      <c r="C706" s="97" t="n">
        <f aca="false">Train_In!F21</f>
        <v>0.9</v>
      </c>
      <c r="D706" s="61" t="n">
        <v>0.9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3354</v>
      </c>
      <c r="B707" s="62" t="s">
        <v>3356</v>
      </c>
      <c r="C707" s="97" t="n">
        <f aca="false">Train_In!G21</f>
        <v>0.9</v>
      </c>
      <c r="D707" s="61" t="n">
        <v>0.9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3354</v>
      </c>
      <c r="B708" s="62" t="s">
        <v>3180</v>
      </c>
      <c r="C708" s="98" t="n">
        <f aca="false">Train_In!E25</f>
        <v>60</v>
      </c>
      <c r="D708" s="61" t="n">
        <v>60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3354</v>
      </c>
      <c r="B709" s="62" t="s">
        <v>3181</v>
      </c>
      <c r="C709" s="63" t="n">
        <f aca="false">Train_In!E26</f>
        <v>8192</v>
      </c>
      <c r="D709" s="61" t="n">
        <v>8192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3354</v>
      </c>
      <c r="B710" s="62" t="s">
        <v>3357</v>
      </c>
      <c r="C710" s="98" t="n">
        <f aca="false">Train_In!C27</f>
        <v>1</v>
      </c>
      <c r="D710" s="61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3354</v>
      </c>
      <c r="B711" s="62" t="s">
        <v>3358</v>
      </c>
      <c r="C711" s="98" t="n">
        <f aca="false">Train_In!D27</f>
        <v>1</v>
      </c>
      <c r="D711" s="61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3354</v>
      </c>
      <c r="B712" s="62" t="s">
        <v>3182</v>
      </c>
      <c r="C712" s="98" t="n">
        <f aca="false">Train_In!E27</f>
        <v>2</v>
      </c>
      <c r="D712" s="61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3354</v>
      </c>
      <c r="B713" s="62" t="s">
        <v>3262</v>
      </c>
      <c r="C713" s="63" t="n">
        <f aca="false">Train_In!C28</f>
        <v>131072</v>
      </c>
      <c r="D713" s="61" t="n">
        <v>131072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3354</v>
      </c>
      <c r="B714" s="62" t="s">
        <v>3183</v>
      </c>
      <c r="C714" s="63" t="n">
        <f aca="false">Train_In!D28</f>
        <v>131072</v>
      </c>
      <c r="D714" s="61" t="n">
        <v>131072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3354</v>
      </c>
      <c r="B715" s="62" t="s">
        <v>3184</v>
      </c>
      <c r="C715" s="63" t="n">
        <f aca="false">Train_In!E28</f>
        <v>131072</v>
      </c>
      <c r="D715" s="61" t="n">
        <v>131072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3354</v>
      </c>
      <c r="B716" s="62" t="s">
        <v>3228</v>
      </c>
      <c r="C716" s="95" t="n">
        <f aca="false">Train_In!C29</f>
        <v>0.05</v>
      </c>
      <c r="D716" s="61" t="n">
        <v>0.05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3354</v>
      </c>
      <c r="B717" s="62" t="s">
        <v>3229</v>
      </c>
      <c r="C717" s="95" t="n">
        <f aca="false">Train_In!D29</f>
        <v>0.05</v>
      </c>
      <c r="D717" s="61" t="n">
        <v>0.05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3354</v>
      </c>
      <c r="B718" s="62" t="s">
        <v>3359</v>
      </c>
      <c r="C718" s="95" t="n">
        <f aca="false">Train_In!E29</f>
        <v>0.1</v>
      </c>
      <c r="D718" s="61" t="n">
        <v>0.1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3354</v>
      </c>
      <c r="B719" s="62" t="s">
        <v>3360</v>
      </c>
      <c r="C719" s="63" t="n">
        <f aca="false">Train_In!C30</f>
        <v>16384</v>
      </c>
      <c r="D719" s="61" t="n">
        <v>16384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3354</v>
      </c>
      <c r="B720" s="62" t="s">
        <v>3361</v>
      </c>
      <c r="C720" s="63" t="n">
        <f aca="false">Train_In!D30</f>
        <v>16384</v>
      </c>
      <c r="D720" s="61" t="n">
        <v>16384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3354</v>
      </c>
      <c r="B721" s="62" t="s">
        <v>3362</v>
      </c>
      <c r="C721" s="63" t="n">
        <f aca="false">Train_In!E30</f>
        <v>16384</v>
      </c>
      <c r="D721" s="61" t="n">
        <v>16384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3354</v>
      </c>
      <c r="B722" s="62" t="s">
        <v>3232</v>
      </c>
      <c r="C722" s="63" t="n">
        <f aca="false">Train_In!C31</f>
        <v>20</v>
      </c>
      <c r="D722" s="61" t="n">
        <v>20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3354</v>
      </c>
      <c r="B723" s="62" t="s">
        <v>3186</v>
      </c>
      <c r="C723" s="63" t="n">
        <f aca="false">Train_In!D31</f>
        <v>20</v>
      </c>
      <c r="D723" s="61" t="n">
        <v>20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3354</v>
      </c>
      <c r="B724" s="62" t="s">
        <v>3187</v>
      </c>
      <c r="C724" s="63" t="n">
        <f aca="false">Train_In!E31</f>
        <v>20</v>
      </c>
      <c r="D724" s="61" t="n">
        <v>20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3354</v>
      </c>
      <c r="B725" s="62" t="s">
        <v>3234</v>
      </c>
      <c r="C725" s="63" t="n">
        <f aca="false">Train_In!C32</f>
        <v>4096</v>
      </c>
      <c r="D725" s="61" t="n">
        <v>4096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3354</v>
      </c>
      <c r="B726" s="62" t="s">
        <v>3189</v>
      </c>
      <c r="C726" s="63" t="n">
        <f aca="false">Train_In!D32</f>
        <v>8192</v>
      </c>
      <c r="D726" s="61" t="n">
        <v>8192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3354</v>
      </c>
      <c r="B727" s="62" t="s">
        <v>3190</v>
      </c>
      <c r="C727" s="63" t="n">
        <f aca="false">Train_In!E32</f>
        <v>16384</v>
      </c>
      <c r="D727" s="61" t="n">
        <v>16384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3354</v>
      </c>
      <c r="B728" s="62" t="s">
        <v>3363</v>
      </c>
      <c r="C728" s="63" t="n">
        <f aca="false">Train_In!C33</f>
        <v>8192</v>
      </c>
      <c r="D728" s="61" t="n">
        <v>8192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3354</v>
      </c>
      <c r="B729" s="62" t="s">
        <v>3192</v>
      </c>
      <c r="C729" s="63" t="n">
        <f aca="false">Train_In!D33</f>
        <v>16384</v>
      </c>
      <c r="D729" s="61" t="n">
        <v>16384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3354</v>
      </c>
      <c r="B730" s="62" t="s">
        <v>3193</v>
      </c>
      <c r="C730" s="63" t="n">
        <f aca="false">Train_In!E33</f>
        <v>32768</v>
      </c>
      <c r="D730" s="61" t="n">
        <v>32768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3354</v>
      </c>
      <c r="B731" s="62" t="s">
        <v>3246</v>
      </c>
      <c r="C731" s="95" t="n">
        <f aca="false">Train_In!C34</f>
        <v>2.36</v>
      </c>
      <c r="D731" s="61" t="n">
        <v>2.36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3354</v>
      </c>
      <c r="B732" s="62" t="s">
        <v>3195</v>
      </c>
      <c r="C732" s="95" t="n">
        <f aca="false">Train_In!D34</f>
        <v>2.36</v>
      </c>
      <c r="D732" s="61" t="n">
        <v>2.36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3354</v>
      </c>
      <c r="B733" s="62" t="s">
        <v>3196</v>
      </c>
      <c r="C733" s="95" t="n">
        <f aca="false">Train_In!E34</f>
        <v>9.6</v>
      </c>
      <c r="D733" s="61" t="n">
        <v>9.6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3354</v>
      </c>
      <c r="B734" s="62" t="s">
        <v>3364</v>
      </c>
      <c r="C734" s="95" t="n">
        <f aca="false">Train_In!C35</f>
        <v>0.2</v>
      </c>
      <c r="D734" s="61" t="n">
        <v>0.2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3354</v>
      </c>
      <c r="B735" s="62" t="s">
        <v>3198</v>
      </c>
      <c r="C735" s="95" t="n">
        <f aca="false">Train_In!D35</f>
        <v>0.2</v>
      </c>
      <c r="D735" s="61" t="n">
        <v>0.2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3354</v>
      </c>
      <c r="B736" s="62" t="s">
        <v>3199</v>
      </c>
      <c r="C736" s="95" t="n">
        <f aca="false">Train_In!E35</f>
        <v>0.2</v>
      </c>
      <c r="D736" s="61" t="n">
        <v>0.2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3354</v>
      </c>
      <c r="B737" s="62" t="s">
        <v>3365</v>
      </c>
      <c r="C737" s="90" t="n">
        <f aca="false">Train_In!C36</f>
        <v>1</v>
      </c>
      <c r="D737" s="61" t="n">
        <v>1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3354</v>
      </c>
      <c r="B738" s="62" t="s">
        <v>3366</v>
      </c>
      <c r="C738" s="90" t="n">
        <f aca="false">Train_In!D36</f>
        <v>2</v>
      </c>
      <c r="D738" s="61" t="n">
        <v>2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3354</v>
      </c>
      <c r="B739" s="62" t="s">
        <v>3247</v>
      </c>
      <c r="C739" s="90" t="n">
        <f aca="false">Train_In!E36</f>
        <v>3</v>
      </c>
      <c r="D739" s="61" t="n">
        <v>3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3354</v>
      </c>
      <c r="B740" s="62" t="s">
        <v>3367</v>
      </c>
      <c r="C740" s="98" t="n">
        <f aca="false">Train_In!C37</f>
        <v>1</v>
      </c>
      <c r="D740" s="61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3354</v>
      </c>
      <c r="B741" s="62" t="s">
        <v>3201</v>
      </c>
      <c r="C741" s="98" t="n">
        <f aca="false">Train_In!D37</f>
        <v>2</v>
      </c>
      <c r="D741" s="61" t="n">
        <v>2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3354</v>
      </c>
      <c r="B742" s="62" t="s">
        <v>3202</v>
      </c>
      <c r="C742" s="98" t="n">
        <f aca="false">Train_In!E37</f>
        <v>3</v>
      </c>
      <c r="D742" s="61" t="n">
        <v>3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3354</v>
      </c>
      <c r="B743" s="62" t="s">
        <v>3368</v>
      </c>
      <c r="C743" s="95" t="n">
        <f aca="false">Train_In!C38</f>
        <v>0.02</v>
      </c>
      <c r="D743" s="61" t="n">
        <v>0.02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3354</v>
      </c>
      <c r="B744" s="62" t="s">
        <v>3204</v>
      </c>
      <c r="C744" s="95" t="n">
        <f aca="false">Train_In!D38</f>
        <v>0.05</v>
      </c>
      <c r="D744" s="61" t="n">
        <v>0.05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3354</v>
      </c>
      <c r="B745" s="62" t="s">
        <v>3205</v>
      </c>
      <c r="C745" s="95" t="n">
        <f aca="false">Train_In!E38</f>
        <v>0.1</v>
      </c>
      <c r="D745" s="61" t="n">
        <v>0.1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3369</v>
      </c>
      <c r="B746" s="62" t="s">
        <v>3208</v>
      </c>
      <c r="C746" s="90" t="n">
        <f aca="false">Perf_Batch!C6</f>
        <v>1</v>
      </c>
      <c r="D746" s="61" t="n">
        <v>1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3369</v>
      </c>
      <c r="B747" s="62" t="s">
        <v>3336</v>
      </c>
      <c r="C747" s="90" t="n">
        <f aca="false">Perf_Batch!D6</f>
        <v>1</v>
      </c>
      <c r="D747" s="61" t="n">
        <v>1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3369</v>
      </c>
      <c r="B748" s="62" t="s">
        <v>3145</v>
      </c>
      <c r="C748" s="90" t="n">
        <f aca="false">Perf_Batch!E6</f>
        <v>1</v>
      </c>
      <c r="D748" s="61" t="n">
        <v>1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3369</v>
      </c>
      <c r="B749" s="62" t="s">
        <v>3289</v>
      </c>
      <c r="C749" s="90" t="n">
        <f aca="false">Perf_Batch!F6</f>
        <v>2</v>
      </c>
      <c r="D749" s="61" t="n">
        <v>2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3369</v>
      </c>
      <c r="B750" s="62" t="s">
        <v>3290</v>
      </c>
      <c r="C750" s="90" t="n">
        <f aca="false">Perf_Batch!G6</f>
        <v>2</v>
      </c>
      <c r="D750" s="61" t="n">
        <v>2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3369</v>
      </c>
      <c r="B751" s="62" t="s">
        <v>3291</v>
      </c>
      <c r="C751" s="90" t="n">
        <f aca="false">Perf_Batch!H6</f>
        <v>2</v>
      </c>
      <c r="D751" s="61" t="n">
        <v>2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3369</v>
      </c>
      <c r="B752" s="62" t="s">
        <v>3337</v>
      </c>
      <c r="C752" s="90" t="n">
        <f aca="false">Perf_Batch!I6</f>
        <v>3</v>
      </c>
      <c r="D752" s="61" t="n">
        <v>3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3369</v>
      </c>
      <c r="B753" s="62" t="s">
        <v>3338</v>
      </c>
      <c r="C753" s="90" t="n">
        <f aca="false">Perf_Batch!J6</f>
        <v>3</v>
      </c>
      <c r="D753" s="61" t="n">
        <v>3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3369</v>
      </c>
      <c r="B754" s="62" t="s">
        <v>3339</v>
      </c>
      <c r="C754" s="90" t="n">
        <f aca="false">Perf_Batch!K6</f>
        <v>3</v>
      </c>
      <c r="D754" s="61" t="n">
        <v>3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3369</v>
      </c>
      <c r="B755" s="62" t="s">
        <v>3340</v>
      </c>
      <c r="C755" s="90" t="n">
        <f aca="false">Perf_Batch!L6</f>
        <v>4</v>
      </c>
      <c r="D755" s="61" t="n">
        <v>4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3369</v>
      </c>
      <c r="B756" s="62" t="s">
        <v>3341</v>
      </c>
      <c r="C756" s="90" t="n">
        <f aca="false">Perf_Batch!M6</f>
        <v>4</v>
      </c>
      <c r="D756" s="61" t="n">
        <v>4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3369</v>
      </c>
      <c r="B757" s="62" t="s">
        <v>3292</v>
      </c>
      <c r="C757" s="90" t="n">
        <f aca="false">Perf_Batch!N6</f>
        <v>4</v>
      </c>
      <c r="D757" s="61" t="n">
        <v>4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3369</v>
      </c>
      <c r="B758" s="62" t="s">
        <v>3293</v>
      </c>
      <c r="C758" s="90" t="n">
        <f aca="false">Perf_Batch!O6</f>
        <v>5</v>
      </c>
      <c r="D758" s="61" t="n">
        <v>5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3369</v>
      </c>
      <c r="B759" s="62" t="s">
        <v>3342</v>
      </c>
      <c r="C759" s="90" t="n">
        <f aca="false">Perf_Batch!P6</f>
        <v>5</v>
      </c>
      <c r="D759" s="61" t="n">
        <v>5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3369</v>
      </c>
      <c r="B760" s="62" t="s">
        <v>3343</v>
      </c>
      <c r="C760" s="90" t="n">
        <f aca="false">Perf_Batch!Q6</f>
        <v>5</v>
      </c>
      <c r="D760" s="61" t="n">
        <v>5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3369</v>
      </c>
      <c r="B761" s="62" t="s">
        <v>3344</v>
      </c>
      <c r="C761" s="90" t="n">
        <f aca="false">Perf_Batch!C7</f>
        <v>1</v>
      </c>
      <c r="D761" s="61" t="n">
        <v>1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3369</v>
      </c>
      <c r="B762" s="62" t="s">
        <v>3345</v>
      </c>
      <c r="C762" s="90" t="n">
        <f aca="false">Perf_Batch!D7</f>
        <v>2</v>
      </c>
      <c r="D762" s="61" t="n">
        <v>2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3369</v>
      </c>
      <c r="B763" s="62" t="s">
        <v>3245</v>
      </c>
      <c r="C763" s="90" t="n">
        <f aca="false">Perf_Batch!E7</f>
        <v>3</v>
      </c>
      <c r="D763" s="61" t="n">
        <v>3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3369</v>
      </c>
      <c r="B764" s="62" t="s">
        <v>3294</v>
      </c>
      <c r="C764" s="90" t="n">
        <f aca="false">Perf_Batch!F7</f>
        <v>1</v>
      </c>
      <c r="D764" s="61" t="n">
        <v>1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3369</v>
      </c>
      <c r="B765" s="62" t="s">
        <v>3295</v>
      </c>
      <c r="C765" s="90" t="n">
        <f aca="false">Perf_Batch!G7</f>
        <v>2</v>
      </c>
      <c r="D765" s="61" t="n">
        <v>2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3369</v>
      </c>
      <c r="B766" s="62" t="s">
        <v>3296</v>
      </c>
      <c r="C766" s="90" t="n">
        <f aca="false">Perf_Batch!H7</f>
        <v>3</v>
      </c>
      <c r="D766" s="61" t="n">
        <v>3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3369</v>
      </c>
      <c r="B767" s="62" t="s">
        <v>3346</v>
      </c>
      <c r="C767" s="90" t="n">
        <f aca="false">Perf_Batch!I7</f>
        <v>1</v>
      </c>
      <c r="D767" s="61" t="n">
        <v>1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3369</v>
      </c>
      <c r="B768" s="62" t="s">
        <v>3347</v>
      </c>
      <c r="C768" s="90" t="n">
        <f aca="false">Perf_Batch!J7</f>
        <v>2</v>
      </c>
      <c r="D768" s="61" t="n">
        <v>2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3369</v>
      </c>
      <c r="B769" s="62" t="s">
        <v>3348</v>
      </c>
      <c r="C769" s="90" t="n">
        <f aca="false">Perf_Batch!K7</f>
        <v>3</v>
      </c>
      <c r="D769" s="61" t="n">
        <v>3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3369</v>
      </c>
      <c r="B770" s="62" t="s">
        <v>3349</v>
      </c>
      <c r="C770" s="90" t="n">
        <f aca="false">Perf_Batch!L7</f>
        <v>1</v>
      </c>
      <c r="D770" s="61" t="n">
        <v>1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3369</v>
      </c>
      <c r="B771" s="62" t="s">
        <v>3350</v>
      </c>
      <c r="C771" s="90" t="n">
        <f aca="false">Perf_Batch!M7</f>
        <v>2</v>
      </c>
      <c r="D771" s="61" t="n">
        <v>2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3369</v>
      </c>
      <c r="B772" s="62" t="s">
        <v>3297</v>
      </c>
      <c r="C772" s="90" t="n">
        <f aca="false">Perf_Batch!N7</f>
        <v>3</v>
      </c>
      <c r="D772" s="61" t="n">
        <v>3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3369</v>
      </c>
      <c r="B773" s="62" t="s">
        <v>3298</v>
      </c>
      <c r="C773" s="90" t="n">
        <f aca="false">Perf_Batch!O7</f>
        <v>1</v>
      </c>
      <c r="D773" s="61" t="n">
        <v>1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3369</v>
      </c>
      <c r="B774" s="62" t="s">
        <v>3351</v>
      </c>
      <c r="C774" s="90" t="n">
        <f aca="false">Perf_Batch!P7</f>
        <v>2</v>
      </c>
      <c r="D774" s="61" t="n">
        <v>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3369</v>
      </c>
      <c r="B775" s="62" t="s">
        <v>3352</v>
      </c>
      <c r="C775" s="90" t="n">
        <f aca="false">Perf_Batch!Q7</f>
        <v>3</v>
      </c>
      <c r="D775" s="61" t="n">
        <v>3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3370</v>
      </c>
      <c r="B776" s="62" t="s">
        <v>3208</v>
      </c>
      <c r="C776" s="90" t="n">
        <f aca="false">Training!C6</f>
        <v>1</v>
      </c>
      <c r="D776" s="61" t="n">
        <v>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3370</v>
      </c>
      <c r="B777" s="62" t="s">
        <v>3336</v>
      </c>
      <c r="C777" s="90" t="n">
        <f aca="false">Training!D6</f>
        <v>1</v>
      </c>
      <c r="D777" s="61" t="n">
        <v>1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3370</v>
      </c>
      <c r="B778" s="62" t="s">
        <v>3145</v>
      </c>
      <c r="C778" s="90" t="n">
        <f aca="false">Training!E6</f>
        <v>1</v>
      </c>
      <c r="D778" s="61" t="n">
        <v>1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3370</v>
      </c>
      <c r="B779" s="62" t="s">
        <v>3289</v>
      </c>
      <c r="C779" s="90" t="n">
        <f aca="false">Training!F6</f>
        <v>2</v>
      </c>
      <c r="D779" s="61" t="n">
        <v>2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3370</v>
      </c>
      <c r="B780" s="62" t="s">
        <v>3290</v>
      </c>
      <c r="C780" s="90" t="n">
        <f aca="false">Training!G6</f>
        <v>2</v>
      </c>
      <c r="D780" s="61" t="n">
        <v>2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3370</v>
      </c>
      <c r="B781" s="62" t="s">
        <v>3291</v>
      </c>
      <c r="C781" s="90" t="n">
        <f aca="false">Training!H6</f>
        <v>2</v>
      </c>
      <c r="D781" s="61" t="n">
        <v>2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3370</v>
      </c>
      <c r="B782" s="62" t="s">
        <v>3337</v>
      </c>
      <c r="C782" s="90" t="n">
        <f aca="false">Training!I6</f>
        <v>3</v>
      </c>
      <c r="D782" s="61" t="n">
        <v>3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3370</v>
      </c>
      <c r="B783" s="62" t="s">
        <v>3338</v>
      </c>
      <c r="C783" s="90" t="n">
        <f aca="false">Training!J6</f>
        <v>3</v>
      </c>
      <c r="D783" s="61" t="n">
        <v>3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3370</v>
      </c>
      <c r="B784" s="62" t="s">
        <v>3339</v>
      </c>
      <c r="C784" s="90" t="n">
        <f aca="false">Training!K6</f>
        <v>3</v>
      </c>
      <c r="D784" s="61" t="n">
        <v>3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3370</v>
      </c>
      <c r="B785" s="62" t="s">
        <v>3340</v>
      </c>
      <c r="C785" s="90" t="n">
        <f aca="false">Training!L6</f>
        <v>4</v>
      </c>
      <c r="D785" s="61" t="n">
        <v>4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3370</v>
      </c>
      <c r="B786" s="62" t="s">
        <v>3341</v>
      </c>
      <c r="C786" s="90" t="n">
        <f aca="false">Training!M6</f>
        <v>4</v>
      </c>
      <c r="D786" s="61" t="n">
        <v>4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3370</v>
      </c>
      <c r="B787" s="62" t="s">
        <v>3292</v>
      </c>
      <c r="C787" s="90" t="n">
        <f aca="false">Training!N6</f>
        <v>4</v>
      </c>
      <c r="D787" s="61" t="n">
        <v>4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3370</v>
      </c>
      <c r="B788" s="62" t="s">
        <v>3293</v>
      </c>
      <c r="C788" s="90" t="n">
        <f aca="false">Training!O6</f>
        <v>5</v>
      </c>
      <c r="D788" s="61" t="n">
        <v>5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3370</v>
      </c>
      <c r="B789" s="62" t="s">
        <v>3342</v>
      </c>
      <c r="C789" s="90" t="n">
        <f aca="false">Training!P6</f>
        <v>5</v>
      </c>
      <c r="D789" s="61" t="n">
        <v>5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3370</v>
      </c>
      <c r="B790" s="62" t="s">
        <v>3343</v>
      </c>
      <c r="C790" s="90" t="n">
        <f aca="false">Training!Q6</f>
        <v>5</v>
      </c>
      <c r="D790" s="61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3370</v>
      </c>
      <c r="B791" s="62" t="s">
        <v>3344</v>
      </c>
      <c r="C791" s="90" t="n">
        <f aca="false">Training!C7</f>
        <v>1</v>
      </c>
      <c r="D791" s="61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3370</v>
      </c>
      <c r="B792" s="62" t="s">
        <v>3345</v>
      </c>
      <c r="C792" s="90" t="n">
        <f aca="false">Training!D7</f>
        <v>2</v>
      </c>
      <c r="D792" s="61" t="n">
        <v>2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3370</v>
      </c>
      <c r="B793" s="62" t="s">
        <v>3245</v>
      </c>
      <c r="C793" s="90" t="n">
        <f aca="false">Training!E7</f>
        <v>3</v>
      </c>
      <c r="D793" s="61" t="n">
        <v>3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3370</v>
      </c>
      <c r="B794" s="62" t="s">
        <v>3294</v>
      </c>
      <c r="C794" s="90" t="n">
        <f aca="false">Training!F7</f>
        <v>1</v>
      </c>
      <c r="D794" s="61" t="n">
        <v>1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3370</v>
      </c>
      <c r="B795" s="62" t="s">
        <v>3295</v>
      </c>
      <c r="C795" s="90" t="n">
        <f aca="false">Training!G7</f>
        <v>2</v>
      </c>
      <c r="D795" s="61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3370</v>
      </c>
      <c r="B796" s="62" t="s">
        <v>3296</v>
      </c>
      <c r="C796" s="90" t="n">
        <f aca="false">Training!H7</f>
        <v>3</v>
      </c>
      <c r="D796" s="61" t="n">
        <v>3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3370</v>
      </c>
      <c r="B797" s="62" t="s">
        <v>3346</v>
      </c>
      <c r="C797" s="90" t="n">
        <f aca="false">Training!I7</f>
        <v>1</v>
      </c>
      <c r="D797" s="61" t="n">
        <v>1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3370</v>
      </c>
      <c r="B798" s="62" t="s">
        <v>3347</v>
      </c>
      <c r="C798" s="90" t="n">
        <f aca="false">Training!J7</f>
        <v>2</v>
      </c>
      <c r="D798" s="61" t="n">
        <v>2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3370</v>
      </c>
      <c r="B799" s="62" t="s">
        <v>3348</v>
      </c>
      <c r="C799" s="90" t="n">
        <f aca="false">Training!K7</f>
        <v>3</v>
      </c>
      <c r="D799" s="61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3370</v>
      </c>
      <c r="B800" s="62" t="s">
        <v>3349</v>
      </c>
      <c r="C800" s="90" t="n">
        <f aca="false">Training!L7</f>
        <v>1</v>
      </c>
      <c r="D800" s="61" t="n">
        <v>1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3370</v>
      </c>
      <c r="B801" s="62" t="s">
        <v>3350</v>
      </c>
      <c r="C801" s="90" t="n">
        <f aca="false">Training!M7</f>
        <v>2</v>
      </c>
      <c r="D801" s="61" t="n">
        <v>2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3370</v>
      </c>
      <c r="B802" s="62" t="s">
        <v>3297</v>
      </c>
      <c r="C802" s="90" t="n">
        <f aca="false">Training!N7</f>
        <v>3</v>
      </c>
      <c r="D802" s="61" t="n">
        <v>3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3370</v>
      </c>
      <c r="B803" s="62" t="s">
        <v>3298</v>
      </c>
      <c r="C803" s="90" t="n">
        <f aca="false">Training!O7</f>
        <v>1</v>
      </c>
      <c r="D803" s="61" t="n">
        <v>1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3370</v>
      </c>
      <c r="B804" s="62" t="s">
        <v>3351</v>
      </c>
      <c r="C804" s="90" t="n">
        <f aca="false">Training!P7</f>
        <v>2</v>
      </c>
      <c r="D804" s="61" t="n">
        <v>2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3370</v>
      </c>
      <c r="B805" s="62" t="s">
        <v>3352</v>
      </c>
      <c r="C805" s="90" t="n">
        <f aca="false">Training!Q7</f>
        <v>3</v>
      </c>
      <c r="D805" s="61" t="n">
        <v>3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3371</v>
      </c>
      <c r="B806" s="62" t="s">
        <v>3293</v>
      </c>
      <c r="C806" s="90" t="n">
        <f aca="false">Sens_Train!O6</f>
        <v>4</v>
      </c>
      <c r="D806" s="61" t="n">
        <v>4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3371</v>
      </c>
      <c r="B807" s="62" t="s">
        <v>3342</v>
      </c>
      <c r="C807" s="90" t="n">
        <f aca="false">Sens_Train!P6</f>
        <v>4</v>
      </c>
      <c r="D807" s="61" t="n">
        <v>4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3371</v>
      </c>
      <c r="B808" s="62" t="s">
        <v>3343</v>
      </c>
      <c r="C808" s="90" t="n">
        <f aca="false">Sens_Train!Q6</f>
        <v>4</v>
      </c>
      <c r="D808" s="61" t="n">
        <v>4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3371</v>
      </c>
      <c r="B809" s="62" t="s">
        <v>3372</v>
      </c>
      <c r="C809" s="90" t="n">
        <f aca="false">Sens_Train!R6</f>
        <v>4</v>
      </c>
      <c r="D809" s="61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3371</v>
      </c>
      <c r="B810" s="62" t="s">
        <v>3298</v>
      </c>
      <c r="C810" s="90" t="n">
        <f aca="false">Sens_Train!O7</f>
        <v>2</v>
      </c>
      <c r="D810" s="61" t="n">
        <v>2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3371</v>
      </c>
      <c r="B811" s="62" t="s">
        <v>3351</v>
      </c>
      <c r="C811" s="90" t="n">
        <f aca="false">Sens_Train!P7</f>
        <v>3</v>
      </c>
      <c r="D811" s="61" t="n">
        <v>3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3371</v>
      </c>
      <c r="B812" s="62" t="s">
        <v>3352</v>
      </c>
      <c r="C812" s="90" t="n">
        <f aca="false">Sens_Train!Q7</f>
        <v>2</v>
      </c>
      <c r="D812" s="61" t="n">
        <v>2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3371</v>
      </c>
      <c r="B813" s="62" t="s">
        <v>3373</v>
      </c>
      <c r="C813" s="90" t="n">
        <f aca="false">Sens_Train!R7</f>
        <v>3</v>
      </c>
      <c r="D813" s="61" t="n">
        <v>3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3371</v>
      </c>
      <c r="B814" s="62" t="s">
        <v>3302</v>
      </c>
      <c r="C814" s="97" t="n">
        <f aca="false">Sens_Train!O8</f>
        <v>0.3</v>
      </c>
      <c r="D814" s="61" t="n">
        <v>0.3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3371</v>
      </c>
      <c r="B815" s="62" t="s">
        <v>3374</v>
      </c>
      <c r="C815" s="97" t="n">
        <f aca="false">Sens_Train!P8</f>
        <v>0.3</v>
      </c>
      <c r="D815" s="61" t="n">
        <v>0.3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3371</v>
      </c>
      <c r="B816" s="62" t="s">
        <v>3375</v>
      </c>
      <c r="C816" s="97" t="n">
        <f aca="false">Sens_Train!Q8</f>
        <v>3</v>
      </c>
      <c r="D816" s="61" t="n">
        <v>3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3371</v>
      </c>
      <c r="B817" s="62" t="s">
        <v>3376</v>
      </c>
      <c r="C817" s="97" t="n">
        <f aca="false">Sens_Train!R8</f>
        <v>3</v>
      </c>
      <c r="D817" s="61" t="n">
        <v>3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3377</v>
      </c>
      <c r="B818" s="62" t="s">
        <v>3216</v>
      </c>
      <c r="C818" s="66" t="n">
        <f aca="false">Cap_In!C12</f>
        <v>0.2</v>
      </c>
      <c r="D818" s="61" t="n">
        <v>0.2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3377</v>
      </c>
      <c r="B819" s="62" t="s">
        <v>3220</v>
      </c>
      <c r="C819" s="66" t="n">
        <f aca="false">Cap_In!C13</f>
        <v>0.55</v>
      </c>
      <c r="D819" s="61" t="n">
        <v>0.55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3377</v>
      </c>
      <c r="B820" s="62" t="s">
        <v>3249</v>
      </c>
      <c r="C820" s="97" t="n">
        <f aca="false">Cap_In!C14</f>
        <v>0</v>
      </c>
      <c r="D820" s="61" t="n">
        <v>0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3377</v>
      </c>
      <c r="B821" s="62" t="s">
        <v>3250</v>
      </c>
      <c r="C821" s="97" t="n">
        <f aca="false">Cap_In!C15</f>
        <v>1</v>
      </c>
      <c r="D821" s="61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3377</v>
      </c>
      <c r="B822" s="62" t="s">
        <v>3254</v>
      </c>
      <c r="C822" s="90" t="n">
        <f aca="false">Cap_In!C22</f>
        <v>12</v>
      </c>
      <c r="D822" s="61" t="n">
        <v>12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3377</v>
      </c>
      <c r="B823" s="62" t="s">
        <v>3255</v>
      </c>
      <c r="C823" s="90" t="n">
        <f aca="false">Cap_In!D22</f>
        <v>12</v>
      </c>
      <c r="D823" s="61" t="n">
        <v>12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3377</v>
      </c>
      <c r="B824" s="62" t="s">
        <v>3256</v>
      </c>
      <c r="C824" s="90" t="n">
        <f aca="false">Cap_In!E22</f>
        <v>9</v>
      </c>
      <c r="D824" s="61" t="n">
        <v>9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3377</v>
      </c>
      <c r="B825" s="62" t="s">
        <v>3262</v>
      </c>
      <c r="C825" s="66" t="n">
        <f aca="false">Cap_In!C28</f>
        <v>0.41</v>
      </c>
      <c r="D825" s="61" t="n">
        <v>0.41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3377</v>
      </c>
      <c r="B826" s="62" t="s">
        <v>3228</v>
      </c>
      <c r="C826" s="66" t="n">
        <f aca="false">Cap_In!C29</f>
        <v>0.46</v>
      </c>
      <c r="D826" s="61" t="n">
        <v>0.46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3377</v>
      </c>
      <c r="B827" s="62" t="s">
        <v>3232</v>
      </c>
      <c r="C827" s="66" t="n">
        <f aca="false">Cap_In!C31</f>
        <v>0.4</v>
      </c>
      <c r="D827" s="61" t="n">
        <v>0.4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3377</v>
      </c>
      <c r="B828" s="62" t="s">
        <v>3186</v>
      </c>
      <c r="C828" s="66" t="n">
        <f aca="false">Cap_In!D31</f>
        <v>0.45</v>
      </c>
      <c r="D828" s="61" t="n">
        <v>0.45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3377</v>
      </c>
      <c r="B829" s="62" t="s">
        <v>3187</v>
      </c>
      <c r="C829" s="66" t="n">
        <f aca="false">Cap_In!E31</f>
        <v>0.15</v>
      </c>
      <c r="D829" s="61" t="n">
        <v>0.15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3377</v>
      </c>
      <c r="B830" s="62" t="s">
        <v>3234</v>
      </c>
      <c r="C830" s="66" t="n">
        <f aca="false">Cap_In!C32</f>
        <v>0.9</v>
      </c>
      <c r="D830" s="61" t="n">
        <v>0.9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3377</v>
      </c>
      <c r="B831" s="62" t="s">
        <v>3189</v>
      </c>
      <c r="C831" s="66" t="n">
        <f aca="false">Cap_In!D32</f>
        <v>0.1</v>
      </c>
      <c r="D831" s="61" t="n">
        <v>0.1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3377</v>
      </c>
      <c r="B832" s="62" t="s">
        <v>3190</v>
      </c>
      <c r="C832" s="66" t="n">
        <f aca="false">Cap_In!E32</f>
        <v>0</v>
      </c>
      <c r="D832" s="61" t="n">
        <v>0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3377</v>
      </c>
      <c r="B833" s="62" t="s">
        <v>3365</v>
      </c>
      <c r="C833" s="90" t="n">
        <f aca="false">Cap_In!C36</f>
        <v>2</v>
      </c>
      <c r="D833" s="61" t="n">
        <v>2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3377</v>
      </c>
      <c r="B834" s="62" t="s">
        <v>3367</v>
      </c>
      <c r="C834" s="108" t="n">
        <f aca="false">Cap_In!C37</f>
        <v>0.0833333333333333</v>
      </c>
      <c r="D834" s="61" t="n">
        <v>0.0833333333333333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3377</v>
      </c>
      <c r="B835" s="62" t="s">
        <v>3368</v>
      </c>
      <c r="C835" s="90" t="n">
        <f aca="false">Cap_In!C38</f>
        <v>5</v>
      </c>
      <c r="D835" s="61" t="n">
        <v>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3377</v>
      </c>
      <c r="B836" s="62" t="s">
        <v>3378</v>
      </c>
      <c r="C836" s="97" t="n">
        <f aca="false">Cap_In!C39</f>
        <v>10</v>
      </c>
      <c r="D836" s="61" t="n">
        <v>10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3377</v>
      </c>
      <c r="B837" s="62" t="s">
        <v>3379</v>
      </c>
      <c r="C837" s="90" t="n">
        <f aca="false">Cap_In!C40</f>
        <v>4</v>
      </c>
      <c r="D837" s="61" t="n">
        <v>4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3377</v>
      </c>
      <c r="B838" s="62" t="s">
        <v>3380</v>
      </c>
      <c r="C838" s="97" t="n">
        <f aca="false">Cap_In!C41</f>
        <v>0.1</v>
      </c>
      <c r="D838" s="61" t="n">
        <v>0.1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3377</v>
      </c>
      <c r="B839" s="62" t="s">
        <v>3381</v>
      </c>
      <c r="C839" s="90" t="n">
        <f aca="false">Cap_In!C42</f>
        <v>5</v>
      </c>
      <c r="D839" s="61" t="n">
        <v>5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3382</v>
      </c>
      <c r="B840" s="62" t="s">
        <v>3208</v>
      </c>
      <c r="C840" s="90" t="n">
        <f aca="false">Cache_Store!C6</f>
        <v>1</v>
      </c>
      <c r="D840" s="61" t="n">
        <v>1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3382</v>
      </c>
      <c r="B841" s="62" t="s">
        <v>3336</v>
      </c>
      <c r="C841" s="90" t="n">
        <f aca="false">Cache_Store!D6</f>
        <v>1</v>
      </c>
      <c r="D841" s="61" t="n">
        <v>1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3382</v>
      </c>
      <c r="B842" s="62" t="s">
        <v>3145</v>
      </c>
      <c r="C842" s="90" t="n">
        <f aca="false">Cache_Store!E6</f>
        <v>1</v>
      </c>
      <c r="D842" s="61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3382</v>
      </c>
      <c r="B843" s="62" t="s">
        <v>3289</v>
      </c>
      <c r="C843" s="90" t="n">
        <f aca="false">Cache_Store!F6</f>
        <v>2</v>
      </c>
      <c r="D843" s="61" t="n">
        <v>2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3382</v>
      </c>
      <c r="B844" s="62" t="s">
        <v>3290</v>
      </c>
      <c r="C844" s="90" t="n">
        <f aca="false">Cache_Store!G6</f>
        <v>2</v>
      </c>
      <c r="D844" s="61" t="n">
        <v>2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3382</v>
      </c>
      <c r="B845" s="62" t="s">
        <v>3291</v>
      </c>
      <c r="C845" s="90" t="n">
        <f aca="false">Cache_Store!H6</f>
        <v>2</v>
      </c>
      <c r="D845" s="61" t="n">
        <v>2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3382</v>
      </c>
      <c r="B846" s="62" t="s">
        <v>3337</v>
      </c>
      <c r="C846" s="90" t="n">
        <f aca="false">Cache_Store!I6</f>
        <v>3</v>
      </c>
      <c r="D846" s="61" t="n">
        <v>3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3382</v>
      </c>
      <c r="B847" s="62" t="s">
        <v>3338</v>
      </c>
      <c r="C847" s="90" t="n">
        <f aca="false">Cache_Store!J6</f>
        <v>3</v>
      </c>
      <c r="D847" s="61" t="n">
        <v>3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3382</v>
      </c>
      <c r="B848" s="62" t="s">
        <v>3339</v>
      </c>
      <c r="C848" s="90" t="n">
        <f aca="false">Cache_Store!K6</f>
        <v>3</v>
      </c>
      <c r="D848" s="61" t="n">
        <v>3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3382</v>
      </c>
      <c r="B849" s="62" t="s">
        <v>3340</v>
      </c>
      <c r="C849" s="90" t="n">
        <f aca="false">Cache_Store!L6</f>
        <v>4</v>
      </c>
      <c r="D849" s="61" t="n">
        <v>4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3382</v>
      </c>
      <c r="B850" s="62" t="s">
        <v>3341</v>
      </c>
      <c r="C850" s="90" t="n">
        <f aca="false">Cache_Store!M6</f>
        <v>4</v>
      </c>
      <c r="D850" s="61" t="n">
        <v>4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3382</v>
      </c>
      <c r="B851" s="62" t="s">
        <v>3292</v>
      </c>
      <c r="C851" s="90" t="n">
        <f aca="false">Cache_Store!N6</f>
        <v>4</v>
      </c>
      <c r="D851" s="61" t="n">
        <v>4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3382</v>
      </c>
      <c r="B852" s="62" t="s">
        <v>3293</v>
      </c>
      <c r="C852" s="90" t="n">
        <f aca="false">Cache_Store!O6</f>
        <v>5</v>
      </c>
      <c r="D852" s="61" t="n">
        <v>5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3382</v>
      </c>
      <c r="B853" s="62" t="s">
        <v>3342</v>
      </c>
      <c r="C853" s="90" t="n">
        <f aca="false">Cache_Store!P6</f>
        <v>5</v>
      </c>
      <c r="D853" s="61" t="n">
        <v>5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3382</v>
      </c>
      <c r="B854" s="62" t="s">
        <v>3343</v>
      </c>
      <c r="C854" s="90" t="n">
        <f aca="false">Cache_Store!Q6</f>
        <v>5</v>
      </c>
      <c r="D854" s="61" t="n">
        <v>5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3383</v>
      </c>
      <c r="B855" s="62" t="s">
        <v>3344</v>
      </c>
      <c r="C855" s="90" t="n">
        <f aca="false">Fleet_1GW!C7</f>
        <v>1</v>
      </c>
      <c r="D855" s="61" t="n">
        <v>1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3383</v>
      </c>
      <c r="B856" s="62" t="s">
        <v>3345</v>
      </c>
      <c r="C856" s="90" t="n">
        <f aca="false">Fleet_1GW!D7</f>
        <v>2</v>
      </c>
      <c r="D856" s="61" t="n">
        <v>2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3383</v>
      </c>
      <c r="B857" s="62" t="s">
        <v>3245</v>
      </c>
      <c r="C857" s="90" t="n">
        <f aca="false">Fleet_1GW!E7</f>
        <v>3</v>
      </c>
      <c r="D857" s="61" t="n">
        <v>3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3383</v>
      </c>
      <c r="B858" s="62" t="s">
        <v>3294</v>
      </c>
      <c r="C858" s="90" t="n">
        <f aca="false">Fleet_1GW!F7</f>
        <v>4</v>
      </c>
      <c r="D858" s="61" t="n">
        <v>4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3383</v>
      </c>
      <c r="B859" s="62" t="s">
        <v>3295</v>
      </c>
      <c r="C859" s="90" t="n">
        <f aca="false">Fleet_1GW!G7</f>
        <v>5</v>
      </c>
      <c r="D859" s="61" t="n">
        <v>5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3383</v>
      </c>
      <c r="B860" s="62" t="s">
        <v>3296</v>
      </c>
      <c r="C860" s="90" t="n">
        <f aca="false">Fleet_1GW!H7</f>
        <v>6</v>
      </c>
      <c r="D860" s="61" t="n">
        <v>6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3383</v>
      </c>
      <c r="B861" s="62" t="s">
        <v>3346</v>
      </c>
      <c r="C861" s="90" t="n">
        <f aca="false">Fleet_1GW!I7</f>
        <v>7</v>
      </c>
      <c r="D861" s="61" t="n">
        <v>7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3383</v>
      </c>
      <c r="B862" s="62" t="s">
        <v>3347</v>
      </c>
      <c r="C862" s="90" t="n">
        <f aca="false">Fleet_1GW!J7</f>
        <v>8</v>
      </c>
      <c r="D862" s="61" t="n">
        <v>8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3383</v>
      </c>
      <c r="B863" s="62" t="s">
        <v>3348</v>
      </c>
      <c r="C863" s="90" t="n">
        <f aca="false">Fleet_1GW!K7</f>
        <v>9</v>
      </c>
      <c r="D863" s="61" t="n">
        <v>9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3383</v>
      </c>
      <c r="B864" s="62" t="s">
        <v>3349</v>
      </c>
      <c r="C864" s="90" t="n">
        <f aca="false">Fleet_1GW!L7</f>
        <v>10</v>
      </c>
      <c r="D864" s="61" t="n">
        <v>10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3383</v>
      </c>
      <c r="B865" s="62" t="s">
        <v>3350</v>
      </c>
      <c r="C865" s="90" t="n">
        <f aca="false">Fleet_1GW!M7</f>
        <v>11</v>
      </c>
      <c r="D865" s="61" t="n">
        <v>11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3383</v>
      </c>
      <c r="B866" s="62" t="s">
        <v>3297</v>
      </c>
      <c r="C866" s="90" t="n">
        <f aca="false">Fleet_1GW!N7</f>
        <v>12</v>
      </c>
      <c r="D866" s="61" t="n">
        <v>12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3383</v>
      </c>
      <c r="B867" s="62" t="s">
        <v>3298</v>
      </c>
      <c r="C867" s="90" t="n">
        <f aca="false">Fleet_1GW!O7</f>
        <v>13</v>
      </c>
      <c r="D867" s="61" t="n">
        <v>13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3383</v>
      </c>
      <c r="B868" s="62" t="s">
        <v>3351</v>
      </c>
      <c r="C868" s="90" t="n">
        <f aca="false">Fleet_1GW!P7</f>
        <v>14</v>
      </c>
      <c r="D868" s="61" t="n">
        <v>14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3383</v>
      </c>
      <c r="B869" s="62" t="s">
        <v>3352</v>
      </c>
      <c r="C869" s="90" t="n">
        <f aca="false">Fleet_1GW!Q7</f>
        <v>15</v>
      </c>
      <c r="D869" s="61" t="n">
        <v>15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3384</v>
      </c>
      <c r="B870" s="62" t="s">
        <v>3344</v>
      </c>
      <c r="C870" s="90" t="n">
        <f aca="false">Amortize!C7</f>
        <v>1</v>
      </c>
      <c r="D870" s="61" t="n">
        <v>1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3384</v>
      </c>
      <c r="B871" s="62" t="s">
        <v>3345</v>
      </c>
      <c r="C871" s="90" t="n">
        <f aca="false">Amortize!D7</f>
        <v>2</v>
      </c>
      <c r="D871" s="61" t="n">
        <v>2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3384</v>
      </c>
      <c r="B872" s="62" t="s">
        <v>3245</v>
      </c>
      <c r="C872" s="90" t="n">
        <f aca="false">Amortize!E7</f>
        <v>3</v>
      </c>
      <c r="D872" s="61" t="n">
        <v>3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3384</v>
      </c>
      <c r="B873" s="62" t="s">
        <v>3294</v>
      </c>
      <c r="C873" s="90" t="n">
        <f aca="false">Amortize!F7</f>
        <v>4</v>
      </c>
      <c r="D873" s="61" t="n">
        <v>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3384</v>
      </c>
      <c r="B874" s="62" t="s">
        <v>3295</v>
      </c>
      <c r="C874" s="90" t="n">
        <f aca="false">Amortize!G7</f>
        <v>5</v>
      </c>
      <c r="D874" s="61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3384</v>
      </c>
      <c r="B875" s="62" t="s">
        <v>3296</v>
      </c>
      <c r="C875" s="90" t="n">
        <f aca="false">Amortize!H7</f>
        <v>6</v>
      </c>
      <c r="D875" s="61" t="n">
        <v>6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3384</v>
      </c>
      <c r="B876" s="62" t="s">
        <v>3346</v>
      </c>
      <c r="C876" s="90" t="n">
        <f aca="false">Amortize!I7</f>
        <v>7</v>
      </c>
      <c r="D876" s="61" t="n">
        <v>7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3384</v>
      </c>
      <c r="B877" s="62" t="s">
        <v>3347</v>
      </c>
      <c r="C877" s="90" t="n">
        <f aca="false">Amortize!J7</f>
        <v>8</v>
      </c>
      <c r="D877" s="61" t="n">
        <v>8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3384</v>
      </c>
      <c r="B878" s="62" t="s">
        <v>3348</v>
      </c>
      <c r="C878" s="90" t="n">
        <f aca="false">Amortize!K7</f>
        <v>9</v>
      </c>
      <c r="D878" s="61" t="n">
        <v>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3384</v>
      </c>
      <c r="B879" s="62" t="s">
        <v>3349</v>
      </c>
      <c r="C879" s="90" t="n">
        <f aca="false">Amortize!L7</f>
        <v>10</v>
      </c>
      <c r="D879" s="61" t="n">
        <v>10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3384</v>
      </c>
      <c r="B880" s="62" t="s">
        <v>3350</v>
      </c>
      <c r="C880" s="90" t="n">
        <f aca="false">Amortize!M7</f>
        <v>11</v>
      </c>
      <c r="D880" s="61" t="n">
        <v>11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3384</v>
      </c>
      <c r="B881" s="62" t="s">
        <v>3297</v>
      </c>
      <c r="C881" s="90" t="n">
        <f aca="false">Amortize!N7</f>
        <v>12</v>
      </c>
      <c r="D881" s="61" t="n">
        <v>12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3384</v>
      </c>
      <c r="B882" s="62" t="s">
        <v>3298</v>
      </c>
      <c r="C882" s="90" t="n">
        <f aca="false">Amortize!O7</f>
        <v>13</v>
      </c>
      <c r="D882" s="61" t="n">
        <v>13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3384</v>
      </c>
      <c r="B883" s="62" t="s">
        <v>3351</v>
      </c>
      <c r="C883" s="90" t="n">
        <f aca="false">Amortize!P7</f>
        <v>14</v>
      </c>
      <c r="D883" s="61" t="n">
        <v>14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3384</v>
      </c>
      <c r="B884" s="62" t="s">
        <v>3352</v>
      </c>
      <c r="C884" s="90" t="n">
        <f aca="false">Amortize!Q7</f>
        <v>15</v>
      </c>
      <c r="D884" s="61" t="n">
        <v>15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3385</v>
      </c>
      <c r="B885" s="62" t="s">
        <v>3208</v>
      </c>
      <c r="C885" s="111" t="n">
        <f aca="false">Alloc_In!C6</f>
        <v>1</v>
      </c>
      <c r="D885" s="61" t="n">
        <v>1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3385</v>
      </c>
      <c r="B886" s="62" t="s">
        <v>3336</v>
      </c>
      <c r="C886" s="111" t="n">
        <f aca="false">Alloc_In!D6</f>
        <v>1</v>
      </c>
      <c r="D886" s="61" t="n">
        <v>1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3385</v>
      </c>
      <c r="B887" s="62" t="s">
        <v>3145</v>
      </c>
      <c r="C887" s="111" t="n">
        <f aca="false">Alloc_In!E6</f>
        <v>2</v>
      </c>
      <c r="D887" s="61" t="n">
        <v>2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3385</v>
      </c>
      <c r="B888" s="62" t="s">
        <v>3344</v>
      </c>
      <c r="C888" s="111" t="n">
        <f aca="false">Alloc_In!C7</f>
        <v>2</v>
      </c>
      <c r="D888" s="61" t="n">
        <v>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3385</v>
      </c>
      <c r="B889" s="62" t="s">
        <v>3345</v>
      </c>
      <c r="C889" s="111" t="n">
        <f aca="false">Alloc_In!D7</f>
        <v>0</v>
      </c>
      <c r="D889" s="61" t="n">
        <v>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3385</v>
      </c>
      <c r="B890" s="62" t="s">
        <v>3245</v>
      </c>
      <c r="C890" s="111" t="n">
        <f aca="false">Alloc_In!E7</f>
        <v>6</v>
      </c>
      <c r="D890" s="61" t="n">
        <v>6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3385</v>
      </c>
      <c r="B891" s="62" t="s">
        <v>3209</v>
      </c>
      <c r="C891" s="111" t="n">
        <f aca="false">Alloc_In!C8</f>
        <v>1</v>
      </c>
      <c r="D891" s="61" t="n">
        <v>1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3385</v>
      </c>
      <c r="B892" s="62" t="s">
        <v>3386</v>
      </c>
      <c r="C892" s="111" t="n">
        <f aca="false">Alloc_In!D8</f>
        <v>0.5</v>
      </c>
      <c r="D892" s="61" t="n">
        <v>0.5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3385</v>
      </c>
      <c r="B893" s="62" t="s">
        <v>3146</v>
      </c>
      <c r="C893" s="111" t="n">
        <f aca="false">Alloc_In!E8</f>
        <v>7</v>
      </c>
      <c r="D893" s="61" t="n">
        <v>7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3385</v>
      </c>
      <c r="B894" s="62" t="s">
        <v>3211</v>
      </c>
      <c r="C894" s="66" t="n">
        <f aca="false">Alloc_In!C9</f>
        <v>0.6</v>
      </c>
      <c r="D894" s="61" t="n">
        <v>0.6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3385</v>
      </c>
      <c r="B895" s="62" t="s">
        <v>3213</v>
      </c>
      <c r="C895" s="66" t="n">
        <f aca="false">Alloc_In!C10</f>
        <v>0.4</v>
      </c>
      <c r="D895" s="61" t="n">
        <v>0.4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3385</v>
      </c>
      <c r="B896" s="62" t="s">
        <v>3215</v>
      </c>
      <c r="C896" s="66" t="n">
        <f aca="false">Alloc_In!C11</f>
        <v>0</v>
      </c>
      <c r="D896" s="61" t="n">
        <v>0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3385</v>
      </c>
      <c r="B897" s="62" t="s">
        <v>3216</v>
      </c>
      <c r="C897" s="66" t="n">
        <f aca="false">Alloc_In!C12</f>
        <v>0</v>
      </c>
      <c r="D897" s="61" t="n">
        <v>0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3385</v>
      </c>
      <c r="B898" s="62" t="s">
        <v>3249</v>
      </c>
      <c r="C898" s="111" t="n">
        <f aca="false">Alloc_In!C14</f>
        <v>0.75</v>
      </c>
      <c r="D898" s="61" t="n">
        <v>0.75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3385</v>
      </c>
      <c r="B899" s="62" t="s">
        <v>3250</v>
      </c>
      <c r="C899" s="63" t="n">
        <f aca="false">Alloc_In!C15</f>
        <v>4000</v>
      </c>
      <c r="D899" s="61" t="n">
        <v>4000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3385</v>
      </c>
      <c r="B900" s="62" t="s">
        <v>3251</v>
      </c>
      <c r="C900" s="66" t="n">
        <f aca="false">Alloc_In!C16</f>
        <v>0.6</v>
      </c>
      <c r="D900" s="61" t="n">
        <v>0.6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3385</v>
      </c>
      <c r="B901" s="62" t="s">
        <v>3228</v>
      </c>
      <c r="C901" s="66" t="n">
        <f aca="false">Alloc_In!C29</f>
        <v>0.6</v>
      </c>
      <c r="D901" s="61" t="n">
        <v>0.6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3385</v>
      </c>
      <c r="B902" s="62" t="s">
        <v>3360</v>
      </c>
      <c r="C902" s="66" t="n">
        <f aca="false">Alloc_In!C30</f>
        <v>0.38</v>
      </c>
      <c r="D902" s="61" t="n">
        <v>0.38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3385</v>
      </c>
      <c r="B903" s="62" t="s">
        <v>3232</v>
      </c>
      <c r="C903" s="66" t="n">
        <f aca="false">Alloc_In!C31</f>
        <v>0.02</v>
      </c>
      <c r="D903" s="61" t="n">
        <v>0.02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3385</v>
      </c>
      <c r="B904" s="62" t="s">
        <v>3234</v>
      </c>
      <c r="C904" s="66" t="n">
        <f aca="false">Alloc_In!C32</f>
        <v>0</v>
      </c>
      <c r="D904" s="61" t="n">
        <v>0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3387</v>
      </c>
      <c r="B905" s="62" t="s">
        <v>3251</v>
      </c>
      <c r="C905" s="90" t="n">
        <f aca="false">Alloc!C16</f>
        <v>1</v>
      </c>
      <c r="D905" s="61" t="n">
        <v>1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3387</v>
      </c>
      <c r="B906" s="62" t="s">
        <v>3161</v>
      </c>
      <c r="C906" s="90" t="n">
        <f aca="false">Alloc!D16</f>
        <v>2</v>
      </c>
      <c r="D906" s="61" t="n">
        <v>2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3387</v>
      </c>
      <c r="B907" s="62" t="s">
        <v>3162</v>
      </c>
      <c r="C907" s="90" t="n">
        <f aca="false">Alloc!E16</f>
        <v>3</v>
      </c>
      <c r="D907" s="61" t="n">
        <v>3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3387</v>
      </c>
      <c r="B908" s="62" t="s">
        <v>3163</v>
      </c>
      <c r="C908" s="90" t="n">
        <f aca="false">Alloc!F16</f>
        <v>4</v>
      </c>
      <c r="D908" s="61" t="n">
        <v>4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3387</v>
      </c>
      <c r="B909" s="62" t="s">
        <v>3388</v>
      </c>
      <c r="C909" s="66" t="n">
        <f aca="false">Alloc!I94</f>
        <v>0</v>
      </c>
      <c r="D909" s="61" t="n">
        <v>0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3387</v>
      </c>
      <c r="B910" s="62" t="s">
        <v>3389</v>
      </c>
      <c r="C910" s="66" t="n">
        <f aca="false">Alloc!J94</f>
        <v>1</v>
      </c>
      <c r="D910" s="61" t="n">
        <v>1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3387</v>
      </c>
      <c r="B911" s="62" t="s">
        <v>3390</v>
      </c>
      <c r="C911" s="66" t="n">
        <f aca="false">Alloc!K94</f>
        <v>0</v>
      </c>
      <c r="D911" s="61" t="n">
        <v>0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3387</v>
      </c>
      <c r="B912" s="62" t="s">
        <v>3391</v>
      </c>
      <c r="C912" s="66" t="n">
        <f aca="false">Alloc!L94</f>
        <v>0</v>
      </c>
      <c r="D912" s="61" t="n">
        <v>0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3387</v>
      </c>
      <c r="B913" s="62" t="s">
        <v>3392</v>
      </c>
      <c r="C913" s="66" t="n">
        <f aca="false">Alloc!I95</f>
        <v>0</v>
      </c>
      <c r="D913" s="61" t="n">
        <v>0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3387</v>
      </c>
      <c r="B914" s="62" t="s">
        <v>3393</v>
      </c>
      <c r="C914" s="66" t="n">
        <f aca="false">Alloc!J95</f>
        <v>0</v>
      </c>
      <c r="D914" s="61" t="n">
        <v>0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3387</v>
      </c>
      <c r="B915" s="62" t="s">
        <v>3394</v>
      </c>
      <c r="C915" s="66" t="n">
        <f aca="false">Alloc!K95</f>
        <v>0</v>
      </c>
      <c r="D915" s="61" t="n">
        <v>0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3387</v>
      </c>
      <c r="B916" s="62" t="s">
        <v>3395</v>
      </c>
      <c r="C916" s="66" t="n">
        <f aca="false">Alloc!L95</f>
        <v>1</v>
      </c>
      <c r="D916" s="61" t="n">
        <v>1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3396</v>
      </c>
      <c r="B917" s="62" t="s">
        <v>3386</v>
      </c>
      <c r="C917" s="92" t="n">
        <f aca="false">SRC_HW!D8</f>
        <v>120</v>
      </c>
      <c r="D917" s="61" t="n">
        <v>120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3396</v>
      </c>
      <c r="B918" s="62" t="s">
        <v>3146</v>
      </c>
      <c r="C918" s="92" t="n">
        <f aca="false">SRC_HW!E8</f>
        <v>132</v>
      </c>
      <c r="D918" s="61" t="n">
        <v>132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3396</v>
      </c>
      <c r="B919" s="62" t="s">
        <v>3147</v>
      </c>
      <c r="C919" s="92" t="n">
        <f aca="false">SRC_HW!D9</f>
        <v>132</v>
      </c>
      <c r="D919" s="61" t="n">
        <v>132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3396</v>
      </c>
      <c r="B920" s="62" t="s">
        <v>3148</v>
      </c>
      <c r="C920" s="92" t="n">
        <f aca="false">SRC_HW!E9</f>
        <v>140</v>
      </c>
      <c r="D920" s="61" t="n">
        <v>140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3396</v>
      </c>
      <c r="B921" s="62" t="s">
        <v>3150</v>
      </c>
      <c r="C921" s="92" t="n">
        <f aca="false">SRC_HW!D10</f>
        <v>2.8</v>
      </c>
      <c r="D921" s="61" t="n">
        <v>2.8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3396</v>
      </c>
      <c r="B922" s="62" t="s">
        <v>3151</v>
      </c>
      <c r="C922" s="92" t="n">
        <f aca="false">SRC_HW!E10</f>
        <v>3.4</v>
      </c>
      <c r="D922" s="61" t="n">
        <v>3.4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3396</v>
      </c>
      <c r="B923" s="62" t="s">
        <v>3249</v>
      </c>
      <c r="C923" s="92" t="n">
        <f aca="false">SRC_HW!C14</f>
        <v>5</v>
      </c>
      <c r="D923" s="61" t="n">
        <v>5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3396</v>
      </c>
      <c r="B924" s="62" t="s">
        <v>3250</v>
      </c>
      <c r="C924" s="92" t="n">
        <f aca="false">SRC_HW!C15</f>
        <v>188</v>
      </c>
      <c r="D924" s="61" t="n">
        <v>188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3396</v>
      </c>
      <c r="B925" s="62" t="s">
        <v>3251</v>
      </c>
      <c r="C925" s="92" t="n">
        <f aca="false">SRC_HW!C16</f>
        <v>230</v>
      </c>
      <c r="D925" s="61" t="n">
        <v>230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3396</v>
      </c>
      <c r="B926" s="62" t="s">
        <v>3253</v>
      </c>
      <c r="C926" s="92" t="n">
        <f aca="false">SRC_HW!C18</f>
        <v>227</v>
      </c>
      <c r="D926" s="61" t="n">
        <v>227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3396</v>
      </c>
      <c r="B927" s="62" t="s">
        <v>3257</v>
      </c>
      <c r="C927" s="92" t="n">
        <f aca="false">SRC_HW!C23</f>
        <v>0.989</v>
      </c>
      <c r="D927" s="61" t="n">
        <v>0.989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3396</v>
      </c>
      <c r="B928" s="62" t="s">
        <v>3260</v>
      </c>
      <c r="C928" s="92" t="n">
        <f aca="false">SRC_HW!C24</f>
        <v>80</v>
      </c>
      <c r="D928" s="61" t="n">
        <v>80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3396</v>
      </c>
      <c r="B929" s="62" t="s">
        <v>3397</v>
      </c>
      <c r="C929" s="92" t="n">
        <f aca="false">SRC_HW!C25</f>
        <v>3.35</v>
      </c>
      <c r="D929" s="61" t="n">
        <v>3.35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3396</v>
      </c>
      <c r="B930" s="62" t="s">
        <v>3398</v>
      </c>
      <c r="C930" s="92" t="n">
        <f aca="false">SRC_HW!C26</f>
        <v>10</v>
      </c>
      <c r="D930" s="61" t="n">
        <v>10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3396</v>
      </c>
      <c r="B931" s="62" t="s">
        <v>3357</v>
      </c>
      <c r="C931" s="92" t="n">
        <f aca="false">SRC_HW!C27</f>
        <v>8</v>
      </c>
      <c r="D931" s="61" t="n">
        <v>8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3396</v>
      </c>
      <c r="B932" s="62" t="s">
        <v>3228</v>
      </c>
      <c r="C932" s="92" t="n">
        <f aca="false">SRC_HW!C29</f>
        <v>15</v>
      </c>
      <c r="D932" s="61" t="n">
        <v>15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3396</v>
      </c>
      <c r="B933" s="62" t="s">
        <v>3360</v>
      </c>
      <c r="C933" s="92" t="n">
        <f aca="false">SRC_HW!C30</f>
        <v>288</v>
      </c>
      <c r="D933" s="61" t="n">
        <v>288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3396</v>
      </c>
      <c r="B934" s="62" t="s">
        <v>3232</v>
      </c>
      <c r="C934" s="92" t="n">
        <f aca="false">SRC_HW!C31</f>
        <v>50</v>
      </c>
      <c r="D934" s="61" t="n">
        <v>50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3396</v>
      </c>
      <c r="B935" s="62" t="s">
        <v>3234</v>
      </c>
      <c r="C935" s="92" t="n">
        <f aca="false">SRC_HW!C32</f>
        <v>35</v>
      </c>
      <c r="D935" s="61" t="n">
        <v>35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3396</v>
      </c>
      <c r="B936" s="62" t="s">
        <v>3363</v>
      </c>
      <c r="C936" s="92" t="n">
        <f aca="false">SRC_HW!C33</f>
        <v>288</v>
      </c>
      <c r="D936" s="61" t="n">
        <v>288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3396</v>
      </c>
      <c r="B937" s="62" t="s">
        <v>3246</v>
      </c>
      <c r="C937" s="92" t="n">
        <f aca="false">SRC_HW!C34</f>
        <v>22</v>
      </c>
      <c r="D937" s="61" t="n">
        <v>22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3396</v>
      </c>
      <c r="B938" s="62" t="s">
        <v>3381</v>
      </c>
      <c r="C938" s="92" t="n">
        <f aca="false">SRC_HW!C42</f>
        <v>1260</v>
      </c>
      <c r="D938" s="61" t="n">
        <v>1260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3396</v>
      </c>
      <c r="B939" s="62" t="s">
        <v>3237</v>
      </c>
      <c r="C939" s="92" t="n">
        <f aca="false">SRC_HW!C44</f>
        <v>1.979</v>
      </c>
      <c r="D939" s="61" t="n">
        <v>1.979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3396</v>
      </c>
      <c r="B940" s="62" t="s">
        <v>3399</v>
      </c>
      <c r="C940" s="92" t="n">
        <f aca="false">SRC_HW!C47</f>
        <v>5</v>
      </c>
      <c r="D940" s="61" t="n">
        <v>5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3396</v>
      </c>
      <c r="B941" s="62" t="s">
        <v>3400</v>
      </c>
      <c r="C941" s="92" t="n">
        <f aca="false">SRC_HW!C51</f>
        <v>72</v>
      </c>
      <c r="D941" s="61" t="n">
        <v>72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3396</v>
      </c>
      <c r="B942" s="62" t="s">
        <v>3401</v>
      </c>
      <c r="C942" s="92" t="n">
        <f aca="false">SRC_HW!C52</f>
        <v>0.9</v>
      </c>
      <c r="D942" s="61" t="n">
        <v>0.9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3396</v>
      </c>
      <c r="B943" s="62" t="s">
        <v>3402</v>
      </c>
      <c r="C943" s="92" t="n">
        <f aca="false">SRC_HW!C53</f>
        <v>1.8</v>
      </c>
      <c r="D943" s="61" t="n">
        <v>1.8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3396</v>
      </c>
      <c r="B944" s="62" t="s">
        <v>3403</v>
      </c>
      <c r="C944" s="92" t="n">
        <f aca="false">SRC_HW!C54</f>
        <v>0.5625</v>
      </c>
      <c r="D944" s="61" t="n">
        <v>0.5625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3396</v>
      </c>
      <c r="B945" s="62" t="s">
        <v>3404</v>
      </c>
      <c r="C945" s="92" t="n">
        <f aca="false">SRC_HW!C56</f>
        <v>4</v>
      </c>
      <c r="D945" s="61" t="n">
        <v>4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3396</v>
      </c>
      <c r="B946" s="62" t="s">
        <v>3405</v>
      </c>
      <c r="C946" s="92" t="n">
        <f aca="false">SRC_HW!C59</f>
        <v>1</v>
      </c>
      <c r="D946" s="61" t="n">
        <v>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3396</v>
      </c>
      <c r="B947" s="62" t="s">
        <v>3406</v>
      </c>
      <c r="C947" s="92" t="n">
        <f aca="false">SRC_HW!C63</f>
        <v>8</v>
      </c>
      <c r="D947" s="61" t="n">
        <v>8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3396</v>
      </c>
      <c r="B948" s="62" t="s">
        <v>3407</v>
      </c>
      <c r="C948" s="92" t="n">
        <f aca="false">SRC_HW!C64</f>
        <v>400</v>
      </c>
      <c r="D948" s="61" t="n">
        <v>400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3396</v>
      </c>
      <c r="B949" s="62" t="s">
        <v>3408</v>
      </c>
      <c r="C949" s="92" t="n">
        <f aca="false">SRC_HW!C65</f>
        <v>72</v>
      </c>
      <c r="D949" s="61" t="n">
        <v>72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3409</v>
      </c>
      <c r="B950" s="62" t="s">
        <v>3208</v>
      </c>
      <c r="C950" s="92" t="n">
        <f aca="false">SRC_DC!C6</f>
        <v>0.15</v>
      </c>
      <c r="D950" s="61" t="n">
        <v>0.15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3409</v>
      </c>
      <c r="B951" s="62" t="s">
        <v>3215</v>
      </c>
      <c r="C951" s="92" t="n">
        <f aca="false">SRC_DC!C11</f>
        <v>6</v>
      </c>
      <c r="D951" s="61" t="n">
        <v>6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3409</v>
      </c>
      <c r="B952" s="62" t="s">
        <v>3216</v>
      </c>
      <c r="C952" s="92" t="n">
        <f aca="false">SRC_DC!C12</f>
        <v>4</v>
      </c>
      <c r="D952" s="61" t="n">
        <v>4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3409</v>
      </c>
      <c r="B953" s="62" t="s">
        <v>3410</v>
      </c>
      <c r="C953" s="92" t="n">
        <f aca="false">SRC_DC!C19</f>
        <v>3</v>
      </c>
      <c r="D953" s="61" t="n">
        <v>3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3411</v>
      </c>
      <c r="B954" s="62" t="s">
        <v>3264</v>
      </c>
      <c r="C954" s="92" t="n">
        <f aca="false">SRC_Model!C5</f>
        <v>1600</v>
      </c>
      <c r="D954" s="61" t="n">
        <v>1600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3411</v>
      </c>
      <c r="B955" s="62" t="s">
        <v>3208</v>
      </c>
      <c r="C955" s="92" t="n">
        <f aca="false">SRC_Model!C6</f>
        <v>49</v>
      </c>
      <c r="D955" s="61" t="n">
        <v>49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3411</v>
      </c>
      <c r="B956" s="62" t="s">
        <v>3344</v>
      </c>
      <c r="C956" s="92" t="n">
        <f aca="false">SRC_Model!C7</f>
        <v>61</v>
      </c>
      <c r="D956" s="61" t="n">
        <v>61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3411</v>
      </c>
      <c r="B957" s="62" t="s">
        <v>3209</v>
      </c>
      <c r="C957" s="92" t="n">
        <f aca="false">SRC_Model!C8</f>
        <v>7168</v>
      </c>
      <c r="D957" s="61" t="n">
        <v>7168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3411</v>
      </c>
      <c r="B958" s="62" t="s">
        <v>3211</v>
      </c>
      <c r="C958" s="92" t="n">
        <f aca="false">SRC_Model!C9</f>
        <v>284</v>
      </c>
      <c r="D958" s="61" t="n">
        <v>284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3411</v>
      </c>
      <c r="B959" s="62" t="s">
        <v>3213</v>
      </c>
      <c r="C959" s="92" t="n">
        <f aca="false">SRC_Model!C10</f>
        <v>13</v>
      </c>
      <c r="D959" s="61" t="n">
        <v>13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3411</v>
      </c>
      <c r="B960" s="62" t="s">
        <v>3215</v>
      </c>
      <c r="C960" s="92" t="n">
        <f aca="false">SRC_Model!C11</f>
        <v>43</v>
      </c>
      <c r="D960" s="61" t="n">
        <v>43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3411</v>
      </c>
      <c r="B961" s="62" t="s">
        <v>3216</v>
      </c>
      <c r="C961" s="92" t="n">
        <f aca="false">SRC_Model!C12</f>
        <v>128</v>
      </c>
      <c r="D961" s="61" t="n">
        <v>128</v>
      </c>
      <c r="E961" s="105" t="n">
        <f aca="false">IF(ABS(C961-D961)&lt;=0.000000001*ABS(D961)+0.000000000001,0,1)</f>
        <v>0</v>
      </c>
    </row>
    <row r="962" customFormat="false" ht="15" hidden="false" customHeight="false" outlineLevel="0" collapsed="false">
      <c r="A962" s="62" t="s">
        <v>3411</v>
      </c>
      <c r="B962" s="62" t="s">
        <v>3220</v>
      </c>
      <c r="C962" s="92" t="n">
        <f aca="false">SRC_Model!C13</f>
        <v>512</v>
      </c>
      <c r="D962" s="61" t="n">
        <v>512</v>
      </c>
      <c r="E962" s="105" t="n">
        <f aca="false">IF(ABS(C962-D962)&lt;=0.000000001*ABS(D962)+0.000000000001,0,1)</f>
        <v>0</v>
      </c>
    </row>
    <row r="963" customFormat="false" ht="15" hidden="false" customHeight="false" outlineLevel="0" collapsed="false">
      <c r="A963" s="62" t="s">
        <v>3411</v>
      </c>
      <c r="B963" s="62" t="s">
        <v>3249</v>
      </c>
      <c r="C963" s="92" t="n">
        <f aca="false">SRC_Model!C14</f>
        <v>256</v>
      </c>
      <c r="D963" s="61" t="n">
        <v>256</v>
      </c>
      <c r="E963" s="105" t="n">
        <f aca="false">IF(ABS(C963-D963)&lt;=0.000000001*ABS(D963)+0.000000000001,0,1)</f>
        <v>0</v>
      </c>
    </row>
    <row r="964" customFormat="false" ht="15" hidden="false" customHeight="false" outlineLevel="0" collapsed="false">
      <c r="A964" s="62" t="s">
        <v>3411</v>
      </c>
      <c r="B964" s="62" t="s">
        <v>3250</v>
      </c>
      <c r="C964" s="92" t="n">
        <f aca="false">SRC_Model!C15</f>
        <v>384</v>
      </c>
      <c r="D964" s="61" t="n">
        <v>384</v>
      </c>
      <c r="E964" s="105" t="n">
        <f aca="false">IF(ABS(C964-D964)&lt;=0.000000001*ABS(D964)+0.000000000001,0,1)</f>
        <v>0</v>
      </c>
    </row>
    <row r="965" customFormat="false" ht="15" hidden="false" customHeight="false" outlineLevel="0" collapsed="false">
      <c r="A965" s="62" t="s">
        <v>3411</v>
      </c>
      <c r="B965" s="62" t="s">
        <v>3251</v>
      </c>
      <c r="C965" s="92" t="n">
        <f aca="false">SRC_Model!C16</f>
        <v>6</v>
      </c>
      <c r="D965" s="61" t="n">
        <v>6</v>
      </c>
      <c r="E965" s="105" t="n">
        <f aca="false">IF(ABS(C965-D965)&lt;=0.000000001*ABS(D965)+0.000000000001,0,1)</f>
        <v>0</v>
      </c>
    </row>
    <row r="966" customFormat="false" ht="15" hidden="false" customHeight="false" outlineLevel="0" collapsed="false">
      <c r="A966" s="62" t="s">
        <v>3411</v>
      </c>
      <c r="B966" s="62" t="s">
        <v>3252</v>
      </c>
      <c r="C966" s="92" t="n">
        <f aca="false">SRC_Model!C17</f>
        <v>1</v>
      </c>
      <c r="D966" s="61" t="n">
        <v>1</v>
      </c>
      <c r="E966" s="105" t="n">
        <f aca="false">IF(ABS(C966-D966)&lt;=0.000000001*ABS(D966)+0.000000000001,0,1)</f>
        <v>0</v>
      </c>
    </row>
    <row r="967" customFormat="false" ht="15" hidden="false" customHeight="false" outlineLevel="0" collapsed="false">
      <c r="A967" s="62" t="s">
        <v>3411</v>
      </c>
      <c r="B967" s="62" t="s">
        <v>3410</v>
      </c>
      <c r="C967" s="92" t="n">
        <f aca="false">SRC_Model!C19</f>
        <v>0.512</v>
      </c>
      <c r="D967" s="61" t="n">
        <v>0.512</v>
      </c>
      <c r="E967" s="105" t="n">
        <f aca="false">IF(ABS(C967-D967)&lt;=0.000000001*ABS(D967)+0.000000000001,0,1)</f>
        <v>0</v>
      </c>
    </row>
    <row r="968" customFormat="false" ht="15" hidden="false" customHeight="false" outlineLevel="0" collapsed="false">
      <c r="A968" s="62" t="s">
        <v>3411</v>
      </c>
      <c r="B968" s="62" t="s">
        <v>3412</v>
      </c>
      <c r="C968" s="92" t="n">
        <f aca="false">SRC_Model!C20</f>
        <v>128</v>
      </c>
      <c r="D968" s="61" t="n">
        <v>128</v>
      </c>
      <c r="E968" s="105" t="n">
        <f aca="false">IF(ABS(C968-D968)&lt;=0.000000001*ABS(D968)+0.000000000001,0,1)</f>
        <v>0</v>
      </c>
    </row>
    <row r="969" customFormat="false" ht="15" hidden="false" customHeight="false" outlineLevel="0" collapsed="false">
      <c r="A969" s="62" t="s">
        <v>3411</v>
      </c>
      <c r="B969" s="62" t="s">
        <v>3355</v>
      </c>
      <c r="C969" s="92" t="n">
        <f aca="false">SRC_Model!C21</f>
        <v>128</v>
      </c>
      <c r="D969" s="61" t="n">
        <v>128</v>
      </c>
      <c r="E969" s="105" t="n">
        <f aca="false">IF(ABS(C969-D969)&lt;=0.000000001*ABS(D969)+0.000000000001,0,1)</f>
        <v>0</v>
      </c>
    </row>
    <row r="970" customFormat="false" ht="15" hidden="false" customHeight="false" outlineLevel="0" collapsed="false">
      <c r="A970" s="62" t="s">
        <v>3411</v>
      </c>
      <c r="B970" s="62" t="s">
        <v>3254</v>
      </c>
      <c r="C970" s="92" t="n">
        <f aca="false">SRC_Model!C22</f>
        <v>1024</v>
      </c>
      <c r="D970" s="61" t="n">
        <v>1024</v>
      </c>
      <c r="E970" s="105" t="n">
        <f aca="false">IF(ABS(C970-D970)&lt;=0.000000001*ABS(D970)+0.000000000001,0,1)</f>
        <v>0</v>
      </c>
    </row>
    <row r="971" customFormat="false" ht="15" hidden="false" customHeight="false" outlineLevel="0" collapsed="false">
      <c r="A971" s="62" t="s">
        <v>3411</v>
      </c>
      <c r="B971" s="62" t="s">
        <v>3257</v>
      </c>
      <c r="C971" s="92" t="n">
        <f aca="false">SRC_Model!C23</f>
        <v>4</v>
      </c>
      <c r="D971" s="61" t="n">
        <v>4</v>
      </c>
      <c r="E971" s="105" t="n">
        <f aca="false">IF(ABS(C971-D971)&lt;=0.000000001*ABS(D971)+0.000000000001,0,1)</f>
        <v>0</v>
      </c>
    </row>
    <row r="972" customFormat="false" ht="15" hidden="false" customHeight="false" outlineLevel="0" collapsed="false">
      <c r="A972" s="62" t="s">
        <v>3411</v>
      </c>
      <c r="B972" s="62" t="s">
        <v>3363</v>
      </c>
      <c r="C972" s="92" t="n">
        <f aca="false">SRC_Model!C33</f>
        <v>32</v>
      </c>
      <c r="D972" s="61" t="n">
        <v>32</v>
      </c>
      <c r="E972" s="105" t="n">
        <f aca="false">IF(ABS(C972-D972)&lt;=0.000000001*ABS(D972)+0.000000000001,0,1)</f>
        <v>0</v>
      </c>
    </row>
    <row r="973" customFormat="false" ht="15" hidden="false" customHeight="false" outlineLevel="0" collapsed="false">
      <c r="A973" s="62" t="s">
        <v>3411</v>
      </c>
      <c r="B973" s="62" t="s">
        <v>3246</v>
      </c>
      <c r="C973" s="92" t="n">
        <f aca="false">SRC_Model!C34</f>
        <v>33</v>
      </c>
      <c r="D973" s="61" t="n">
        <v>33</v>
      </c>
      <c r="E973" s="105" t="n">
        <f aca="false">IF(ABS(C973-D973)&lt;=0.000000001*ABS(D973)+0.000000000001,0,1)</f>
        <v>0</v>
      </c>
    </row>
    <row r="974" customFormat="false" ht="15" hidden="false" customHeight="false" outlineLevel="0" collapsed="false">
      <c r="A974" s="62" t="s">
        <v>3411</v>
      </c>
      <c r="B974" s="62" t="s">
        <v>3364</v>
      </c>
      <c r="C974" s="92" t="n">
        <f aca="false">SRC_Model!C35</f>
        <v>4096</v>
      </c>
      <c r="D974" s="61" t="n">
        <v>4096</v>
      </c>
      <c r="E974" s="105" t="n">
        <f aca="false">IF(ABS(C974-D974)&lt;=0.000000001*ABS(D974)+0.000000000001,0,1)</f>
        <v>0</v>
      </c>
    </row>
    <row r="975" customFormat="false" ht="15" hidden="false" customHeight="false" outlineLevel="0" collapsed="false">
      <c r="A975" s="62" t="s">
        <v>3411</v>
      </c>
      <c r="B975" s="62" t="s">
        <v>3404</v>
      </c>
      <c r="C975" s="92" t="n">
        <f aca="false">SRC_Model!C56</f>
        <v>4096</v>
      </c>
      <c r="D975" s="61" t="n">
        <v>4096</v>
      </c>
      <c r="E975" s="105" t="n">
        <f aca="false">IF(ABS(C975-D975)&lt;=0.000000001*ABS(D975)+0.000000000001,0,1)</f>
        <v>0</v>
      </c>
    </row>
    <row r="976" customFormat="false" ht="15" hidden="false" customHeight="false" outlineLevel="0" collapsed="false">
      <c r="A976" s="62" t="s">
        <v>3411</v>
      </c>
      <c r="B976" s="62" t="s">
        <v>3413</v>
      </c>
      <c r="C976" s="92" t="n">
        <f aca="false">SRC_Model!C57</f>
        <v>64</v>
      </c>
      <c r="D976" s="61" t="n">
        <v>64</v>
      </c>
      <c r="E976" s="105" t="n">
        <f aca="false">IF(ABS(C976-D976)&lt;=0.000000001*ABS(D976)+0.000000000001,0,1)</f>
        <v>0</v>
      </c>
    </row>
    <row r="977" customFormat="false" ht="15" hidden="false" customHeight="false" outlineLevel="0" collapsed="false">
      <c r="A977" s="62" t="s">
        <v>3411</v>
      </c>
      <c r="B977" s="62" t="s">
        <v>3414</v>
      </c>
      <c r="C977" s="92" t="n">
        <f aca="false">SRC_Model!C58</f>
        <v>0.492</v>
      </c>
      <c r="D977" s="61" t="n">
        <v>0.492</v>
      </c>
      <c r="E977" s="105" t="n">
        <f aca="false">IF(ABS(C977-D977)&lt;=0.000000001*ABS(D977)+0.000000000001,0,1)</f>
        <v>0</v>
      </c>
    </row>
    <row r="978" customFormat="false" ht="15" hidden="false" customHeight="false" outlineLevel="0" collapsed="false">
      <c r="A978" s="62" t="s">
        <v>3415</v>
      </c>
      <c r="B978" s="62" t="s">
        <v>3211</v>
      </c>
      <c r="C978" s="92" t="n">
        <f aca="false">SRC_Perf!C9</f>
        <v>0.7</v>
      </c>
      <c r="D978" s="61" t="n">
        <v>0.7</v>
      </c>
      <c r="E978" s="105" t="n">
        <f aca="false">IF(ABS(C978-D978)&lt;=0.000000001*ABS(D978)+0.000000000001,0,1)</f>
        <v>0</v>
      </c>
    </row>
    <row r="979" customFormat="false" ht="15" hidden="false" customHeight="false" outlineLevel="0" collapsed="false">
      <c r="A979" s="62" t="s">
        <v>3415</v>
      </c>
      <c r="B979" s="62" t="s">
        <v>3215</v>
      </c>
      <c r="C979" s="92" t="n">
        <f aca="false">SRC_Perf!C11</f>
        <v>4</v>
      </c>
      <c r="D979" s="61" t="n">
        <v>4</v>
      </c>
      <c r="E979" s="105" t="n">
        <f aca="false">IF(ABS(C979-D979)&lt;=0.000000001*ABS(D979)+0.000000000001,0,1)</f>
        <v>0</v>
      </c>
    </row>
    <row r="980" customFormat="false" ht="15" hidden="false" customHeight="false" outlineLevel="0" collapsed="false">
      <c r="A980" s="62" t="s">
        <v>3415</v>
      </c>
      <c r="B980" s="62" t="s">
        <v>3216</v>
      </c>
      <c r="C980" s="92" t="n">
        <f aca="false">SRC_Perf!C12</f>
        <v>32</v>
      </c>
      <c r="D980" s="61" t="n">
        <v>32</v>
      </c>
      <c r="E980" s="105" t="n">
        <f aca="false">IF(ABS(C980-D980)&lt;=0.000000001*ABS(D980)+0.000000000001,0,1)</f>
        <v>0</v>
      </c>
    </row>
    <row r="981" customFormat="false" ht="15" hidden="false" customHeight="false" outlineLevel="0" collapsed="false">
      <c r="A981" s="62" t="s">
        <v>3415</v>
      </c>
      <c r="B981" s="62" t="s">
        <v>3220</v>
      </c>
      <c r="C981" s="92" t="n">
        <f aca="false">SRC_Perf!C13</f>
        <v>9342.1</v>
      </c>
      <c r="D981" s="61" t="n">
        <v>9342.1</v>
      </c>
      <c r="E981" s="105" t="n">
        <f aca="false">IF(ABS(C981-D981)&lt;=0.000000001*ABS(D981)+0.000000000001,0,1)</f>
        <v>0</v>
      </c>
    </row>
    <row r="982" customFormat="false" ht="15" hidden="false" customHeight="false" outlineLevel="0" collapsed="false">
      <c r="A982" s="62" t="s">
        <v>3415</v>
      </c>
      <c r="B982" s="62" t="s">
        <v>3416</v>
      </c>
      <c r="C982" s="92" t="n">
        <f aca="false">SRC_Perf!AC13</f>
        <v>8192</v>
      </c>
      <c r="D982" s="61" t="n">
        <v>8192</v>
      </c>
      <c r="E982" s="105" t="n">
        <f aca="false">IF(ABS(C982-D982)&lt;=0.000000001*ABS(D982)+0.000000000001,0,1)</f>
        <v>0</v>
      </c>
    </row>
    <row r="983" customFormat="false" ht="15" hidden="false" customHeight="false" outlineLevel="0" collapsed="false">
      <c r="A983" s="62" t="s">
        <v>3415</v>
      </c>
      <c r="B983" s="62" t="s">
        <v>3417</v>
      </c>
      <c r="C983" s="92" t="n">
        <f aca="false">SRC_Perf!AD13</f>
        <v>1024</v>
      </c>
      <c r="D983" s="61" t="n">
        <v>1024</v>
      </c>
      <c r="E983" s="105" t="n">
        <f aca="false">IF(ABS(C983-D983)&lt;=0.000000001*ABS(D983)+0.000000000001,0,1)</f>
        <v>0</v>
      </c>
    </row>
    <row r="984" customFormat="false" ht="15" hidden="false" customHeight="false" outlineLevel="0" collapsed="false">
      <c r="A984" s="62" t="s">
        <v>3415</v>
      </c>
      <c r="B984" s="62" t="s">
        <v>3418</v>
      </c>
      <c r="C984" s="92" t="n">
        <f aca="false">SRC_Perf!AE13</f>
        <v>72</v>
      </c>
      <c r="D984" s="61" t="n">
        <v>72</v>
      </c>
      <c r="E984" s="105" t="n">
        <f aca="false">IF(ABS(C984-D984)&lt;=0.000000001*ABS(D984)+0.000000000001,0,1)</f>
        <v>0</v>
      </c>
    </row>
    <row r="985" customFormat="false" ht="15" hidden="false" customHeight="false" outlineLevel="0" collapsed="false">
      <c r="A985" s="62" t="s">
        <v>3415</v>
      </c>
      <c r="B985" s="62" t="s">
        <v>3419</v>
      </c>
      <c r="C985" s="92" t="n">
        <f aca="false">SRC_Perf!AF13</f>
        <v>1</v>
      </c>
      <c r="D985" s="61" t="n">
        <v>1</v>
      </c>
      <c r="E985" s="105" t="n">
        <f aca="false">IF(ABS(C985-D985)&lt;=0.000000001*ABS(D985)+0.000000000001,0,1)</f>
        <v>0</v>
      </c>
    </row>
    <row r="986" customFormat="false" ht="15" hidden="false" customHeight="false" outlineLevel="0" collapsed="false">
      <c r="A986" s="62" t="s">
        <v>3415</v>
      </c>
      <c r="B986" s="62" t="s">
        <v>3249</v>
      </c>
      <c r="C986" s="92" t="n">
        <f aca="false">SRC_Perf!C14</f>
        <v>3405.2</v>
      </c>
      <c r="D986" s="61" t="n">
        <v>3405.2</v>
      </c>
      <c r="E986" s="105" t="n">
        <f aca="false">IF(ABS(C986-D986)&lt;=0.000000001*ABS(D986)+0.000000000001,0,1)</f>
        <v>0</v>
      </c>
    </row>
    <row r="987" customFormat="false" ht="15" hidden="false" customHeight="false" outlineLevel="0" collapsed="false">
      <c r="A987" s="62" t="s">
        <v>3415</v>
      </c>
      <c r="B987" s="62" t="s">
        <v>3420</v>
      </c>
      <c r="C987" s="92" t="n">
        <f aca="false">SRC_Perf!AC14</f>
        <v>8192</v>
      </c>
      <c r="D987" s="61" t="n">
        <v>8192</v>
      </c>
      <c r="E987" s="105" t="n">
        <f aca="false">IF(ABS(C987-D987)&lt;=0.000000001*ABS(D987)+0.000000000001,0,1)</f>
        <v>0</v>
      </c>
    </row>
    <row r="988" customFormat="false" ht="15" hidden="false" customHeight="false" outlineLevel="0" collapsed="false">
      <c r="A988" s="62" t="s">
        <v>3415</v>
      </c>
      <c r="B988" s="62" t="s">
        <v>3421</v>
      </c>
      <c r="C988" s="92" t="n">
        <f aca="false">SRC_Perf!AD14</f>
        <v>1024</v>
      </c>
      <c r="D988" s="61" t="n">
        <v>1024</v>
      </c>
      <c r="E988" s="105" t="n">
        <f aca="false">IF(ABS(C988-D988)&lt;=0.000000001*ABS(D988)+0.000000000001,0,1)</f>
        <v>0</v>
      </c>
    </row>
    <row r="989" customFormat="false" ht="15" hidden="false" customHeight="false" outlineLevel="0" collapsed="false">
      <c r="A989" s="62" t="s">
        <v>3415</v>
      </c>
      <c r="B989" s="62" t="s">
        <v>3422</v>
      </c>
      <c r="C989" s="92" t="n">
        <f aca="false">SRC_Perf!AE14</f>
        <v>130</v>
      </c>
      <c r="D989" s="61" t="n">
        <v>130</v>
      </c>
      <c r="E989" s="105" t="n">
        <f aca="false">IF(ABS(C989-D989)&lt;=0.000000001*ABS(D989)+0.000000000001,0,1)</f>
        <v>0</v>
      </c>
    </row>
    <row r="990" customFormat="false" ht="15" hidden="false" customHeight="false" outlineLevel="0" collapsed="false">
      <c r="A990" s="62" t="s">
        <v>3415</v>
      </c>
      <c r="B990" s="62" t="s">
        <v>3423</v>
      </c>
      <c r="C990" s="92" t="n">
        <f aca="false">SRC_Perf!AF14</f>
        <v>1</v>
      </c>
      <c r="D990" s="61" t="n">
        <v>1</v>
      </c>
      <c r="E990" s="105" t="n">
        <f aca="false">IF(ABS(C990-D990)&lt;=0.000000001*ABS(D990)+0.000000000001,0,1)</f>
        <v>0</v>
      </c>
    </row>
    <row r="991" customFormat="false" ht="15" hidden="false" customHeight="false" outlineLevel="0" collapsed="false">
      <c r="A991" s="62" t="s">
        <v>3415</v>
      </c>
      <c r="B991" s="62" t="s">
        <v>3424</v>
      </c>
      <c r="C991" s="92" t="n">
        <f aca="false">SRC_Perf!C70</f>
        <v>116.5</v>
      </c>
      <c r="D991" s="61" t="n">
        <v>116.5</v>
      </c>
      <c r="E991" s="105" t="n">
        <f aca="false">IF(ABS(C991-D991)&lt;=0.000000001*ABS(D991)+0.000000000001,0,1)</f>
        <v>0</v>
      </c>
    </row>
    <row r="992" customFormat="false" ht="15" hidden="false" customHeight="false" outlineLevel="0" collapsed="false">
      <c r="A992" s="62" t="s">
        <v>3415</v>
      </c>
      <c r="B992" s="62" t="s">
        <v>3425</v>
      </c>
      <c r="C992" s="92" t="n">
        <f aca="false">SRC_Perf!C71</f>
        <v>61</v>
      </c>
      <c r="D992" s="61" t="n">
        <v>61</v>
      </c>
      <c r="E992" s="105" t="n">
        <f aca="false">IF(ABS(C992-D992)&lt;=0.000000001*ABS(D992)+0.000000000001,0,1)</f>
        <v>0</v>
      </c>
    </row>
    <row r="993" customFormat="false" ht="15" hidden="false" customHeight="false" outlineLevel="0" collapsed="false">
      <c r="A993" s="62" t="s">
        <v>3415</v>
      </c>
      <c r="B993" s="62" t="s">
        <v>3426</v>
      </c>
      <c r="C993" s="92" t="n">
        <f aca="false">SRC_Perf!C72</f>
        <v>50.7</v>
      </c>
      <c r="D993" s="61" t="n">
        <v>50.7</v>
      </c>
      <c r="E993" s="105" t="n">
        <f aca="false">IF(ABS(C993-D993)&lt;=0.000000001*ABS(D993)+0.000000000001,0,1)</f>
        <v>0</v>
      </c>
    </row>
    <row r="994" customFormat="false" ht="15" hidden="false" customHeight="false" outlineLevel="0" collapsed="false">
      <c r="A994" s="62" t="s">
        <v>3415</v>
      </c>
      <c r="B994" s="62" t="s">
        <v>3427</v>
      </c>
      <c r="C994" s="92" t="n">
        <f aca="false">SRC_Perf!C73</f>
        <v>37</v>
      </c>
      <c r="D994" s="61" t="n">
        <v>37</v>
      </c>
      <c r="E994" s="105" t="n">
        <f aca="false">IF(ABS(C994-D994)&lt;=0.000000001*ABS(D994)+0.000000000001,0,1)</f>
        <v>0</v>
      </c>
    </row>
    <row r="995" customFormat="false" ht="15" hidden="false" customHeight="false" outlineLevel="0" collapsed="false">
      <c r="A995" s="62" t="s">
        <v>3415</v>
      </c>
      <c r="B995" s="62" t="s">
        <v>3428</v>
      </c>
      <c r="C995" s="92" t="n">
        <f aca="false">SRC_Perf!C74</f>
        <v>52.1</v>
      </c>
      <c r="D995" s="61" t="n">
        <v>52.1</v>
      </c>
      <c r="E995" s="105" t="n">
        <f aca="false">IF(ABS(C995-D995)&lt;=0.000000001*ABS(D995)+0.000000000001,0,1)</f>
        <v>0</v>
      </c>
    </row>
    <row r="996" customFormat="false" ht="15" hidden="false" customHeight="false" outlineLevel="0" collapsed="false">
      <c r="A996" s="62" t="s">
        <v>3415</v>
      </c>
      <c r="B996" s="62" t="s">
        <v>3429</v>
      </c>
      <c r="C996" s="92" t="n">
        <f aca="false">SRC_Perf!C75</f>
        <v>32</v>
      </c>
      <c r="D996" s="61" t="n">
        <v>32</v>
      </c>
      <c r="E996" s="105" t="n">
        <f aca="false">IF(ABS(C996-D996)&lt;=0.000000001*ABS(D996)+0.000000000001,0,1)</f>
        <v>0</v>
      </c>
    </row>
    <row r="997" customFormat="false" ht="15" hidden="false" customHeight="false" outlineLevel="0" collapsed="false">
      <c r="A997" s="62" t="s">
        <v>3430</v>
      </c>
      <c r="B997" s="62" t="s">
        <v>3344</v>
      </c>
      <c r="C997" s="92" t="n">
        <f aca="false">SRC_Price!C7</f>
        <v>0.1</v>
      </c>
      <c r="D997" s="61" t="n">
        <v>0.1</v>
      </c>
      <c r="E997" s="105" t="n">
        <f aca="false">IF(ABS(C997-D997)&lt;=0.000000001*ABS(D997)+0.000000000001,0,1)</f>
        <v>0</v>
      </c>
    </row>
    <row r="998" customFormat="false" ht="15" hidden="false" customHeight="false" outlineLevel="0" collapsed="false">
      <c r="A998" s="62" t="s">
        <v>3430</v>
      </c>
      <c r="B998" s="62" t="s">
        <v>3209</v>
      </c>
      <c r="C998" s="92" t="n">
        <f aca="false">SRC_Price!C8</f>
        <v>0.01</v>
      </c>
      <c r="D998" s="61" t="n">
        <v>0.01</v>
      </c>
      <c r="E998" s="105" t="n">
        <f aca="false">IF(ABS(C998-D998)&lt;=0.000000001*ABS(D998)+0.000000000001,0,1)</f>
        <v>0</v>
      </c>
    </row>
    <row r="999" customFormat="false" ht="15" hidden="false" customHeight="false" outlineLevel="0" collapsed="false">
      <c r="A999" s="62" t="s">
        <v>3430</v>
      </c>
      <c r="B999" s="62" t="s">
        <v>3211</v>
      </c>
      <c r="C999" s="92" t="n">
        <f aca="false">SRC_Price!C9</f>
        <v>0.5</v>
      </c>
      <c r="D999" s="61" t="n">
        <v>0.5</v>
      </c>
      <c r="E999" s="105" t="n">
        <f aca="false">IF(ABS(C999-D999)&lt;=0.000000001*ABS(D999)+0.000000000001,0,1)</f>
        <v>0</v>
      </c>
    </row>
    <row r="1000" customFormat="false" ht="15" hidden="false" customHeight="false" outlineLevel="0" collapsed="false">
      <c r="A1000" s="62" t="s">
        <v>3430</v>
      </c>
      <c r="B1000" s="62" t="s">
        <v>3213</v>
      </c>
      <c r="C1000" s="92" t="n">
        <f aca="false">SRC_Price!C10</f>
        <v>2</v>
      </c>
      <c r="D1000" s="61" t="n">
        <v>2</v>
      </c>
      <c r="E1000" s="105" t="n">
        <f aca="false">IF(ABS(C1000-D1000)&lt;=0.000000001*ABS(D1000)+0.000000000001,0,1)</f>
        <v>0</v>
      </c>
    </row>
    <row r="1001" customFormat="false" ht="15" hidden="false" customHeight="false" outlineLevel="0" collapsed="false">
      <c r="A1001" s="62" t="s">
        <v>3430</v>
      </c>
      <c r="B1001" s="62" t="s">
        <v>3215</v>
      </c>
      <c r="C1001" s="92" t="n">
        <f aca="false">SRC_Price!C11</f>
        <v>0.2</v>
      </c>
      <c r="D1001" s="61" t="n">
        <v>0.2</v>
      </c>
      <c r="E1001" s="105" t="n">
        <f aca="false">IF(ABS(C1001-D1001)&lt;=0.000000001*ABS(D1001)+0.000000000001,0,1)</f>
        <v>0</v>
      </c>
    </row>
    <row r="1002" customFormat="false" ht="15" hidden="false" customHeight="false" outlineLevel="0" collapsed="false">
      <c r="A1002" s="62" t="s">
        <v>3430</v>
      </c>
      <c r="B1002" s="62" t="s">
        <v>3216</v>
      </c>
      <c r="C1002" s="92" t="n">
        <f aca="false">SRC_Price!C12</f>
        <v>10</v>
      </c>
      <c r="D1002" s="61" t="n">
        <v>10</v>
      </c>
      <c r="E1002" s="105" t="n">
        <f aca="false">IF(ABS(C1002-D1002)&lt;=0.000000001*ABS(D1002)+0.000000000001,0,1)</f>
        <v>0</v>
      </c>
    </row>
    <row r="1003" customFormat="false" ht="15" hidden="false" customHeight="false" outlineLevel="0" collapsed="false">
      <c r="A1003" s="62" t="s">
        <v>3430</v>
      </c>
      <c r="B1003" s="62" t="s">
        <v>3220</v>
      </c>
      <c r="C1003" s="92" t="n">
        <f aca="false">SRC_Price!C13</f>
        <v>10</v>
      </c>
      <c r="D1003" s="61" t="n">
        <v>10</v>
      </c>
      <c r="E1003" s="105" t="n">
        <f aca="false">IF(ABS(C1003-D1003)&lt;=0.000000001*ABS(D1003)+0.000000000001,0,1)</f>
        <v>0</v>
      </c>
    </row>
    <row r="1004" customFormat="false" ht="15" hidden="false" customHeight="false" outlineLevel="0" collapsed="false">
      <c r="A1004" s="62" t="s">
        <v>3430</v>
      </c>
      <c r="B1004" s="62" t="s">
        <v>3249</v>
      </c>
      <c r="C1004" s="92" t="n">
        <f aca="false">SRC_Price!C14</f>
        <v>1</v>
      </c>
      <c r="D1004" s="61" t="n">
        <v>1</v>
      </c>
      <c r="E1004" s="105" t="n">
        <f aca="false">IF(ABS(C1004-D1004)&lt;=0.000000001*ABS(D1004)+0.000000000001,0,1)</f>
        <v>0</v>
      </c>
    </row>
    <row r="1005" customFormat="false" ht="15" hidden="false" customHeight="false" outlineLevel="0" collapsed="false">
      <c r="A1005" s="62" t="s">
        <v>3430</v>
      </c>
      <c r="B1005" s="62" t="s">
        <v>3250</v>
      </c>
      <c r="C1005" s="92" t="n">
        <f aca="false">SRC_Price!C15</f>
        <v>50</v>
      </c>
      <c r="D1005" s="61" t="n">
        <v>50</v>
      </c>
      <c r="E1005" s="105" t="n">
        <f aca="false">IF(ABS(C1005-D1005)&lt;=0.000000001*ABS(D1005)+0.000000000001,0,1)</f>
        <v>0</v>
      </c>
    </row>
    <row r="1006" customFormat="false" ht="15" hidden="false" customHeight="false" outlineLevel="0" collapsed="false">
      <c r="A1006" s="62" t="s">
        <v>3431</v>
      </c>
      <c r="B1006" s="62" t="s">
        <v>3209</v>
      </c>
      <c r="C1006" s="92" t="n">
        <f aca="false">SRC_Demand!C8</f>
        <v>8.4</v>
      </c>
      <c r="D1006" s="61" t="n">
        <v>8.4</v>
      </c>
      <c r="E1006" s="105" t="n">
        <f aca="false">IF(ABS(C1006-D1006)&lt;=0.000000001*ABS(D1006)+0.000000000001,0,1)</f>
        <v>0</v>
      </c>
    </row>
    <row r="1007" customFormat="false" ht="15" hidden="false" customHeight="false" outlineLevel="0" collapsed="false">
      <c r="A1007" s="62" t="s">
        <v>3431</v>
      </c>
      <c r="B1007" s="62" t="s">
        <v>3211</v>
      </c>
      <c r="C1007" s="92" t="n">
        <f aca="false">SRC_Demand!C9</f>
        <v>3.9</v>
      </c>
      <c r="D1007" s="61" t="n">
        <v>3.9</v>
      </c>
      <c r="E1007" s="105" t="n">
        <f aca="false">IF(ABS(C1007-D1007)&lt;=0.000000001*ABS(D1007)+0.000000000001,0,1)</f>
        <v>0</v>
      </c>
    </row>
    <row r="1008" customFormat="false" ht="15" hidden="false" customHeight="false" outlineLevel="0" collapsed="false">
      <c r="A1008" s="62" t="s">
        <v>3431</v>
      </c>
      <c r="B1008" s="62" t="s">
        <v>3213</v>
      </c>
      <c r="C1008" s="92" t="n">
        <f aca="false">SRC_Demand!C10</f>
        <v>12</v>
      </c>
      <c r="D1008" s="61" t="n">
        <v>12</v>
      </c>
      <c r="E1008" s="105" t="n">
        <f aca="false">IF(ABS(C1008-D1008)&lt;=0.000000001*ABS(D1008)+0.000000000001,0,1)</f>
        <v>0</v>
      </c>
    </row>
    <row r="1009" customFormat="false" ht="15" hidden="false" customHeight="false" outlineLevel="0" collapsed="false">
      <c r="A1009" s="62" t="s">
        <v>3431</v>
      </c>
      <c r="B1009" s="62" t="s">
        <v>3249</v>
      </c>
      <c r="C1009" s="92" t="n">
        <f aca="false">SRC_Demand!C14</f>
        <v>6</v>
      </c>
      <c r="D1009" s="61" t="n">
        <v>6</v>
      </c>
      <c r="E1009" s="105" t="n">
        <f aca="false">IF(ABS(C1009-D1009)&lt;=0.000000001*ABS(D1009)+0.000000000001,0,1)</f>
        <v>0</v>
      </c>
    </row>
    <row r="1010" customFormat="false" ht="15" hidden="false" customHeight="false" outlineLevel="0" collapsed="false">
      <c r="A1010" s="62" t="s">
        <v>3431</v>
      </c>
      <c r="B1010" s="62" t="s">
        <v>3251</v>
      </c>
      <c r="C1010" s="92" t="n">
        <f aca="false">SRC_Demand!C16</f>
        <v>2.5</v>
      </c>
      <c r="D1010" s="61" t="n">
        <v>2.5</v>
      </c>
      <c r="E1010" s="105" t="n">
        <f aca="false">IF(ABS(C1010-D1010)&lt;=0.000000001*ABS(D1010)+0.000000000001,0,1)</f>
        <v>0</v>
      </c>
    </row>
    <row r="1012" customFormat="false" ht="15" hidden="false" customHeight="false" outlineLevel="0" collapsed="false">
      <c r="A1012" s="77" t="s">
        <v>3432</v>
      </c>
      <c r="B1012" s="71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</row>
    <row r="1013" customFormat="false" ht="15" hidden="false" customHeight="false" outlineLevel="0" collapsed="false">
      <c r="A1013" s="61" t="s">
        <v>3433</v>
      </c>
      <c r="B1013" s="62" t="s">
        <v>1930</v>
      </c>
      <c r="C1013" s="61" t="n">
        <f aca="false">SUMPRODUCT(AL_ShareGen,AL_HoldGen)</f>
        <v>9.35311859805586</v>
      </c>
    </row>
    <row r="1014" customFormat="false" ht="15" hidden="false" customHeight="false" outlineLevel="0" collapsed="false">
      <c r="A1014" s="61" t="s">
        <v>3434</v>
      </c>
      <c r="B1014" s="62" t="s">
        <v>121</v>
      </c>
      <c r="C1014" s="61" t="n">
        <f aca="false">IF(AL_ServeGW="整代不可達","整代不可達",SRC_DEM_004_Lo/C1013)</f>
        <v>0.80187158126691</v>
      </c>
    </row>
    <row r="1015" customFormat="false" ht="15" hidden="false" customHeight="false" outlineLevel="0" collapsed="false">
      <c r="A1015" s="61" t="s">
        <v>3435</v>
      </c>
      <c r="B1015" s="62" t="s">
        <v>121</v>
      </c>
      <c r="C1015" s="61" t="n">
        <f aca="false">IF(AL_ServeGW="整代不可達","整代不可達",SRC_DEM_004_Hi/C1013)</f>
        <v>0.940862655353175</v>
      </c>
    </row>
    <row r="1016" customFormat="false" ht="15" hidden="false" customHeight="false" outlineLevel="0" collapsed="false">
      <c r="A1016" s="62" t="s">
        <v>3436</v>
      </c>
      <c r="B1016" s="62" t="s">
        <v>131</v>
      </c>
      <c r="C1016" s="61" t="n">
        <f aca="false">IF(AL_ServeGW="整代不可達","整代不可達",IF(AND(ISNUMBER(C1014),ISNUMBER(AL_RDGW)),AL_RDGW/(AL_RDGW+C1014),"SLO 不可達"))</f>
        <v>0.201973606210901</v>
      </c>
    </row>
    <row r="1017" customFormat="false" ht="15" hidden="false" customHeight="false" outlineLevel="0" collapsed="false">
      <c r="A1017" s="62" t="s">
        <v>3437</v>
      </c>
      <c r="B1017" s="62" t="s">
        <v>131</v>
      </c>
      <c r="C1017" s="61" t="n">
        <f aca="false">IF(AL_ServeGW="整代不可達","整代不可達",IF(AND(ISNUMBER(C1015),ISNUMBER(AL_RDGW)),AL_RDGW/(AL_RDGW+C1015),"SLO 不可達"))</f>
        <v>0.177430594630257</v>
      </c>
    </row>
    <row r="1018" customFormat="false" ht="15" hidden="false" customHeight="false" outlineLevel="0" collapsed="false">
      <c r="A1018" s="62" t="s">
        <v>3438</v>
      </c>
      <c r="B1018" s="62" t="s">
        <v>131</v>
      </c>
      <c r="C1018" s="61" t="n">
        <f aca="false">IF(AL_ServeGW="整代不可達","整代不可達",IF(AND(ISNUMBER(C1014),ISNUMBER(AL_RDGW)),AL_RDGW*AL_HoldTrain/(AL_RDGW*AL_HoldTrain+C1014*C1013),"SLO 不可達"))</f>
        <v>0.202682362142863</v>
      </c>
    </row>
    <row r="1019" customFormat="false" ht="15" hidden="false" customHeight="false" outlineLevel="0" collapsed="false">
      <c r="A1019" s="62" t="s">
        <v>3439</v>
      </c>
      <c r="B1019" s="62" t="s">
        <v>131</v>
      </c>
      <c r="C1019" s="61" t="n">
        <f aca="false">IF(AL_ServeGW="整代不可達","整代不可達",IF(AND(ISNUMBER(C1015),ISNUMBER(AL_RDGW)),AL_RDGW*AL_HoldTrain/(AL_RDGW*AL_HoldTrain+C1015*C1013),"SLO 不可達"))</f>
        <v>0.178072443476213</v>
      </c>
    </row>
    <row r="1021" customFormat="false" ht="15" hidden="false" customHeight="false" outlineLevel="0" collapsed="false">
      <c r="A1021" s="60" t="s">
        <v>3440</v>
      </c>
      <c r="B1021" s="60" t="s">
        <v>113</v>
      </c>
      <c r="C1021" s="60" t="s">
        <v>382</v>
      </c>
      <c r="D1021" s="60" t="s">
        <v>3441</v>
      </c>
      <c r="E1021" s="60" t="s">
        <v>3442</v>
      </c>
    </row>
    <row r="1022" customFormat="false" ht="15" hidden="false" customHeight="false" outlineLevel="0" collapsed="false">
      <c r="A1022" s="62" t="s">
        <v>3443</v>
      </c>
      <c r="B1022" s="62" t="s">
        <v>121</v>
      </c>
      <c r="C1022" s="61" t="n">
        <f aca="false">IF(AND(ISNUMBER(C1014),ISNUMBER(C1015)),MIN(C1014,C1015),C1014)</f>
        <v>0.80187158126691</v>
      </c>
    </row>
    <row r="1023" customFormat="false" ht="15" hidden="false" customHeight="false" outlineLevel="0" collapsed="false">
      <c r="A1023" s="62" t="s">
        <v>3444</v>
      </c>
      <c r="B1023" s="62" t="s">
        <v>121</v>
      </c>
      <c r="C1023" s="61" t="n">
        <f aca="false">IF(AND(ISNUMBER(C1014),ISNUMBER(C1015)),MAX(C1014,C1015),C1014)</f>
        <v>0.940862655353175</v>
      </c>
      <c r="D1023" s="96" t="n">
        <f aca="false">IF_AllocServeGW</f>
        <v>0.89809617101894</v>
      </c>
      <c r="E1023" s="105" t="n">
        <f aca="false">IF(AND(ISNUMBER(D1023),ISNUMBER(C1022),ISNUMBER(C1023)),IF(OR(D1023&lt;C1022-0.000000001*ABS(C1022)-0.000000000001,D1023&gt;C1023+0.000000001*ABS(C1023)+0.000000000001),1,0),0)</f>
        <v>0</v>
      </c>
    </row>
    <row r="1024" customFormat="false" ht="15" hidden="false" customHeight="false" outlineLevel="0" collapsed="false">
      <c r="A1024" s="62" t="s">
        <v>3445</v>
      </c>
      <c r="B1024" s="62" t="s">
        <v>131</v>
      </c>
      <c r="C1024" s="61" t="n">
        <f aca="false">IF(AND(ISNUMBER(C1016),ISNUMBER(C1017)),MIN(C1016,C1017),C1016)</f>
        <v>0.177430594630257</v>
      </c>
    </row>
    <row r="1025" customFormat="false" ht="15" hidden="false" customHeight="false" outlineLevel="0" collapsed="false">
      <c r="A1025" s="62" t="s">
        <v>3446</v>
      </c>
      <c r="B1025" s="62" t="s">
        <v>131</v>
      </c>
      <c r="C1025" s="61" t="n">
        <f aca="false">IF(AND(ISNUMBER(C1016),ISNUMBER(C1017)),MAX(C1016,C1017),C1016)</f>
        <v>0.201973606210901</v>
      </c>
      <c r="D1025" s="112" t="n">
        <f aca="false">IF_AllocQ1</f>
        <v>0.184322317309608</v>
      </c>
      <c r="E1025" s="105" t="n">
        <f aca="false">IF(AND(ISNUMBER(D1025),ISNUMBER(C1024),ISNUMBER(C1025)),IF(OR(D1025&lt;C1024-0.000000001*ABS(C1024)-0.000000000001,D1025&gt;C1025+0.000000001*ABS(C1025)+0.000000000001),1,0),0)</f>
        <v>0</v>
      </c>
    </row>
    <row r="1026" customFormat="false" ht="15" hidden="false" customHeight="false" outlineLevel="0" collapsed="false">
      <c r="A1026" s="62" t="s">
        <v>3447</v>
      </c>
      <c r="B1026" s="62" t="s">
        <v>131</v>
      </c>
      <c r="C1026" s="61" t="n">
        <f aca="false">IF(AND(ISNUMBER(C1018),ISNUMBER(C1019)),MIN(C1018,C1019),C1018)</f>
        <v>0.178072443476213</v>
      </c>
    </row>
    <row r="1027" customFormat="false" ht="15" hidden="false" customHeight="false" outlineLevel="0" collapsed="false">
      <c r="A1027" s="62" t="s">
        <v>3448</v>
      </c>
      <c r="B1027" s="62" t="s">
        <v>131</v>
      </c>
      <c r="C1027" s="61" t="n">
        <f aca="false">IF(AND(ISNUMBER(C1018),ISNUMBER(C1019)),MAX(C1018,C1019),C1018)</f>
        <v>0.202682362142863</v>
      </c>
      <c r="D1027" s="112" t="n">
        <f aca="false">IF_AllocQ2</f>
        <v>0.184983490208217</v>
      </c>
      <c r="E1027" s="105" t="n">
        <f aca="false">IF(AND(ISNUMBER(D1027),ISNUMBER(C1026),ISNUMBER(C1027)),IF(OR(D1027&lt;C1026-0.000000001*ABS(C1026)-0.000000000001,D1027&gt;C1027+0.000000001*ABS(C1027)+0.000000000001),1,0),0)</f>
        <v>0</v>
      </c>
    </row>
    <row r="1028" customFormat="false" ht="15" hidden="false" customHeight="false" outlineLevel="0" collapsed="false">
      <c r="A1028" s="60" t="s">
        <v>3449</v>
      </c>
      <c r="C1028" s="105" t="n">
        <f aca="false">E1023+E1025+E1027</f>
        <v>0</v>
      </c>
      <c r="D1028" s="59" t="s">
        <v>3450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3451</v>
      </c>
    </row>
    <row r="2" customFormat="false" ht="15" hidden="false" customHeight="false" outlineLevel="0" collapsed="false">
      <c r="A2" s="65" t="s">
        <v>3452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412</v>
      </c>
      <c r="B50" s="59" t="s">
        <v>136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950</v>
      </c>
      <c r="B51" s="59" t="s">
        <v>131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952</v>
      </c>
      <c r="B53" s="59" t="s">
        <v>131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954</v>
      </c>
      <c r="B55" s="59" t="s">
        <v>606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971</v>
      </c>
      <c r="B75" s="59" t="s">
        <v>418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972</v>
      </c>
      <c r="B76" s="59" t="s">
        <v>421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973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975</v>
      </c>
      <c r="B79" s="59" t="s">
        <v>593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976</v>
      </c>
      <c r="B80" s="59" t="s">
        <v>593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979</v>
      </c>
      <c r="B83" s="59" t="s">
        <v>593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981</v>
      </c>
      <c r="B85" s="65" t="s">
        <v>3454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983</v>
      </c>
      <c r="B87" s="65" t="s">
        <v>3454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984</v>
      </c>
      <c r="B88" s="59" t="s">
        <v>418</v>
      </c>
      <c r="C88" s="183" t="n">
        <f aca="false">IF(Perf_Prod!C87&gt;0,Perf_Prod!C87*Perf!C49/((Perf_Prod!C79+Perf_Prod!C87*Perf_Prod!C83)/1000),0)</f>
        <v>551.74734558634</v>
      </c>
      <c r="D88" s="183" t="n">
        <f aca="false">IF(Perf_Prod!D87&gt;0,Perf_Prod!D87*Perf!D49/((Perf_Prod!D79+Perf_Prod!D87*Perf_Prod!D83)/1000),0)</f>
        <v>175.100161333118</v>
      </c>
      <c r="E88" s="183" t="n">
        <f aca="false">IF(Perf_Prod!E87&gt;0,Perf_Prod!E87*Perf!E49/((Perf_Prod!E79+Perf_Prod!E87*Perf_Prod!E83)/1000),0)</f>
        <v>28.4771083308666</v>
      </c>
      <c r="F88" s="183" t="n">
        <f aca="false">IF(Perf_Prod!F87&gt;0,Perf_Prod!F87*Perf!F49/((Perf_Prod!F79+Perf_Prod!F87*Perf_Prod!F83)/1000),0)</f>
        <v>3313.62948545412</v>
      </c>
      <c r="G88" s="183" t="n">
        <f aca="false">IF(Perf_Prod!G87&gt;0,Perf_Prod!G87*Perf!G49/((Perf_Prod!G79+Perf_Prod!G87*Perf_Prod!G83)/1000),0)</f>
        <v>995.330949136974</v>
      </c>
      <c r="H88" s="183" t="n">
        <f aca="false">IF(Perf_Prod!H87&gt;0,Perf_Prod!H87*Perf!H49/((Perf_Prod!H79+Perf_Prod!H87*Perf_Prod!H83)/1000),0)</f>
        <v>182.627323038758</v>
      </c>
      <c r="I88" s="183" t="n">
        <f aca="false">IF(Perf_Prod!I87&gt;0,Perf_Prod!I87*Perf!I49/((Perf_Prod!I79+Perf_Prod!I87*Perf_Prod!I83)/1000),0)</f>
        <v>4970.44422818118</v>
      </c>
      <c r="J88" s="183" t="n">
        <f aca="false">IF(Perf_Prod!J87&gt;0,Perf_Prod!J87*Perf!J49/((Perf_Prod!J79+Perf_Prod!J87*Perf_Prod!J83)/1000),0)</f>
        <v>1492.99642370546</v>
      </c>
      <c r="K88" s="183" t="n">
        <f aca="false">IF(Perf_Prod!K87&gt;0,Perf_Prod!K87*Perf!K49/((Perf_Prod!K79+Perf_Prod!K87*Perf_Prod!K83)/1000),0)</f>
        <v>242.594708577338</v>
      </c>
      <c r="L88" s="183" t="n">
        <f aca="false">IF(Perf_Prod!L87&gt;0,Perf_Prod!L87*Perf!L49/((Perf_Prod!L79+Perf_Prod!L87*Perf_Prod!L83)/1000),0)</f>
        <v>12072.3810462224</v>
      </c>
      <c r="M88" s="183" t="n">
        <f aca="false">IF(Perf_Prod!M87&gt;0,Perf_Prod!M87*Perf!M49/((Perf_Prod!M79+Perf_Prod!M87*Perf_Prod!M83)/1000),0)</f>
        <v>3813.69678049048</v>
      </c>
      <c r="N88" s="183" t="n">
        <f aca="false">IF(Perf_Prod!N87&gt;0,Perf_Prod!N87*Perf!N49/((Perf_Prod!N79+Perf_Prod!N87*Perf_Prod!N83)/1000),0)</f>
        <v>758.795818920343</v>
      </c>
      <c r="O88" s="183" t="n">
        <f aca="false">IF(Perf_Prod!O87&gt;0,Perf_Prod!O87*Perf!O49/((Perf_Prod!O79+Perf_Prod!O87*Perf_Prod!O83)/1000),0)</f>
        <v>24402.8727612029</v>
      </c>
      <c r="P88" s="183" t="n">
        <f aca="false">IF(Perf_Prod!P87&gt;0,Perf_Prod!P87*Perf!P49/((Perf_Prod!P79+Perf_Prod!P87*Perf_Prod!P83)/1000),0)</f>
        <v>7820.2007375987</v>
      </c>
      <c r="Q88" s="183" t="n">
        <f aca="false">IF(Perf_Prod!Q87&gt;0,Perf_Prod!Q87*Perf!Q49/((Perf_Prod!Q79+Perf_Prod!Q87*Perf_Prod!Q83)/1000),0)</f>
        <v>1630.79700261094</v>
      </c>
      <c r="S88" s="183" t="n">
        <f aca="false">IF(Perf_Prod!S87&gt;0,Perf_Prod!S87*Perf!C49/((Perf_Prod!S79+Perf_Prod!S87*Perf_Prod!S83)/1000),0)</f>
        <v>739.802932940398</v>
      </c>
      <c r="T88" s="183" t="n">
        <f aca="false">IF(Perf_Prod!T87&gt;0,Perf_Prod!T87*Perf!D49/((Perf_Prod!T79+Perf_Prod!T87*Perf_Prod!T83)/1000),0)</f>
        <v>224.823591539841</v>
      </c>
      <c r="U88" s="183" t="n">
        <f aca="false">IF(Perf_Prod!U87&gt;0,Perf_Prod!U87*Perf!E49/((Perf_Prod!U79+Perf_Prod!U87*Perf_Prod!U83)/1000),0)</f>
        <v>40.6742374235114</v>
      </c>
      <c r="V88" s="183" t="n">
        <f aca="false">IF(Perf_Prod!V87&gt;0,Perf_Prod!V87*Perf!F49/((Perf_Prod!V79+Perf_Prod!V87*Perf_Prod!V83)/1000),0)</f>
        <v>4152.97302302101</v>
      </c>
      <c r="W88" s="183" t="n">
        <f aca="false">IF(Perf_Prod!W87&gt;0,Perf_Prod!W87*Perf!G49/((Perf_Prod!W79+Perf_Prod!W87*Perf_Prod!W83)/1000),0)</f>
        <v>1223.81965598695</v>
      </c>
      <c r="X88" s="183" t="n">
        <f aca="false">IF(Perf_Prod!X87&gt;0,Perf_Prod!X87*Perf!H49/((Perf_Prod!X79+Perf_Prod!X87*Perf_Prod!X83)/1000),0)</f>
        <v>234.988617384446</v>
      </c>
      <c r="Y88" s="183" t="n">
        <f aca="false">IF(Perf_Prod!Y87&gt;0,Perf_Prod!Y87*Perf!I49/((Perf_Prod!Y79+Perf_Prod!Y87*Perf_Prod!Y83)/1000),0)</f>
        <v>6229.45953453152</v>
      </c>
      <c r="Z88" s="183" t="n">
        <f aca="false">IF(Perf_Prod!Z87&gt;0,Perf_Prod!Z87*Perf!J49/((Perf_Prod!Z79+Perf_Prod!Z87*Perf_Prod!Z83)/1000),0)</f>
        <v>1835.72948398042</v>
      </c>
      <c r="AA88" s="183" t="n">
        <f aca="false">IF(Perf_Prod!AA87&gt;0,Perf_Prod!AA87*Perf!K49/((Perf_Prod!AA79+Perf_Prod!AA87*Perf_Prod!AA83)/1000),0)</f>
        <v>315.604954334554</v>
      </c>
      <c r="AB88" s="183" t="n">
        <f aca="false">IF(Perf_Prod!AB87&gt;0,Perf_Prod!AB87*Perf!L49/((Perf_Prod!AB79+Perf_Prod!AB87*Perf_Prod!AB83)/1000),0)</f>
        <v>15093.8501066124</v>
      </c>
      <c r="AC88" s="183" t="n">
        <f aca="false">IF(Perf_Prod!AC87&gt;0,Perf_Prod!AC87*Perf!M49/((Perf_Prod!AC79+Perf_Prod!AC87*Perf_Prod!AC83)/1000),0)</f>
        <v>4671.64933537911</v>
      </c>
      <c r="AD88" s="183" t="n">
        <f aca="false">IF(Perf_Prod!AD87&gt;0,Perf_Prod!AD87*Perf!N49/((Perf_Prod!AD79+Perf_Prod!AD87*Perf_Prod!AD83)/1000),0)</f>
        <v>963.166264709904</v>
      </c>
      <c r="AE88" s="183" t="n">
        <f aca="false">IF(Perf_Prod!AE87&gt;0,Perf_Prod!AE87*Perf!O49/((Perf_Prod!AE79+Perf_Prod!AE87*Perf_Prod!AE83)/1000),0)</f>
        <v>30491.3598235283</v>
      </c>
      <c r="AF88" s="183" t="n">
        <f aca="false">IF(Perf_Prod!AF87&gt;0,Perf_Prod!AF87*Perf!P49/((Perf_Prod!AF79+Perf_Prod!AF87*Perf_Prod!AF83)/1000),0)</f>
        <v>9570.13064324968</v>
      </c>
      <c r="AG88" s="183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990</v>
      </c>
      <c r="B93" s="59" t="s">
        <v>991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994</v>
      </c>
      <c r="B95" s="59" t="s">
        <v>418</v>
      </c>
      <c r="C95" s="183" t="n">
        <f aca="false">IF(ISNUMBER(Perf_Prod!C93),IF(Perf_Prod!C93&gt;0,Perf!C22*(Perf!C43+Perf!C44)/Perf_Prod!C93,0),Perf_Prod!C93)</f>
        <v>122107.889753965</v>
      </c>
      <c r="D95" s="183" t="n">
        <f aca="false">IF(ISNUMBER(Perf_Prod!D93),IF(Perf_Prod!D93&gt;0,Perf!D22*(Perf!D43+Perf!D44)/Perf_Prod!D93,0),Perf_Prod!D93)</f>
        <v>37861.9729294478</v>
      </c>
      <c r="E95" s="183" t="n">
        <f aca="false">IF(ISNUMBER(Perf_Prod!E93),IF(Perf_Prod!E93&gt;0,Perf!E22*(Perf!E43+Perf!E44)/Perf_Prod!E93,0),Perf_Prod!E93)</f>
        <v>6955.79024662274</v>
      </c>
      <c r="F95" s="183" t="n">
        <f aca="false">IF(ISNUMBER(Perf_Prod!F93),IF(Perf_Prod!F93&gt;0,Perf!F22*(Perf!F43+Perf!F44)/Perf_Prod!F93,0),Perf_Prod!F93)</f>
        <v>1821259.41148412</v>
      </c>
      <c r="G95" s="183" t="n">
        <f aca="false">IF(ISNUMBER(Perf_Prod!G93),IF(Perf_Prod!G93&gt;0,Perf!G22*(Perf!G43+Perf!G44)/Perf_Prod!G93,0),Perf_Prod!G93)</f>
        <v>543550.378884681</v>
      </c>
      <c r="H95" s="183" t="n">
        <f aca="false">IF(ISNUMBER(Perf_Prod!H93),IF(Perf_Prod!H93&gt;0,Perf!H22*(Perf!H43+Perf!H44)/Perf_Prod!H93,0),Perf_Prod!H93)</f>
        <v>106272.060093027</v>
      </c>
      <c r="I95" s="183" t="n">
        <f aca="false">IF(ISNUMBER(Perf_Prod!I93),IF(Perf_Prod!I93&gt;0,Perf!I22*(Perf!I43+Perf!I44)/Perf_Prod!I93,0),Perf_Prod!I93)</f>
        <v>2731889.11722618</v>
      </c>
      <c r="J95" s="183" t="n">
        <f aca="false">IF(ISNUMBER(Perf_Prod!J93),IF(Perf_Prod!J93&gt;0,Perf!J22*(Perf!J43+Perf!J44)/Perf_Prod!J93,0),Perf_Prod!J93)</f>
        <v>815325.568327021</v>
      </c>
      <c r="K95" s="183" t="n">
        <f aca="false">IF(ISNUMBER(Perf_Prod!K93),IF(Perf_Prod!K93&gt;0,Perf!K22*(Perf!K43+Perf!K44)/Perf_Prod!K93,0),Perf_Prod!K93)</f>
        <v>142834.517316183</v>
      </c>
      <c r="L95" s="183" t="n">
        <f aca="false">IF(ISNUMBER(Perf_Prod!L93),IF(Perf_Prod!L93&gt;0,Perf!L22*(Perf!L43+Perf!L44)/Perf_Prod!L93,0),Perf_Prod!L93)</f>
        <v>6594330.40261826</v>
      </c>
      <c r="M95" s="183" t="n">
        <f aca="false">IF(ISNUMBER(Perf_Prod!M93),IF(Perf_Prod!M93&gt;0,Perf!M22*(Perf!M43+Perf!M44)/Perf_Prod!M93,0),Perf_Prod!M93)</f>
        <v>2052088.39433295</v>
      </c>
      <c r="N95" s="183" t="n">
        <f aca="false">IF(ISNUMBER(Perf_Prod!N93),IF(Perf_Prod!N93&gt;0,Perf!N22*(Perf!N43+Perf!N44)/Perf_Prod!N93,0),Perf_Prod!N93)</f>
        <v>433279.441494085</v>
      </c>
      <c r="O95" s="183" t="n">
        <f aca="false">IF(ISNUMBER(Perf_Prod!O93),IF(Perf_Prod!O93&gt;0,Perf!O22*(Perf!O43+Perf!O44)/Perf_Prod!O93,0),Perf_Prod!O93)</f>
        <v>13307308.1371504</v>
      </c>
      <c r="P95" s="183" t="n">
        <f aca="false">IF(ISNUMBER(Perf_Prod!P93),IF(Perf_Prod!P93&gt;0,Perf!P22*(Perf!P43+Perf!P44)/Perf_Prod!P93,0),Perf_Prod!P93)</f>
        <v>4189957.53358947</v>
      </c>
      <c r="Q95" s="183" t="n">
        <f aca="false">IF(ISNUMBER(Perf_Prod!Q93),IF(Perf_Prod!Q93&gt;0,Perf!Q22*(Perf!Q43+Perf!Q44)/Perf_Prod!Q93,0),Perf_Prod!Q93)</f>
        <v>923019.570338794</v>
      </c>
      <c r="S95" s="183" t="n">
        <f aca="false">IF(ISNUMBER(Perf_Prod!S93),IF(Perf_Prod!S93&gt;0,Perf!C22*(Perf!C43+Perf!C44)/Perf_Prod!S93,0),Perf_Prod!S93)</f>
        <v>158595.933922677</v>
      </c>
      <c r="T95" s="183" t="n">
        <f aca="false">IF(ISNUMBER(Perf_Prod!T93),IF(Perf_Prod!T93&gt;0,Perf!D22*(Perf!D43+Perf!D44)/Perf_Prod!T93,0),Perf_Prod!T93)</f>
        <v>47531.3605802762</v>
      </c>
      <c r="U95" s="183" t="n">
        <f aca="false">IF(ISNUMBER(Perf_Prod!U93),IF(Perf_Prod!U93&gt;0,Perf!E22*(Perf!E43+Perf!E44)/Perf_Prod!U93,0),Perf_Prod!U93)</f>
        <v>9622.21082709152</v>
      </c>
      <c r="V95" s="183" t="n">
        <f aca="false">IF(ISNUMBER(Perf_Prod!V93),IF(Perf_Prod!V93&gt;0,Perf!F22*(Perf!F43+Perf!F44)/Perf_Prod!V93,0),Perf_Prod!V93)</f>
        <v>2260177.59312208</v>
      </c>
      <c r="W95" s="183" t="n">
        <f aca="false">IF(ISNUMBER(Perf_Prod!W93),IF(Perf_Prod!W93&gt;0,Perf!G22*(Perf!G43+Perf!G44)/Perf_Prod!W93,0),Perf_Prod!W93)</f>
        <v>663618.88067237</v>
      </c>
      <c r="X95" s="183" t="n">
        <f aca="false">IF(ISNUMBER(Perf_Prod!X93),IF(Perf_Prod!X93&gt;0,Perf!H22*(Perf!H43+Perf!H44)/Perf_Prod!X93,0),Perf_Prod!X93)</f>
        <v>135446.917360121</v>
      </c>
      <c r="Y95" s="183" t="n">
        <f aca="false">IF(ISNUMBER(Perf_Prod!Y93),IF(Perf_Prod!Y93&gt;0,Perf!I22*(Perf!I43+Perf!I44)/Perf_Prod!Y93,0),Perf_Prod!Y93)</f>
        <v>3390266.38968311</v>
      </c>
      <c r="Z95" s="183" t="n">
        <f aca="false">IF(ISNUMBER(Perf_Prod!Z93),IF(Perf_Prod!Z93&gt;0,Perf!J22*(Perf!J43+Perf!J44)/Perf_Prod!Z93,0),Perf_Prod!Z93)</f>
        <v>995428.321008554</v>
      </c>
      <c r="AA95" s="183" t="n">
        <f aca="false">IF(ISNUMBER(Perf_Prod!AA93),IF(Perf_Prod!AA93&gt;0,Perf!K22*(Perf!K43+Perf!K44)/Perf_Prod!AA93,0),Perf_Prod!AA93)</f>
        <v>184041.626877104</v>
      </c>
      <c r="AB95" s="183" t="n">
        <f aca="false">IF(ISNUMBER(Perf_Prod!AB93),IF(Perf_Prod!AB93&gt;0,Perf!L22*(Perf!L43+Perf!L44)/Perf_Prod!AB93,0),Perf_Prod!AB93)</f>
        <v>8164314.39538053</v>
      </c>
      <c r="AC95" s="183" t="n">
        <f aca="false">IF(ISNUMBER(Perf_Prod!AC93),IF(Perf_Prod!AC93&gt;0,Perf!M22*(Perf!M43+Perf!M44)/Perf_Prod!AC93,0),Perf_Prod!AC93)</f>
        <v>2496284.49057369</v>
      </c>
      <c r="AD95" s="183" t="n">
        <f aca="false">IF(ISNUMBER(Perf_Prod!AD93),IF(Perf_Prod!AD93&gt;0,Perf!N22*(Perf!N43+Perf!N44)/Perf_Prod!AD93,0),Perf_Prod!AD93)</f>
        <v>544866.832675706</v>
      </c>
      <c r="AE95" s="183" t="n">
        <f aca="false">IF(ISNUMBER(Perf_Prod!AE93),IF(Perf_Prod!AE93&gt;0,Perf!O22*(Perf!O43+Perf!O44)/Perf_Prod!AE93,0),Perf_Prod!AE93)</f>
        <v>16465505.637269</v>
      </c>
      <c r="AF95" s="183" t="n">
        <f aca="false">IF(ISNUMBER(Perf_Prod!AF93),IF(Perf_Prod!AF93&gt;0,Perf!P22*(Perf!P43+Perf!P44)/Perf_Prod!AF93,0),Perf_Prod!AF93)</f>
        <v>5092093.85576685</v>
      </c>
      <c r="AG95" s="183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997</v>
      </c>
      <c r="B98" s="59" t="s">
        <v>3455</v>
      </c>
      <c r="C98" s="183" t="n">
        <f aca="false">IF(ISNUMBER(Perf_Prod!C95),Perf_Prod!C95*Perf!C25*8760*3600/1000000,Perf_Prod!C95)</f>
        <v>86407975794.7352</v>
      </c>
      <c r="D98" s="183" t="n">
        <f aca="false">IF(ISNUMBER(Perf_Prod!D95),Perf_Prod!D95*Perf!D25*8760*3600/1000000,Perf_Prod!D95)</f>
        <v>26792506585.9425</v>
      </c>
      <c r="E98" s="183" t="n">
        <f aca="false">IF(ISNUMBER(Perf_Prod!E95),Perf_Prod!E95*Perf!E25*8760*3600/1000000,Perf_Prod!E95)</f>
        <v>4922169701.51936</v>
      </c>
      <c r="F98" s="183" t="n">
        <f aca="false">IF(ISNUMBER(Perf_Prod!F95),Perf_Prod!F95*Perf!F25*8760*3600/1000000,Perf_Prod!F95)</f>
        <v>400266165263.125</v>
      </c>
      <c r="G98" s="183" t="n">
        <f aca="false">IF(ISNUMBER(Perf_Prod!G95),Perf_Prod!G95*Perf!G25*8760*3600/1000000,Perf_Prod!G95)</f>
        <v>119458449692.347</v>
      </c>
      <c r="H98" s="183" t="n">
        <f aca="false">IF(ISNUMBER(Perf_Prod!H95),Perf_Prod!H95*Perf!H25*8760*3600/1000000,Perf_Prod!H95)</f>
        <v>23355876543.356</v>
      </c>
      <c r="I98" s="183" t="n">
        <f aca="false">IF(ISNUMBER(Perf_Prod!I95),Perf_Prod!I95*Perf!I25*8760*3600/1000000,Perf_Prod!I95)</f>
        <v>582737912578.515</v>
      </c>
      <c r="J98" s="183" t="n">
        <f aca="false">IF(ISNUMBER(Perf_Prod!J95),Perf_Prod!J95*Perf!J25*8760*3600/1000000,Perf_Prod!J95)</f>
        <v>173916692578.355</v>
      </c>
      <c r="K98" s="183" t="n">
        <f aca="false">IF(ISNUMBER(Perf_Prod!K95),Perf_Prod!K95*Perf!K25*8760*3600/1000000,Perf_Prod!K95)</f>
        <v>30467960042.7945</v>
      </c>
      <c r="L98" s="183" t="n">
        <f aca="false">IF(ISNUMBER(Perf_Prod!L95),Perf_Prod!L95*Perf!L25*8760*3600/1000000,Perf_Prod!L95)</f>
        <v>842649072093.88</v>
      </c>
      <c r="M98" s="183" t="n">
        <f aca="false">IF(ISNUMBER(Perf_Prod!M95),Perf_Prod!M95*Perf!M25*8760*3600/1000000,Perf_Prod!M95)</f>
        <v>262223800714.127</v>
      </c>
      <c r="N98" s="183" t="n">
        <f aca="false">IF(ISNUMBER(Perf_Prod!N95),Perf_Prod!N95*Perf!N25*8760*3600/1000000,Perf_Prod!N95)</f>
        <v>55366124692.1116</v>
      </c>
      <c r="O98" s="183" t="n">
        <f aca="false">IF(ISNUMBER(Perf_Prod!O95),Perf_Prod!O95*Perf!O25*8760*3600/1000000,Perf_Prod!O95)</f>
        <v>1135178323762.64</v>
      </c>
      <c r="P98" s="183" t="n">
        <f aca="false">IF(ISNUMBER(Perf_Prod!P95),Perf_Prod!P95*Perf!P25*8760*3600/1000000,Perf_Prod!P95)</f>
        <v>357423824607.946</v>
      </c>
      <c r="Q98" s="183" t="n">
        <f aca="false">IF(ISNUMBER(Perf_Prod!Q95),Perf_Prod!Q95*Perf!Q25*8760*3600/1000000,Perf_Prod!Q95)</f>
        <v>78738073685.4024</v>
      </c>
      <c r="S98" s="183" t="n">
        <f aca="false">IF(ISNUMBER(Perf_Prod!S95),Perf_Prod!S95*Perf!C25*8760*3600/1000000,Perf_Prod!S95)</f>
        <v>112228240510.472</v>
      </c>
      <c r="T98" s="183" t="n">
        <f aca="false">IF(ISNUMBER(Perf_Prod!T95),Perf_Prod!T95*Perf!D25*8760*3600/1000000,Perf_Prod!T95)</f>
        <v>33634916325.118</v>
      </c>
      <c r="U98" s="183" t="n">
        <f aca="false">IF(ISNUMBER(Perf_Prod!U95),Perf_Prod!U95*Perf!E25*8760*3600/1000000,Perf_Prod!U95)</f>
        <v>6809025705.99183</v>
      </c>
      <c r="V98" s="183" t="n">
        <f aca="false">IF(ISNUMBER(Perf_Prod!V95),Perf_Prod!V95*Perf!F25*8760*3600/1000000,Perf_Prod!V95)</f>
        <v>496729138259.007</v>
      </c>
      <c r="W98" s="183" t="n">
        <f aca="false">IF(ISNUMBER(Perf_Prod!W95),Perf_Prod!W95*Perf!G25*8760*3600/1000000,Perf_Prod!W95)</f>
        <v>145846430710.54</v>
      </c>
      <c r="X98" s="183" t="n">
        <f aca="false">IF(ISNUMBER(Perf_Prod!X95),Perf_Prod!X95*Perf!H25*8760*3600/1000000,Perf_Prod!X95)</f>
        <v>29767762827.5194</v>
      </c>
      <c r="Y98" s="183" t="n">
        <f aca="false">IF(ISNUMBER(Perf_Prod!Y95),Perf_Prod!Y95*Perf!I25*8760*3600/1000000,Perf_Prod!Y95)</f>
        <v>723176042011.176</v>
      </c>
      <c r="Z98" s="183" t="n">
        <f aca="false">IF(ISNUMBER(Perf_Prod!Z95),Perf_Prod!Z95*Perf!J25*8760*3600/1000000,Perf_Prod!Z95)</f>
        <v>212334321421.888</v>
      </c>
      <c r="AA98" s="183" t="n">
        <f aca="false">IF(ISNUMBER(Perf_Prod!AA95),Perf_Prod!AA95*Perf!K25*8760*3600/1000000,Perf_Prod!AA95)</f>
        <v>39257828144.5082</v>
      </c>
      <c r="AB98" s="183" t="n">
        <f aca="false">IF(ISNUMBER(Perf_Prod!AB95),Perf_Prod!AB95*Perf!L25*8760*3600/1000000,Perf_Prod!AB95)</f>
        <v>1043267705667.06</v>
      </c>
      <c r="AC98" s="183" t="n">
        <f aca="false">IF(ISNUMBER(Perf_Prod!AC95),Perf_Prod!AC95*Perf!M25*8760*3600/1000000,Perf_Prod!AC95)</f>
        <v>318984897819.054</v>
      </c>
      <c r="AD98" s="183" t="n">
        <f aca="false">IF(ISNUMBER(Perf_Prod!AD95),Perf_Prod!AD95*Perf!N25*8760*3600/1000000,Perf_Prod!AD95)</f>
        <v>69625193603.6778</v>
      </c>
      <c r="AE98" s="183" t="n">
        <f aca="false">IF(ISNUMBER(Perf_Prod!AE95),Perf_Prod!AE95*Perf!O25*8760*3600/1000000,Perf_Prod!AE95)</f>
        <v>1404587982526.55</v>
      </c>
      <c r="AF98" s="183" t="n">
        <f aca="false">IF(ISNUMBER(Perf_Prod!AF95),Perf_Prod!AF95*Perf!P25*8760*3600/1000000,Perf_Prod!AF95)</f>
        <v>434380455314.928</v>
      </c>
      <c r="AG98" s="183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1002</v>
      </c>
      <c r="B101" s="59" t="s">
        <v>1003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1005</v>
      </c>
      <c r="B103" s="59" t="s">
        <v>1003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3456</v>
      </c>
    </row>
    <row r="2" customFormat="false" ht="15" hidden="false" customHeight="false" outlineLevel="0" collapsed="false">
      <c r="A2" s="65" t="s">
        <v>3457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412</v>
      </c>
      <c r="B50" s="59" t="s">
        <v>136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950</v>
      </c>
      <c r="B51" s="59" t="s">
        <v>131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952</v>
      </c>
      <c r="B53" s="59" t="s">
        <v>131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0.0717245972007665</v>
      </c>
      <c r="G53" s="113" t="n">
        <f aca="false">INDEX(Calib!$C$70:$G$70,Perf_Batch!G$6)*Perf_Batch!G52*Perf_Batch_Prod!G50*INDEX(CAL_BatchEtaD,1,Perf_Batch!G$6)</f>
        <v>0.0717245972007665</v>
      </c>
      <c r="H53" s="113" t="n">
        <f aca="false">INDEX(Calib!$C$70:$G$70,Perf_Batch!H$6)*Perf_Batch!H52*Perf_Batch_Prod!H50*INDEX(CAL_BatchEtaD,1,Perf_Batch!H$6)</f>
        <v>0.0717245972007665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0.0843818790597254</v>
      </c>
      <c r="W53" s="113" t="n">
        <f aca="false">INDEX(Calib!$C$70:$G$70,Perf_Batch!G$6)*Perf_Batch!G52*Perf_Batch_Prod!W50*INDEX(CAL_BatchEtaD,1,Perf_Batch!G$6)</f>
        <v>0.0843818790597254</v>
      </c>
      <c r="X53" s="113" t="n">
        <f aca="false">INDEX(Calib!$C$70:$G$70,Perf_Batch!H$6)*Perf_Batch!H52*Perf_Batch_Prod!X50*INDEX(CAL_BatchEtaD,1,Perf_Batch!H$6)</f>
        <v>0.0843818790597254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954</v>
      </c>
      <c r="B55" s="59" t="s">
        <v>606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971</v>
      </c>
      <c r="B75" s="59" t="s">
        <v>418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1240</v>
      </c>
      <c r="B76" s="59" t="s">
        <v>421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973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975</v>
      </c>
      <c r="B79" s="59" t="s">
        <v>593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976</v>
      </c>
      <c r="B80" s="59" t="s">
        <v>593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0.215921445907822</v>
      </c>
      <c r="G80" s="96" t="n">
        <f aca="false">(Perf_Batch!G47+1)*Perf_Batch!G65/(Perf_Batch!G14*Perf_Batch_Prod!G53)/1000</f>
        <v>0.743464584901311</v>
      </c>
      <c r="H80" s="96" t="n">
        <f aca="false">(Perf_Batch!H47+1)*Perf_Batch!H65/(Perf_Batch!H14*Perf_Batch_Prod!H53)/1000</f>
        <v>2.90590003393944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0.183533229021648</v>
      </c>
      <c r="W80" s="96" t="n">
        <f aca="false">(Perf_Batch!G47+1)*Perf_Batch!G65/(Perf_Batch!G14*Perf_Batch_Prod!W53)/1000</f>
        <v>0.631944897166114</v>
      </c>
      <c r="X80" s="96" t="n">
        <f aca="false">(Perf_Batch!H47+1)*Perf_Batch!H65/(Perf_Batch!H14*Perf_Batch_Prod!X53)/1000</f>
        <v>2.47001502884852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979</v>
      </c>
      <c r="B83" s="59" t="s">
        <v>593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0.215921445907822</v>
      </c>
      <c r="G83" s="96" t="n">
        <f aca="false">MAX(Perf_Batch_Prod!G80,Perf_Batch!G81,Perf_Batch!G82)</f>
        <v>0.743464584901311</v>
      </c>
      <c r="H83" s="96" t="n">
        <f aca="false">MAX(Perf_Batch_Prod!H80,Perf_Batch!H81,Perf_Batch!H82)</f>
        <v>2.90590003393944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0.183533229021648</v>
      </c>
      <c r="W83" s="96" t="n">
        <f aca="false">MAX(Perf_Batch_Prod!W80,Perf_Batch!G81,Perf_Batch!G82)</f>
        <v>0.631944897166114</v>
      </c>
      <c r="X83" s="96" t="n">
        <f aca="false">MAX(Perf_Batch_Prod!X80,Perf_Batch!H81,Perf_Batch!H82)</f>
        <v>2.47001502884852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981</v>
      </c>
      <c r="B85" s="65" t="s">
        <v>3454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540.189032328358</v>
      </c>
      <c r="G85" s="98" t="n">
        <f aca="false">(1000*Perf_Batch!G49/Perf_Batch!G41-Perf_Batch_Prod!G79)/Perf_Batch_Prod!G83</f>
        <v>145.94898376205</v>
      </c>
      <c r="H85" s="98" t="n">
        <f aca="false">(1000*Perf_Batch!H49/Perf_Batch!H41-Perf_Batch_Prod!H79)/Perf_Batch_Prod!H83</f>
        <v>32.9951189645649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642.64571183456</v>
      </c>
      <c r="W85" s="98" t="n">
        <f aca="false">(1000*Perf_Batch!G49/Perf_Batch!G41-Perf_Batch_Prod!W79)/Perf_Batch_Prod!W83</f>
        <v>174.585390745362</v>
      </c>
      <c r="X85" s="98" t="n">
        <f aca="false">(1000*Perf_Batch!H49/Perf_Batch!H41-Perf_Batch_Prod!X79)/Perf_Batch_Prod!X83</f>
        <v>40.0039257748446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983</v>
      </c>
      <c r="B87" s="65" t="s">
        <v>3454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540.189032328358</v>
      </c>
      <c r="G87" s="164" t="n">
        <f aca="false">MAX(0,MIN(Perf_Batch_Prod!G85,Perf_Batch!G86))</f>
        <v>145.94898376205</v>
      </c>
      <c r="H87" s="164" t="n">
        <f aca="false">MAX(0,MIN(Perf_Batch_Prod!H85,Perf_Batch!H86))</f>
        <v>32.9951189645649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642.64571183456</v>
      </c>
      <c r="W87" s="164" t="n">
        <f aca="false">MAX(0,MIN(Perf_Batch_Prod!W85,Perf_Batch!G86))</f>
        <v>174.585390745362</v>
      </c>
      <c r="X87" s="164" t="n">
        <f aca="false">MAX(0,MIN(Perf_Batch_Prod!X85,Perf_Batch!H86))</f>
        <v>40.0039257748446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984</v>
      </c>
      <c r="B88" s="59" t="s">
        <v>418</v>
      </c>
      <c r="C88" s="183" t="n">
        <f aca="false">IF(Perf_Batch_Prod!C87&gt;0,Perf_Batch_Prod!C87*Perf_Batch!C49/((Perf_Batch_Prod!C79+Perf_Batch_Prod!C87*Perf_Batch_Prod!C83)/1000),0)</f>
        <v>1031.34310467374</v>
      </c>
      <c r="D88" s="183" t="n">
        <f aca="false">IF(Perf_Batch_Prod!D87&gt;0,Perf_Batch_Prod!D87*Perf_Batch!D49/((Perf_Batch_Prod!D79+Perf_Batch_Prod!D87*Perf_Batch_Prod!D83)/1000),0)</f>
        <v>265.421633696737</v>
      </c>
      <c r="E88" s="183" t="n">
        <f aca="false">IF(Perf_Batch_Prod!E87&gt;0,Perf_Batch_Prod!E87*Perf_Batch!E49/((Perf_Batch_Prod!E79+Perf_Batch_Prod!E87*Perf_Batch_Prod!E83)/1000),0)</f>
        <v>58.9681488443982</v>
      </c>
      <c r="F88" s="183" t="n">
        <f aca="false">IF(Perf_Batch_Prod!F87&gt;0,Perf_Batch_Prod!F87*Perf_Batch!F49/((Perf_Batch_Prod!F79+Perf_Batch_Prod!F87*Perf_Batch_Prod!F83)/1000),0)</f>
        <v>10803.7806465671</v>
      </c>
      <c r="G88" s="183" t="n">
        <f aca="false">IF(Perf_Batch_Prod!G87&gt;0,Perf_Batch_Prod!G87*Perf_Batch!G49/((Perf_Batch_Prod!G79+Perf_Batch_Prod!G87*Perf_Batch_Prod!G83)/1000),0)</f>
        <v>2918.979675241</v>
      </c>
      <c r="H88" s="183" t="n">
        <f aca="false">IF(Perf_Batch_Prod!H87&gt;0,Perf_Batch_Prod!H87*Perf_Batch!H49/((Perf_Batch_Prod!H79+Perf_Batch_Prod!H87*Perf_Batch_Prod!H83)/1000),0)</f>
        <v>659.902379291298</v>
      </c>
      <c r="I88" s="183" t="n">
        <f aca="false">IF(Perf_Batch_Prod!I87&gt;0,Perf_Batch_Prod!I87*Perf_Batch!I49/((Perf_Batch_Prod!I79+Perf_Batch_Prod!I87*Perf_Batch_Prod!I83)/1000),0)</f>
        <v>6866.8097329876</v>
      </c>
      <c r="J88" s="183" t="n">
        <f aca="false">IF(Perf_Batch_Prod!J87&gt;0,Perf_Batch_Prod!J87*Perf_Batch!J49/((Perf_Batch_Prod!J79+Perf_Batch_Prod!J87*Perf_Batch_Prod!J83)/1000),0)</f>
        <v>1855.28369189047</v>
      </c>
      <c r="K88" s="183" t="n">
        <f aca="false">IF(Perf_Batch_Prod!K87&gt;0,Perf_Batch_Prod!K87*Perf_Batch!K49/((Perf_Batch_Prod!K79+Perf_Batch_Prod!K87*Perf_Batch_Prod!K83)/1000),0)</f>
        <v>403.778835768406</v>
      </c>
      <c r="L88" s="183" t="n">
        <f aca="false">IF(Perf_Batch_Prod!L87&gt;0,Perf_Batch_Prod!L87*Perf_Batch!L49/((Perf_Batch_Prod!L79+Perf_Batch_Prod!L87*Perf_Batch_Prod!L83)/1000),0)</f>
        <v>12101.4032239796</v>
      </c>
      <c r="M88" s="183" t="n">
        <f aca="false">IF(Perf_Batch_Prod!M87&gt;0,Perf_Batch_Prod!M87*Perf_Batch!M49/((Perf_Batch_Prod!M79+Perf_Batch_Prod!M87*Perf_Batch_Prod!M83)/1000),0)</f>
        <v>3361.1034268649</v>
      </c>
      <c r="N88" s="183" t="n">
        <f aca="false">IF(Perf_Batch_Prod!N87&gt;0,Perf_Batch_Prod!N87*Perf_Batch!N49/((Perf_Batch_Prod!N79+Perf_Batch_Prod!N87*Perf_Batch_Prod!N83)/1000),0)</f>
        <v>778.787285177779</v>
      </c>
      <c r="O88" s="183" t="n">
        <f aca="false">IF(Perf_Batch_Prod!O87&gt;0,Perf_Batch_Prod!O87*Perf_Batch!O49/((Perf_Batch_Prod!O79+Perf_Batch_Prod!O87*Perf_Batch_Prod!O83)/1000),0)</f>
        <v>32331.6621750656</v>
      </c>
      <c r="P88" s="183" t="n">
        <f aca="false">IF(Perf_Batch_Prod!P87&gt;0,Perf_Batch_Prod!P87*Perf_Batch!P49/((Perf_Batch_Prod!P79+Perf_Batch_Prod!P87*Perf_Batch_Prod!P83)/1000),0)</f>
        <v>9052.01832803705</v>
      </c>
      <c r="Q88" s="183" t="n">
        <f aca="false">IF(Perf_Batch_Prod!Q87&gt;0,Perf_Batch_Prod!Q87*Perf_Batch!Q49/((Perf_Batch_Prod!Q79+Perf_Batch_Prod!Q87*Perf_Batch_Prod!Q83)/1000),0)</f>
        <v>2133.28753529883</v>
      </c>
      <c r="S88" s="183" t="n">
        <f aca="false">IF(Perf_Batch_Prod!S87&gt;0,Perf_Batch_Prod!S87*Perf_Batch!C49/((Perf_Batch_Prod!S79+Perf_Batch_Prod!S87*Perf_Batch_Prod!S83)/1000),0)</f>
        <v>1234.86656435438</v>
      </c>
      <c r="T88" s="183" t="n">
        <f aca="false">IF(Perf_Batch_Prod!T87&gt;0,Perf_Batch_Prod!T87*Perf_Batch!D49/((Perf_Batch_Prod!T79+Perf_Batch_Prod!T87*Perf_Batch_Prod!T83)/1000),0)</f>
        <v>320.957053719974</v>
      </c>
      <c r="U88" s="183" t="n">
        <f aca="false">IF(Perf_Batch_Prod!U87&gt;0,Perf_Batch_Prod!U87*Perf_Batch!E49/((Perf_Batch_Prod!U79+Perf_Batch_Prod!U87*Perf_Batch_Prod!U83)/1000),0)</f>
        <v>72.9550245231261</v>
      </c>
      <c r="V88" s="183" t="n">
        <f aca="false">IF(Perf_Batch_Prod!V87&gt;0,Perf_Batch_Prod!V87*Perf_Batch!F49/((Perf_Batch_Prod!V79+Perf_Batch_Prod!V87*Perf_Batch_Prod!V83)/1000),0)</f>
        <v>12852.9142366912</v>
      </c>
      <c r="W88" s="183" t="n">
        <f aca="false">IF(Perf_Batch_Prod!W87&gt;0,Perf_Batch_Prod!W87*Perf_Batch!G49/((Perf_Batch_Prod!W79+Perf_Batch_Prod!W87*Perf_Batch_Prod!W83)/1000),0)</f>
        <v>3491.70781490724</v>
      </c>
      <c r="X88" s="183" t="n">
        <f aca="false">IF(Perf_Batch_Prod!X87&gt;0,Perf_Batch_Prod!X87*Perf_Batch!H49/((Perf_Batch_Prod!X79+Perf_Batch_Prod!X87*Perf_Batch_Prod!X83)/1000),0)</f>
        <v>800.078515496892</v>
      </c>
      <c r="Y88" s="183" t="n">
        <f aca="false">IF(Perf_Batch_Prod!Y87&gt;0,Perf_Batch_Prod!Y87*Perf_Batch!I49/((Perf_Batch_Prod!Y79+Perf_Batch_Prod!Y87*Perf_Batch_Prod!Y83)/1000),0)</f>
        <v>8169.22515043932</v>
      </c>
      <c r="Z88" s="183" t="n">
        <f aca="false">IF(Perf_Batch_Prod!Z87&gt;0,Perf_Batch_Prod!Z87*Perf_Batch!J49/((Perf_Batch_Prod!Z79+Perf_Batch_Prod!Z87*Perf_Batch_Prod!Z83)/1000),0)</f>
        <v>2219.30581455969</v>
      </c>
      <c r="AA88" s="183" t="n">
        <f aca="false">IF(Perf_Batch_Prod!AA87&gt;0,Perf_Batch_Prod!AA87*Perf_Batch!K49/((Perf_Batch_Prod!AA79+Perf_Batch_Prod!AA87*Perf_Batch_Prod!AA83)/1000),0)</f>
        <v>490.111959489046</v>
      </c>
      <c r="AB88" s="183" t="n">
        <f aca="false">IF(Perf_Batch_Prod!AB87&gt;0,Perf_Batch_Prod!AB87*Perf_Batch!L49/((Perf_Batch_Prod!AB79+Perf_Batch_Prod!AB87*Perf_Batch_Prod!AB83)/1000),0)</f>
        <v>14395.539532388</v>
      </c>
      <c r="AC88" s="183" t="n">
        <f aca="false">IF(Perf_Batch_Prod!AC87&gt;0,Perf_Batch_Prod!AC87*Perf_Batch!M49/((Perf_Batch_Prod!AC79+Perf_Batch_Prod!AC87*Perf_Batch_Prod!AC83)/1000),0)</f>
        <v>4018.32278260485</v>
      </c>
      <c r="AD88" s="183" t="n">
        <f aca="false">IF(Perf_Batch_Prod!AD87&gt;0,Perf_Batch_Prod!AD87*Perf_Batch!N49/((Perf_Batch_Prod!AD79+Perf_Batch_Prod!AD87*Perf_Batch_Prod!AD83)/1000),0)</f>
        <v>942.606896850618</v>
      </c>
      <c r="AE88" s="183" t="n">
        <f aca="false">IF(Perf_Batch_Prod!AE87&gt;0,Perf_Batch_Prod!AE87*Perf_Batch!O49/((Perf_Batch_Prod!AE79+Perf_Batch_Prod!AE87*Perf_Batch_Prod!AE83)/1000),0)</f>
        <v>38460.1684523914</v>
      </c>
      <c r="AF88" s="183" t="n">
        <f aca="false">IF(Perf_Batch_Prod!AF87&gt;0,Perf_Batch_Prod!AF87*Perf_Batch!P49/((Perf_Batch_Prod!AF79+Perf_Batch_Prod!AF87*Perf_Batch_Prod!AF83)/1000),0)</f>
        <v>10820.3225454529</v>
      </c>
      <c r="AG88" s="183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1002</v>
      </c>
      <c r="B101" s="59" t="s">
        <v>1003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1005</v>
      </c>
      <c r="B103" s="59" t="s">
        <v>1003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92.5601909844167</v>
      </c>
      <c r="G103" s="98" t="n">
        <f aca="false">IF(ISNUMBER(Perf_Batch_Prod!G88),IF(Perf_Batch_Prod!G88&gt;0,IF(Perf_Batch_Prod!G77="是",1000000/Perf_Batch_Prod!G88,"TTFT 不可達"),"SLO 不可達"),"SLO 不可達")</f>
        <v>342.585461790664</v>
      </c>
      <c r="H103" s="98" t="n">
        <f aca="false">IF(ISNUMBER(Perf_Batch_Prod!H88),IF(Perf_Batch_Prod!H88&gt;0,IF(Perf_Batch_Prod!H77="是",1000000/Perf_Batch_Prod!H88,"TTFT 不可達"),"SLO 不可達"),"SLO 不可達")</f>
        <v>1515.37565461417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77.8033667372729</v>
      </c>
      <c r="W103" s="98" t="n">
        <f aca="false">IF(ISNUMBER(Perf_Batch_Prod!W88),IF(Perf_Batch_Prod!W88&gt;0,IF(Perf_Batch_Prod!W77="是",1000000/Perf_Batch_Prod!W88,"TTFT 不可達"),"SLO 不可達"),"SLO 不可達")</f>
        <v>286.392806331238</v>
      </c>
      <c r="X103" s="98" t="n">
        <f aca="false">IF(ISNUMBER(Perf_Batch_Prod!X88),IF(Perf_Batch_Prod!X88&gt;0,IF(Perf_Batch_Prod!X77="是",1000000/Perf_Batch_Prod!X88,"TTFT 不可達"),"SLO 不可達"),"SLO 不可達")</f>
        <v>1249.87733157532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3458</v>
      </c>
    </row>
    <row r="2" customFormat="false" ht="15" hidden="false" customHeight="false" outlineLevel="0" collapsed="false">
      <c r="A2" s="65" t="s">
        <v>3459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1315</v>
      </c>
      <c r="B59" s="59" t="s">
        <v>1003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92.5601909844167</v>
      </c>
      <c r="G59" s="98" t="n">
        <f aca="false">INDEX(Perf_Batch_Prod!$C$103:$Q$103,3*(Training!G$6-1)+Training!G$7)</f>
        <v>342.585461790664</v>
      </c>
      <c r="H59" s="98" t="n">
        <f aca="false">INDEX(Perf_Batch_Prod!$C$103:$Q$103,3*(Training!H$6-1)+Training!H$7)</f>
        <v>1515.37565461417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77.8033667372729</v>
      </c>
      <c r="W59" s="98" t="n">
        <f aca="false">INDEX(Perf_Batch_Prod!$S$103:$AG$103,3*(Training!G$6-1)+Training!G$7)</f>
        <v>286.392806331238</v>
      </c>
      <c r="X59" s="98" t="n">
        <f aca="false">INDEX(Perf_Batch_Prod!$S$103:$AG$103,3*(Training!H$6-1)+Training!H$7)</f>
        <v>1249.87733157532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1316</v>
      </c>
      <c r="B60" s="59" t="s">
        <v>1003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1321</v>
      </c>
      <c r="B65" s="59" t="s">
        <v>1297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1332</v>
      </c>
      <c r="B75" s="59" t="s">
        <v>1297</v>
      </c>
      <c r="C75" s="183" t="n">
        <f aca="false">IF(AND(ISNUMBER(Training_Prod!C65)),Training_Prod!C65+Training!C72+Training!C74,"SLO 不可達")</f>
        <v>1177914.87057968</v>
      </c>
      <c r="D75" s="183" t="n">
        <f aca="false">IF(AND(ISNUMBER(Training_Prod!D65)),Training_Prod!D65+Training!D72+Training!D74,"SLO 不可達")</f>
        <v>4387432.71000385</v>
      </c>
      <c r="E75" s="183" t="n">
        <f aca="false">IF(AND(ISNUMBER(Training_Prod!E65)),Training_Prod!E65+Training!E72+Training!E74,"SLO 不可達")</f>
        <v>74953595.3737775</v>
      </c>
      <c r="F75" s="183" t="n">
        <f aca="false">IF(AND(ISNUMBER(Training_Prod!F65)),Training_Prod!F65+Training!F72+Training!F74,"SLO 不可達")</f>
        <v>240707.794977252</v>
      </c>
      <c r="G75" s="183" t="n">
        <f aca="false">IF(AND(ISNUMBER(Training_Prod!G65)),Training_Prod!G65+Training!G72+Training!G74,"SLO 不可達")</f>
        <v>846944.982911802</v>
      </c>
      <c r="H75" s="183" t="n">
        <f aca="false">IF(AND(ISNUMBER(Training_Prod!H65)),Training_Prod!H65+Training!H72+Training!H74,"SLO 不可達")</f>
        <v>13316992.2498807</v>
      </c>
      <c r="I75" s="183" t="n">
        <f aca="false">IF(AND(ISNUMBER(Training_Prod!I65)),Training_Prod!I65+Training!I72+Training!I74,"SLO 不可達")</f>
        <v>281534.155427727</v>
      </c>
      <c r="J75" s="183" t="n">
        <f aca="false">IF(AND(ISNUMBER(Training_Prod!J65)),Training_Prod!J65+Training!J72+Training!J74,"SLO 不可達")</f>
        <v>998014.590856352</v>
      </c>
      <c r="K75" s="183" t="n">
        <f aca="false">IF(AND(ISNUMBER(Training_Prod!K65)),Training_Prod!K65+Training!K72+Training!K74,"SLO 不可達")</f>
        <v>16327478.7808241</v>
      </c>
      <c r="L75" s="183" t="n">
        <f aca="false">IF(AND(ISNUMBER(Training_Prod!L65)),Training_Prod!L65+Training!L72+Training!L74,"SLO 不可達")</f>
        <v>117474.768401351</v>
      </c>
      <c r="M75" s="183" t="n">
        <f aca="false">IF(AND(ISNUMBER(Training_Prod!M65)),Training_Prod!M65+Training!M72+Training!M74,"SLO 不可達")</f>
        <v>414414.692289046</v>
      </c>
      <c r="N75" s="183" t="n">
        <f aca="false">IF(AND(ISNUMBER(Training_Prod!N65)),Training_Prod!N65+Training!N72+Training!N74,"SLO 不可達")</f>
        <v>6746268.55253112</v>
      </c>
      <c r="O75" s="183" t="n">
        <f aca="false">IF(AND(ISNUMBER(Training_Prod!O65)),Training_Prod!O65+Training!O72+Training!O74,"SLO 不可達")</f>
        <v>50725.6555434733</v>
      </c>
      <c r="P75" s="183" t="n">
        <f aca="false">IF(AND(ISNUMBER(Training_Prod!P65)),Training_Prod!P65+Training!P72+Training!P74,"SLO 不可達")</f>
        <v>177677.984449426</v>
      </c>
      <c r="Q75" s="183" t="n">
        <f aca="false">IF(AND(ISNUMBER(Training_Prod!Q65)),Training_Prod!Q65+Training!Q72+Training!Q74,"SLO 不可達")</f>
        <v>2829561.65694583</v>
      </c>
      <c r="S75" s="183" t="n">
        <f aca="false">IF(AND(ISNUMBER(Training_Prod!S65)),Training_Prod!S65+Training!C72+Training!C74,"SLO 不可達")</f>
        <v>1054203.20797403</v>
      </c>
      <c r="T75" s="183" t="n">
        <f aca="false">IF(AND(ISNUMBER(Training_Prod!T65)),Training_Prod!T65+Training!D72+Training!D74,"SLO 不可達")</f>
        <v>3882768.0044086</v>
      </c>
      <c r="U75" s="183" t="n">
        <f aca="false">IF(AND(ISNUMBER(Training_Prod!U65)),Training_Prod!U65+Training!E72+Training!E74,"SLO 不可達")</f>
        <v>64730310.5371774</v>
      </c>
      <c r="V75" s="183" t="n">
        <f aca="false">IF(AND(ISNUMBER(Training_Prod!V65)),Training_Prod!V65+Training!F72+Training!F74,"SLO 不可達")</f>
        <v>229280.913941452</v>
      </c>
      <c r="W75" s="183" t="n">
        <f aca="false">IF(AND(ISNUMBER(Training_Prod!W65)),Training_Prod!W65+Training!G72+Training!G74,"SLO 不可達")</f>
        <v>803420.390519744</v>
      </c>
      <c r="X75" s="183" t="n">
        <f aca="false">IF(AND(ISNUMBER(Training_Prod!X65)),Training_Prod!X65+Training!H72+Training!H74,"SLO 不可達")</f>
        <v>12481747.9992951</v>
      </c>
      <c r="Y75" s="183" t="n">
        <f aca="false">IF(AND(ISNUMBER(Training_Prod!Y65)),Training_Prod!Y65+Training!I72+Training!I74,"SLO 不可達")</f>
        <v>263597.388745117</v>
      </c>
      <c r="Z75" s="183" t="n">
        <f aca="false">IF(AND(ISNUMBER(Training_Prod!Z65)),Training_Prod!Z65+Training!J72+Training!J74,"SLO 不可達")</f>
        <v>929704.961295945</v>
      </c>
      <c r="AA75" s="183" t="n">
        <f aca="false">IF(AND(ISNUMBER(Training_Prod!AA65)),Training_Prod!AA65+Training!K72+Training!K74,"SLO 不可達")</f>
        <v>14957302.4707143</v>
      </c>
      <c r="AB75" s="183" t="n">
        <f aca="false">IF(AND(ISNUMBER(Training_Prod!AB65)),Training_Prod!AB65+Training!L72+Training!L74,"SLO 不可達")</f>
        <v>107305.134642035</v>
      </c>
      <c r="AC75" s="183" t="n">
        <f aca="false">IF(AND(ISNUMBER(Training_Prod!AC65)),Training_Prod!AC65+Training!M72+Training!M74,"SLO 不可達")</f>
        <v>376831.791251579</v>
      </c>
      <c r="AD75" s="183" t="n">
        <f aca="false">IF(AND(ISNUMBER(Training_Prod!AD65)),Training_Prod!AD65+Training!N72+Training!N74,"SLO 不可達")</f>
        <v>6045499.10516714</v>
      </c>
      <c r="AE75" s="183" t="n">
        <f aca="false">IF(AND(ISNUMBER(Training_Prod!AE65)),Training_Prod!AE65+Training!O72+Training!O74,"SLO 不可達")</f>
        <v>46918.0414223073</v>
      </c>
      <c r="AF75" s="183" t="n">
        <f aca="false">IF(AND(ISNUMBER(Training_Prod!AF65)),Training_Prod!AF65+Training!P72+Training!P74,"SLO 不可達")</f>
        <v>163727.413365684</v>
      </c>
      <c r="AG75" s="183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1343</v>
      </c>
      <c r="B84" s="59" t="s">
        <v>1003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1345</v>
      </c>
      <c r="B86" s="59" t="s">
        <v>1297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1346</v>
      </c>
      <c r="B87" s="59" t="s">
        <v>1297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1349</v>
      </c>
      <c r="B90" s="59" t="s">
        <v>1297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1354</v>
      </c>
      <c r="B95" s="59" t="s">
        <v>1003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1515.37565461417</v>
      </c>
      <c r="G95" s="98" t="n">
        <f aca="false">INDEX(Perf_Batch_Prod!$C$103:$Q$103,3*(Training!G$6-1)+Training!G94)</f>
        <v>1515.37565461417</v>
      </c>
      <c r="H95" s="98" t="n">
        <f aca="false">INDEX(Perf_Batch_Prod!$C$103:$Q$103,3*(Training!H$6-1)+Training!H94)</f>
        <v>1515.37565461417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1249.87733157532</v>
      </c>
      <c r="W95" s="98" t="n">
        <f aca="false">INDEX(Perf_Batch_Prod!$S$103:$AG$103,3*(Training!G$6-1)+Training!G94)</f>
        <v>1249.87733157532</v>
      </c>
      <c r="X95" s="98" t="n">
        <f aca="false">INDEX(Perf_Batch_Prod!$S$103:$AG$103,3*(Training!H$6-1)+Training!H94)</f>
        <v>1249.87733157532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1356</v>
      </c>
      <c r="B97" s="59" t="s">
        <v>1297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1359</v>
      </c>
      <c r="B100" s="59" t="s">
        <v>1297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1363</v>
      </c>
      <c r="B104" s="59" t="s">
        <v>1297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1364</v>
      </c>
      <c r="B105" s="59" t="s">
        <v>1297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1365</v>
      </c>
      <c r="B106" s="59" t="s">
        <v>1297</v>
      </c>
      <c r="C106" s="183" t="n">
        <f aca="false">IF(AND(ISNUMBER(Training_Prod!C104),ISNUMBER(Training_Prod!C105)),Training!C103+Training_Prod!C104+Training_Prod!C105,"SLO 不可達")</f>
        <v>8331835.06461192</v>
      </c>
      <c r="D106" s="183" t="n">
        <f aca="false">IF(AND(ISNUMBER(Training_Prod!D104),ISNUMBER(Training_Prod!D105)),Training!D103+Training_Prod!D104+Training_Prod!D105,"SLO 不可達")</f>
        <v>22621129.1188858</v>
      </c>
      <c r="E106" s="183" t="n">
        <f aca="false">IF(AND(ISNUMBER(Training_Prod!E104),ISNUMBER(Training_Prod!E105)),Training!E103+Training_Prod!E104+Training_Prod!E105,"SLO 不可達")</f>
        <v>136579116.213744</v>
      </c>
      <c r="F106" s="183" t="n">
        <f aca="false">IF(AND(ISNUMBER(Training_Prod!F104),ISNUMBER(Training_Prod!F105)),Training!F103+Training_Prod!F104+Training_Prod!F105,"SLO 不可達")</f>
        <v>1604874.75754108</v>
      </c>
      <c r="G106" s="183" t="n">
        <f aca="false">IF(AND(ISNUMBER(Training_Prod!G104),ISNUMBER(Training_Prod!G105)),Training!G103+Training_Prod!G104+Training_Prod!G105,"SLO 不可達")</f>
        <v>5072843.90882997</v>
      </c>
      <c r="H106" s="183" t="n">
        <f aca="false">IF(AND(ISNUMBER(Training_Prod!H104),ISNUMBER(Training_Prod!H105)),Training!H103+Training_Prod!H104+Training_Prod!H105,"SLO 不可達")</f>
        <v>32854494.744636</v>
      </c>
      <c r="I106" s="183" t="n">
        <f aca="false">IF(AND(ISNUMBER(Training_Prod!I104),ISNUMBER(Training_Prod!I105)),Training!I103+Training_Prod!I104+Training_Prod!I105,"SLO 不可達")</f>
        <v>1916120.19054511</v>
      </c>
      <c r="J106" s="183" t="n">
        <f aca="false">IF(AND(ISNUMBER(Training_Prod!J104),ISNUMBER(Training_Prod!J105)),Training!J103+Training_Prod!J104+Training_Prod!J105,"SLO 不可達")</f>
        <v>5772061.76696223</v>
      </c>
      <c r="K106" s="183" t="n">
        <f aca="false">IF(AND(ISNUMBER(Training_Prod!K104),ISNUMBER(Training_Prod!K105)),Training!K103+Training_Prod!K104+Training_Prod!K105,"SLO 不可達")</f>
        <v>36751170.23555</v>
      </c>
      <c r="L106" s="183" t="n">
        <f aca="false">IF(AND(ISNUMBER(Training_Prod!L104),ISNUMBER(Training_Prod!L105)),Training!L103+Training_Prod!L104+Training_Prod!L105,"SLO 不可達")</f>
        <v>777335.314438309</v>
      </c>
      <c r="M106" s="183" t="n">
        <f aca="false">IF(AND(ISNUMBER(Training_Prod!M104),ISNUMBER(Training_Prod!M105)),Training!M103+Training_Prod!M104+Training_Prod!M105,"SLO 不可達")</f>
        <v>2216890.49599468</v>
      </c>
      <c r="N106" s="183" t="n">
        <f aca="false">IF(AND(ISNUMBER(Training_Prod!N104),ISNUMBER(Training_Prod!N105)),Training!N103+Training_Prod!N104+Training_Prod!N105,"SLO 不可達")</f>
        <v>13692168.7202768</v>
      </c>
      <c r="O106" s="183" t="n">
        <f aca="false">IF(AND(ISNUMBER(Training_Prod!O104),ISNUMBER(Training_Prod!O105)),Training!O103+Training_Prod!O104+Training_Prod!O105,"SLO 不可達")</f>
        <v>331790.431232589</v>
      </c>
      <c r="P106" s="183" t="n">
        <f aca="false">IF(AND(ISNUMBER(Training_Prod!P104),ISNUMBER(Training_Prod!P105)),Training!P103+Training_Prod!P104+Training_Prod!P105,"SLO 不可達")</f>
        <v>979623.967925788</v>
      </c>
      <c r="Q106" s="183" t="n">
        <f aca="false">IF(AND(ISNUMBER(Training_Prod!Q104),ISNUMBER(Training_Prod!Q105)),Training!Q103+Training_Prod!Q104+Training_Prod!Q105,"SLO 不可達")</f>
        <v>6141987.95167579</v>
      </c>
      <c r="S106" s="183" t="n">
        <f aca="false">IF(AND(ISNUMBER(Training_Prod!S104),ISNUMBER(Training_Prod!S105)),Training!C103+Training_Prod!S104+Training_Prod!S105,"SLO 不可達")</f>
        <v>7292069.45600863</v>
      </c>
      <c r="T106" s="183" t="n">
        <f aca="false">IF(AND(ISNUMBER(Training_Prod!T104),ISNUMBER(Training_Prod!T105)),Training!D103+Training_Prod!T104+Training_Prod!T105,"SLO 不可達")</f>
        <v>20252042.4874034</v>
      </c>
      <c r="U106" s="183" t="n">
        <f aca="false">IF(AND(ISNUMBER(Training_Prod!U104),ISNUMBER(Training_Prod!U105)),Training!E103+Training_Prod!U104+Training_Prod!U105,"SLO 不可達")</f>
        <v>123323821.116157</v>
      </c>
      <c r="V106" s="183" t="n">
        <f aca="false">IF(AND(ISNUMBER(Training_Prod!V104),ISNUMBER(Training_Prod!V105)),Training!F103+Training_Prod!V104+Training_Prod!V105,"SLO 不可達")</f>
        <v>1518493.4992289</v>
      </c>
      <c r="W106" s="183" t="n">
        <f aca="false">IF(AND(ISNUMBER(Training_Prod!W104),ISNUMBER(Training_Prod!W105)),Training!G103+Training_Prod!W104+Training_Prod!W105,"SLO 不可達")</f>
        <v>4876722.34219832</v>
      </c>
      <c r="X106" s="183" t="n">
        <f aca="false">IF(AND(ISNUMBER(Training_Prod!X104),ISNUMBER(Training_Prod!X105)),Training!H103+Training_Prod!X104+Training_Prod!X105,"SLO 不可達")</f>
        <v>31771312.021635</v>
      </c>
      <c r="Y106" s="183" t="n">
        <f aca="false">IF(AND(ISNUMBER(Training_Prod!Y104),ISNUMBER(Training_Prod!Y105)),Training!I103+Training_Prod!Y104+Training_Prod!Y105,"SLO 不可達")</f>
        <v>1775249.94775683</v>
      </c>
      <c r="Z106" s="183" t="n">
        <f aca="false">IF(AND(ISNUMBER(Training_Prod!Z104),ISNUMBER(Training_Prod!Z105)),Training!J103+Training_Prod!Z104+Training_Prod!Z105,"SLO 不可達")</f>
        <v>5453953.11066573</v>
      </c>
      <c r="AA106" s="183" t="n">
        <f aca="false">IF(AND(ISNUMBER(Training_Prod!AA104),ISNUMBER(Training_Prod!AA105)),Training!K103+Training_Prod!AA104+Training_Prod!AA105,"SLO 不可達")</f>
        <v>34975510.1307514</v>
      </c>
      <c r="AB106" s="183" t="n">
        <f aca="false">IF(AND(ISNUMBER(Training_Prod!AB104),ISNUMBER(Training_Prod!AB105)),Training!L103+Training_Prod!AB104+Training_Prod!AB105,"SLO 不可達")</f>
        <v>704197.648874947</v>
      </c>
      <c r="AC106" s="183" t="n">
        <f aca="false">IF(AND(ISNUMBER(Training_Prod!AC104),ISNUMBER(Training_Prod!AC105)),Training!M103+Training_Prod!AC104+Training_Prod!AC105,"SLO 不可達")</f>
        <v>2051289.25958755</v>
      </c>
      <c r="AD106" s="183" t="n">
        <f aca="false">IF(AND(ISNUMBER(Training_Prod!AD104),ISNUMBER(Training_Prod!AD105)),Training!N103+Training_Prod!AD104+Training_Prod!AD105,"SLO 不可達")</f>
        <v>12784087.465584</v>
      </c>
      <c r="AE106" s="183" t="n">
        <f aca="false">IF(AND(ISNUMBER(Training_Prod!AE104),ISNUMBER(Training_Prod!AE105)),Training!O103+Training_Prod!AE104+Training_Prod!AE105,"SLO 不可達")</f>
        <v>305060.599619606</v>
      </c>
      <c r="AF106" s="183" t="n">
        <f aca="false">IF(AND(ISNUMBER(Training_Prod!AF104),ISNUMBER(Training_Prod!AF105)),Training!P103+Training_Prod!AF104+Training_Prod!AF105,"SLO 不可達")</f>
        <v>919050.37142924</v>
      </c>
      <c r="AG106" s="183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1383</v>
      </c>
      <c r="B120" s="59" t="s">
        <v>1297</v>
      </c>
      <c r="C120" s="183" t="n">
        <f aca="false">IF(AND(ISNUMBER(Training_Prod!C106)),Training_Prod!C106*Training!C119,"SLO 不可達")</f>
        <v>66654680.5168953</v>
      </c>
      <c r="D120" s="183" t="n">
        <f aca="false">IF(AND(ISNUMBER(Training_Prod!D106)),Training_Prod!D106*Training!D119,"SLO 不可達")</f>
        <v>180969032.951087</v>
      </c>
      <c r="E120" s="183" t="n">
        <f aca="false">IF(AND(ISNUMBER(Training_Prod!E106)),Training_Prod!E106*Training!E119,"SLO 不可達")</f>
        <v>1092632929.70995</v>
      </c>
      <c r="F120" s="183" t="n">
        <f aca="false">IF(AND(ISNUMBER(Training_Prod!F106)),Training_Prod!F106*Training!F119,"SLO 不可達")</f>
        <v>12838998.0603286</v>
      </c>
      <c r="G120" s="183" t="n">
        <f aca="false">IF(AND(ISNUMBER(Training_Prod!G106)),Training_Prod!G106*Training!G119,"SLO 不可達")</f>
        <v>40582751.2706397</v>
      </c>
      <c r="H120" s="183" t="n">
        <f aca="false">IF(AND(ISNUMBER(Training_Prod!H106)),Training_Prod!H106*Training!H119,"SLO 不可達")</f>
        <v>262835957.957088</v>
      </c>
      <c r="I120" s="183" t="n">
        <f aca="false">IF(AND(ISNUMBER(Training_Prod!I106)),Training_Prod!I106*Training!I119,"SLO 不可達")</f>
        <v>15328961.5243609</v>
      </c>
      <c r="J120" s="183" t="n">
        <f aca="false">IF(AND(ISNUMBER(Training_Prod!J106)),Training_Prod!J106*Training!J119,"SLO 不可達")</f>
        <v>46176494.1356978</v>
      </c>
      <c r="K120" s="183" t="n">
        <f aca="false">IF(AND(ISNUMBER(Training_Prod!K106)),Training_Prod!K106*Training!K119,"SLO 不可達")</f>
        <v>294009361.8844</v>
      </c>
      <c r="L120" s="183" t="n">
        <f aca="false">IF(AND(ISNUMBER(Training_Prod!L106)),Training_Prod!L106*Training!L119,"SLO 不可達")</f>
        <v>6218682.51550648</v>
      </c>
      <c r="M120" s="183" t="n">
        <f aca="false">IF(AND(ISNUMBER(Training_Prod!M106)),Training_Prod!M106*Training!M119,"SLO 不可達")</f>
        <v>17735123.9679574</v>
      </c>
      <c r="N120" s="183" t="n">
        <f aca="false">IF(AND(ISNUMBER(Training_Prod!N106)),Training_Prod!N106*Training!N119,"SLO 不可達")</f>
        <v>109537349.762214</v>
      </c>
      <c r="O120" s="183" t="n">
        <f aca="false">IF(AND(ISNUMBER(Training_Prod!O106)),Training_Prod!O106*Training!O119,"SLO 不可達")</f>
        <v>2654323.44986071</v>
      </c>
      <c r="P120" s="183" t="n">
        <f aca="false">IF(AND(ISNUMBER(Training_Prod!P106)),Training_Prod!P106*Training!P119,"SLO 不可達")</f>
        <v>7836991.7434063</v>
      </c>
      <c r="Q120" s="183" t="n">
        <f aca="false">IF(AND(ISNUMBER(Training_Prod!Q106)),Training_Prod!Q106*Training!Q119,"SLO 不可達")</f>
        <v>49135903.6134063</v>
      </c>
      <c r="S120" s="183" t="n">
        <f aca="false">IF(AND(ISNUMBER(Training_Prod!S106)),Training_Prod!S106*Training!C119,"SLO 不可達")</f>
        <v>58336555.6480691</v>
      </c>
      <c r="T120" s="183" t="n">
        <f aca="false">IF(AND(ISNUMBER(Training_Prod!T106)),Training_Prod!T106*Training!D119,"SLO 不可達")</f>
        <v>162016339.899227</v>
      </c>
      <c r="U120" s="183" t="n">
        <f aca="false">IF(AND(ISNUMBER(Training_Prod!U106)),Training_Prod!U106*Training!E119,"SLO 不可達")</f>
        <v>986590568.929256</v>
      </c>
      <c r="V120" s="183" t="n">
        <f aca="false">IF(AND(ISNUMBER(Training_Prod!V106)),Training_Prod!V106*Training!F119,"SLO 不可達")</f>
        <v>12147947.9938312</v>
      </c>
      <c r="W120" s="183" t="n">
        <f aca="false">IF(AND(ISNUMBER(Training_Prod!W106)),Training_Prod!W106*Training!G119,"SLO 不可達")</f>
        <v>39013778.7375866</v>
      </c>
      <c r="X120" s="183" t="n">
        <f aca="false">IF(AND(ISNUMBER(Training_Prod!X106)),Training_Prod!X106*Training!H119,"SLO 不可達")</f>
        <v>254170496.17308</v>
      </c>
      <c r="Y120" s="183" t="n">
        <f aca="false">IF(AND(ISNUMBER(Training_Prod!Y106)),Training_Prod!Y106*Training!I119,"SLO 不可達")</f>
        <v>14201999.5820546</v>
      </c>
      <c r="Z120" s="183" t="n">
        <f aca="false">IF(AND(ISNUMBER(Training_Prod!Z106)),Training_Prod!Z106*Training!J119,"SLO 不可達")</f>
        <v>43631624.8853258</v>
      </c>
      <c r="AA120" s="183" t="n">
        <f aca="false">IF(AND(ISNUMBER(Training_Prod!AA106)),Training_Prod!AA106*Training!K119,"SLO 不可達")</f>
        <v>279804081.046011</v>
      </c>
      <c r="AB120" s="183" t="n">
        <f aca="false">IF(AND(ISNUMBER(Training_Prod!AB106)),Training_Prod!AB106*Training!L119,"SLO 不可達")</f>
        <v>5633581.19099958</v>
      </c>
      <c r="AC120" s="183" t="n">
        <f aca="false">IF(AND(ISNUMBER(Training_Prod!AC106)),Training_Prod!AC106*Training!M119,"SLO 不可達")</f>
        <v>16410314.0767004</v>
      </c>
      <c r="AD120" s="183" t="n">
        <f aca="false">IF(AND(ISNUMBER(Training_Prod!AD106)),Training_Prod!AD106*Training!N119,"SLO 不可達")</f>
        <v>102272699.724672</v>
      </c>
      <c r="AE120" s="183" t="n">
        <f aca="false">IF(AND(ISNUMBER(Training_Prod!AE106)),Training_Prod!AE106*Training!O119,"SLO 不可達")</f>
        <v>2440484.79695685</v>
      </c>
      <c r="AF120" s="183" t="n">
        <f aca="false">IF(AND(ISNUMBER(Training_Prod!AF106)),Training_Prod!AF106*Training!P119,"SLO 不可達")</f>
        <v>7352402.97143392</v>
      </c>
      <c r="AG120" s="183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3460</v>
      </c>
    </row>
    <row r="2" customFormat="false" ht="15" hidden="false" customHeight="false" outlineLevel="0" collapsed="false">
      <c r="A2" s="65" t="s">
        <v>3461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1058</v>
      </c>
      <c r="B13" s="59" t="s">
        <v>991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1060</v>
      </c>
      <c r="B15" s="59" t="s">
        <v>991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1061</v>
      </c>
      <c r="B16" s="59" t="s">
        <v>1045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1063</v>
      </c>
      <c r="B18" s="59" t="s">
        <v>1045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1058</v>
      </c>
      <c r="B26" s="59" t="s">
        <v>991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1060</v>
      </c>
      <c r="B28" s="59" t="s">
        <v>991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1061</v>
      </c>
      <c r="B29" s="59" t="s">
        <v>1045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1063</v>
      </c>
      <c r="B31" s="59" t="s">
        <v>1045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1058</v>
      </c>
      <c r="B39" s="59" t="s">
        <v>991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1060</v>
      </c>
      <c r="B41" s="59" t="s">
        <v>991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1061</v>
      </c>
      <c r="B42" s="59" t="s">
        <v>1045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1063</v>
      </c>
      <c r="B44" s="59" t="s">
        <v>1045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3462</v>
      </c>
    </row>
    <row r="2" customFormat="false" ht="15" hidden="false" customHeight="false" outlineLevel="0" collapsed="false">
      <c r="A2" s="65" t="s">
        <v>3463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4" t="str">
        <f aca="false">Interface!C4</f>
        <v>Hopper H100</v>
      </c>
      <c r="D4" s="184" t="str">
        <f aca="false">Interface!D4</f>
        <v>Hopper H100</v>
      </c>
      <c r="E4" s="184" t="str">
        <f aca="false">Interface!E4</f>
        <v>Hopper H100</v>
      </c>
      <c r="F4" s="184" t="str">
        <f aca="false">Interface!F4</f>
        <v>GB200 NVL72</v>
      </c>
      <c r="G4" s="184" t="str">
        <f aca="false">Interface!G4</f>
        <v>GB200 NVL72</v>
      </c>
      <c r="H4" s="184" t="str">
        <f aca="false">Interface!H4</f>
        <v>GB200 NVL72</v>
      </c>
      <c r="I4" s="184" t="str">
        <f aca="false">Interface!I4</f>
        <v>GB300 NVL72</v>
      </c>
      <c r="J4" s="184" t="str">
        <f aca="false">Interface!J4</f>
        <v>GB300 NVL72</v>
      </c>
      <c r="K4" s="184" t="str">
        <f aca="false">Interface!K4</f>
        <v>GB300 NVL72</v>
      </c>
      <c r="L4" s="184" t="str">
        <f aca="false">Interface!L4</f>
        <v>VR200 NVL72</v>
      </c>
      <c r="M4" s="184" t="str">
        <f aca="false">Interface!M4</f>
        <v>VR200 NVL72</v>
      </c>
      <c r="N4" s="184" t="str">
        <f aca="false">Interface!N4</f>
        <v>VR200 NVL72</v>
      </c>
      <c r="O4" s="184" t="str">
        <f aca="false">Interface!O4</f>
        <v>Rubin Ultra（MGX NVL 單架，72 GPU）</v>
      </c>
      <c r="P4" s="184" t="str">
        <f aca="false">Interface!P4</f>
        <v>Rubin Ultra（MGX NVL 單架，72 GPU）</v>
      </c>
      <c r="Q4" s="184" t="str">
        <f aca="false">Interface!Q4</f>
        <v>Rubin Ultra（MGX NVL 單架，72 GPU）</v>
      </c>
      <c r="S4" s="184" t="str">
        <f aca="false">Interface!C4</f>
        <v>Hopper H100</v>
      </c>
      <c r="T4" s="184" t="str">
        <f aca="false">Interface!D4</f>
        <v>Hopper H100</v>
      </c>
      <c r="U4" s="184" t="str">
        <f aca="false">Interface!E4</f>
        <v>Hopper H100</v>
      </c>
      <c r="V4" s="184" t="str">
        <f aca="false">Interface!F4</f>
        <v>GB200 NVL72</v>
      </c>
      <c r="W4" s="184" t="str">
        <f aca="false">Interface!G4</f>
        <v>GB200 NVL72</v>
      </c>
      <c r="X4" s="184" t="str">
        <f aca="false">Interface!H4</f>
        <v>GB200 NVL72</v>
      </c>
      <c r="Y4" s="184" t="str">
        <f aca="false">Interface!I4</f>
        <v>GB300 NVL72</v>
      </c>
      <c r="Z4" s="184" t="str">
        <f aca="false">Interface!J4</f>
        <v>GB300 NVL72</v>
      </c>
      <c r="AA4" s="184" t="str">
        <f aca="false">Interface!K4</f>
        <v>GB300 NVL72</v>
      </c>
      <c r="AB4" s="184" t="str">
        <f aca="false">Interface!L4</f>
        <v>VR200 NVL72</v>
      </c>
      <c r="AC4" s="184" t="str">
        <f aca="false">Interface!M4</f>
        <v>VR200 NVL72</v>
      </c>
      <c r="AD4" s="184" t="str">
        <f aca="false">Interface!N4</f>
        <v>VR200 NVL72</v>
      </c>
      <c r="AE4" s="184" t="str">
        <f aca="false">Interface!O4</f>
        <v>Rubin Ultra（MGX NVL 單架，72 GPU）</v>
      </c>
      <c r="AF4" s="184" t="str">
        <f aca="false">Interface!P4</f>
        <v>Rubin Ultra（MGX NVL 單架，72 GPU）</v>
      </c>
      <c r="AG4" s="184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3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3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3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3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3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3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3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3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3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3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3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3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3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3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3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3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3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3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3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3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3464</v>
      </c>
      <c r="B21" s="59" t="s">
        <v>3455</v>
      </c>
      <c r="C21" s="183" t="n">
        <f aca="false">INDEX(Perf_Prod!$C$98:$Q$98,3*(Unit_Cost!C$6-1)+1)</f>
        <v>86407975794.7352</v>
      </c>
      <c r="D21" s="183" t="n">
        <f aca="false">INDEX(Perf_Prod!$C$98:$Q$98,3*(Unit_Cost!D$6-1)+1)</f>
        <v>86407975794.7352</v>
      </c>
      <c r="E21" s="183" t="n">
        <f aca="false">INDEX(Perf_Prod!$C$98:$Q$98,3*(Unit_Cost!E$6-1)+1)</f>
        <v>86407975794.7352</v>
      </c>
      <c r="F21" s="183" t="n">
        <f aca="false">INDEX(Perf_Prod!$C$98:$Q$98,3*(Unit_Cost!F$6-1)+1)</f>
        <v>400266165263.125</v>
      </c>
      <c r="G21" s="183" t="n">
        <f aca="false">INDEX(Perf_Prod!$C$98:$Q$98,3*(Unit_Cost!G$6-1)+1)</f>
        <v>400266165263.125</v>
      </c>
      <c r="H21" s="183" t="n">
        <f aca="false">INDEX(Perf_Prod!$C$98:$Q$98,3*(Unit_Cost!H$6-1)+1)</f>
        <v>400266165263.125</v>
      </c>
      <c r="I21" s="183" t="n">
        <f aca="false">INDEX(Perf_Prod!$C$98:$Q$98,3*(Unit_Cost!I$6-1)+1)</f>
        <v>582737912578.515</v>
      </c>
      <c r="J21" s="183" t="n">
        <f aca="false">INDEX(Perf_Prod!$C$98:$Q$98,3*(Unit_Cost!J$6-1)+1)</f>
        <v>582737912578.515</v>
      </c>
      <c r="K21" s="183" t="n">
        <f aca="false">INDEX(Perf_Prod!$C$98:$Q$98,3*(Unit_Cost!K$6-1)+1)</f>
        <v>582737912578.515</v>
      </c>
      <c r="L21" s="183" t="n">
        <f aca="false">INDEX(Perf_Prod!$C$98:$Q$98,3*(Unit_Cost!L$6-1)+1)</f>
        <v>842649072093.88</v>
      </c>
      <c r="M21" s="183" t="n">
        <f aca="false">INDEX(Perf_Prod!$C$98:$Q$98,3*(Unit_Cost!M$6-1)+1)</f>
        <v>842649072093.88</v>
      </c>
      <c r="N21" s="183" t="n">
        <f aca="false">INDEX(Perf_Prod!$C$98:$Q$98,3*(Unit_Cost!N$6-1)+1)</f>
        <v>842649072093.88</v>
      </c>
      <c r="O21" s="183" t="n">
        <f aca="false">INDEX(Perf_Prod!$C$98:$Q$98,3*(Unit_Cost!O$6-1)+1)</f>
        <v>1135178323762.64</v>
      </c>
      <c r="P21" s="183" t="n">
        <f aca="false">INDEX(Perf_Prod!$C$98:$Q$98,3*(Unit_Cost!P$6-1)+1)</f>
        <v>1135178323762.64</v>
      </c>
      <c r="Q21" s="183" t="n">
        <f aca="false">INDEX(Perf_Prod!$C$98:$Q$98,3*(Unit_Cost!Q$6-1)+1)</f>
        <v>1135178323762.64</v>
      </c>
      <c r="S21" s="183" t="n">
        <f aca="false">INDEX(Perf_Prod!$S$98:$AG$98,3*(Unit_Cost!C$6-1)+1)</f>
        <v>112228240510.472</v>
      </c>
      <c r="T21" s="183" t="n">
        <f aca="false">INDEX(Perf_Prod!$S$98:$AG$98,3*(Unit_Cost!D$6-1)+1)</f>
        <v>112228240510.472</v>
      </c>
      <c r="U21" s="183" t="n">
        <f aca="false">INDEX(Perf_Prod!$S$98:$AG$98,3*(Unit_Cost!E$6-1)+1)</f>
        <v>112228240510.472</v>
      </c>
      <c r="V21" s="183" t="n">
        <f aca="false">INDEX(Perf_Prod!$S$98:$AG$98,3*(Unit_Cost!F$6-1)+1)</f>
        <v>496729138259.007</v>
      </c>
      <c r="W21" s="183" t="n">
        <f aca="false">INDEX(Perf_Prod!$S$98:$AG$98,3*(Unit_Cost!G$6-1)+1)</f>
        <v>496729138259.007</v>
      </c>
      <c r="X21" s="183" t="n">
        <f aca="false">INDEX(Perf_Prod!$S$98:$AG$98,3*(Unit_Cost!H$6-1)+1)</f>
        <v>496729138259.007</v>
      </c>
      <c r="Y21" s="183" t="n">
        <f aca="false">INDEX(Perf_Prod!$S$98:$AG$98,3*(Unit_Cost!I$6-1)+1)</f>
        <v>723176042011.176</v>
      </c>
      <c r="Z21" s="183" t="n">
        <f aca="false">INDEX(Perf_Prod!$S$98:$AG$98,3*(Unit_Cost!J$6-1)+1)</f>
        <v>723176042011.176</v>
      </c>
      <c r="AA21" s="183" t="n">
        <f aca="false">INDEX(Perf_Prod!$S$98:$AG$98,3*(Unit_Cost!K$6-1)+1)</f>
        <v>723176042011.176</v>
      </c>
      <c r="AB21" s="183" t="n">
        <f aca="false">INDEX(Perf_Prod!$S$98:$AG$98,3*(Unit_Cost!L$6-1)+1)</f>
        <v>1043267705667.06</v>
      </c>
      <c r="AC21" s="183" t="n">
        <f aca="false">INDEX(Perf_Prod!$S$98:$AG$98,3*(Unit_Cost!M$6-1)+1)</f>
        <v>1043267705667.06</v>
      </c>
      <c r="AD21" s="183" t="n">
        <f aca="false">INDEX(Perf_Prod!$S$98:$AG$98,3*(Unit_Cost!N$6-1)+1)</f>
        <v>1043267705667.06</v>
      </c>
      <c r="AE21" s="183" t="n">
        <f aca="false">INDEX(Perf_Prod!$S$98:$AG$98,3*(Unit_Cost!O$6-1)+1)</f>
        <v>1404587982526.55</v>
      </c>
      <c r="AF21" s="183" t="n">
        <f aca="false">INDEX(Perf_Prod!$S$98:$AG$98,3*(Unit_Cost!P$6-1)+1)</f>
        <v>1404587982526.55</v>
      </c>
      <c r="AG21" s="183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3465</v>
      </c>
      <c r="B23" s="59" t="s">
        <v>1045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3466</v>
      </c>
      <c r="B25" s="59" t="s">
        <v>1045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3467</v>
      </c>
      <c r="B31" s="59" t="s">
        <v>3455</v>
      </c>
      <c r="C31" s="183" t="n">
        <f aca="false">INDEX(Perf_Prod!$C$98:$Q$98,3*(Unit_Cost!C$6-1)+2)</f>
        <v>26792506585.9425</v>
      </c>
      <c r="D31" s="183" t="n">
        <f aca="false">INDEX(Perf_Prod!$C$98:$Q$98,3*(Unit_Cost!D$6-1)+2)</f>
        <v>26792506585.9425</v>
      </c>
      <c r="E31" s="183" t="n">
        <f aca="false">INDEX(Perf_Prod!$C$98:$Q$98,3*(Unit_Cost!E$6-1)+2)</f>
        <v>26792506585.9425</v>
      </c>
      <c r="F31" s="183" t="n">
        <f aca="false">INDEX(Perf_Prod!$C$98:$Q$98,3*(Unit_Cost!F$6-1)+2)</f>
        <v>119458449692.347</v>
      </c>
      <c r="G31" s="183" t="n">
        <f aca="false">INDEX(Perf_Prod!$C$98:$Q$98,3*(Unit_Cost!G$6-1)+2)</f>
        <v>119458449692.347</v>
      </c>
      <c r="H31" s="183" t="n">
        <f aca="false">INDEX(Perf_Prod!$C$98:$Q$98,3*(Unit_Cost!H$6-1)+2)</f>
        <v>119458449692.347</v>
      </c>
      <c r="I31" s="183" t="n">
        <f aca="false">INDEX(Perf_Prod!$C$98:$Q$98,3*(Unit_Cost!I$6-1)+2)</f>
        <v>173916692578.355</v>
      </c>
      <c r="J31" s="183" t="n">
        <f aca="false">INDEX(Perf_Prod!$C$98:$Q$98,3*(Unit_Cost!J$6-1)+2)</f>
        <v>173916692578.355</v>
      </c>
      <c r="K31" s="183" t="n">
        <f aca="false">INDEX(Perf_Prod!$C$98:$Q$98,3*(Unit_Cost!K$6-1)+2)</f>
        <v>173916692578.355</v>
      </c>
      <c r="L31" s="183" t="n">
        <f aca="false">INDEX(Perf_Prod!$C$98:$Q$98,3*(Unit_Cost!L$6-1)+2)</f>
        <v>262223800714.127</v>
      </c>
      <c r="M31" s="183" t="n">
        <f aca="false">INDEX(Perf_Prod!$C$98:$Q$98,3*(Unit_Cost!M$6-1)+2)</f>
        <v>262223800714.127</v>
      </c>
      <c r="N31" s="183" t="n">
        <f aca="false">INDEX(Perf_Prod!$C$98:$Q$98,3*(Unit_Cost!N$6-1)+2)</f>
        <v>262223800714.127</v>
      </c>
      <c r="O31" s="183" t="n">
        <f aca="false">INDEX(Perf_Prod!$C$98:$Q$98,3*(Unit_Cost!O$6-1)+2)</f>
        <v>357423824607.946</v>
      </c>
      <c r="P31" s="183" t="n">
        <f aca="false">INDEX(Perf_Prod!$C$98:$Q$98,3*(Unit_Cost!P$6-1)+2)</f>
        <v>357423824607.946</v>
      </c>
      <c r="Q31" s="183" t="n">
        <f aca="false">INDEX(Perf_Prod!$C$98:$Q$98,3*(Unit_Cost!Q$6-1)+2)</f>
        <v>357423824607.946</v>
      </c>
      <c r="S31" s="183" t="n">
        <f aca="false">INDEX(Perf_Prod!$S$98:$AG$98,3*(Unit_Cost!C$6-1)+2)</f>
        <v>33634916325.118</v>
      </c>
      <c r="T31" s="183" t="n">
        <f aca="false">INDEX(Perf_Prod!$S$98:$AG$98,3*(Unit_Cost!D$6-1)+2)</f>
        <v>33634916325.118</v>
      </c>
      <c r="U31" s="183" t="n">
        <f aca="false">INDEX(Perf_Prod!$S$98:$AG$98,3*(Unit_Cost!E$6-1)+2)</f>
        <v>33634916325.118</v>
      </c>
      <c r="V31" s="183" t="n">
        <f aca="false">INDEX(Perf_Prod!$S$98:$AG$98,3*(Unit_Cost!F$6-1)+2)</f>
        <v>145846430710.54</v>
      </c>
      <c r="W31" s="183" t="n">
        <f aca="false">INDEX(Perf_Prod!$S$98:$AG$98,3*(Unit_Cost!G$6-1)+2)</f>
        <v>145846430710.54</v>
      </c>
      <c r="X31" s="183" t="n">
        <f aca="false">INDEX(Perf_Prod!$S$98:$AG$98,3*(Unit_Cost!H$6-1)+2)</f>
        <v>145846430710.54</v>
      </c>
      <c r="Y31" s="183" t="n">
        <f aca="false">INDEX(Perf_Prod!$S$98:$AG$98,3*(Unit_Cost!I$6-1)+2)</f>
        <v>212334321421.888</v>
      </c>
      <c r="Z31" s="183" t="n">
        <f aca="false">INDEX(Perf_Prod!$S$98:$AG$98,3*(Unit_Cost!J$6-1)+2)</f>
        <v>212334321421.888</v>
      </c>
      <c r="AA31" s="183" t="n">
        <f aca="false">INDEX(Perf_Prod!$S$98:$AG$98,3*(Unit_Cost!K$6-1)+2)</f>
        <v>212334321421.888</v>
      </c>
      <c r="AB31" s="183" t="n">
        <f aca="false">INDEX(Perf_Prod!$S$98:$AG$98,3*(Unit_Cost!L$6-1)+2)</f>
        <v>318984897819.054</v>
      </c>
      <c r="AC31" s="183" t="n">
        <f aca="false">INDEX(Perf_Prod!$S$98:$AG$98,3*(Unit_Cost!M$6-1)+2)</f>
        <v>318984897819.054</v>
      </c>
      <c r="AD31" s="183" t="n">
        <f aca="false">INDEX(Perf_Prod!$S$98:$AG$98,3*(Unit_Cost!N$6-1)+2)</f>
        <v>318984897819.054</v>
      </c>
      <c r="AE31" s="183" t="n">
        <f aca="false">INDEX(Perf_Prod!$S$98:$AG$98,3*(Unit_Cost!O$6-1)+2)</f>
        <v>434380455314.928</v>
      </c>
      <c r="AF31" s="183" t="n">
        <f aca="false">INDEX(Perf_Prod!$S$98:$AG$98,3*(Unit_Cost!P$6-1)+2)</f>
        <v>434380455314.928</v>
      </c>
      <c r="AG31" s="183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3468</v>
      </c>
      <c r="B33" s="59" t="s">
        <v>1045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3469</v>
      </c>
      <c r="B35" s="59" t="s">
        <v>1045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3470</v>
      </c>
      <c r="B41" s="59" t="s">
        <v>3455</v>
      </c>
      <c r="C41" s="183" t="n">
        <f aca="false">INDEX(Perf_Prod!$C$98:$Q$98,3*(Unit_Cost!C$6-1)+3)</f>
        <v>4922169701.51936</v>
      </c>
      <c r="D41" s="183" t="n">
        <f aca="false">INDEX(Perf_Prod!$C$98:$Q$98,3*(Unit_Cost!D$6-1)+3)</f>
        <v>4922169701.51936</v>
      </c>
      <c r="E41" s="183" t="n">
        <f aca="false">INDEX(Perf_Prod!$C$98:$Q$98,3*(Unit_Cost!E$6-1)+3)</f>
        <v>4922169701.51936</v>
      </c>
      <c r="F41" s="183" t="n">
        <f aca="false">INDEX(Perf_Prod!$C$98:$Q$98,3*(Unit_Cost!F$6-1)+3)</f>
        <v>23355876543.356</v>
      </c>
      <c r="G41" s="183" t="n">
        <f aca="false">INDEX(Perf_Prod!$C$98:$Q$98,3*(Unit_Cost!G$6-1)+3)</f>
        <v>23355876543.356</v>
      </c>
      <c r="H41" s="183" t="n">
        <f aca="false">INDEX(Perf_Prod!$C$98:$Q$98,3*(Unit_Cost!H$6-1)+3)</f>
        <v>23355876543.356</v>
      </c>
      <c r="I41" s="183" t="n">
        <f aca="false">INDEX(Perf_Prod!$C$98:$Q$98,3*(Unit_Cost!I$6-1)+3)</f>
        <v>30467960042.7945</v>
      </c>
      <c r="J41" s="183" t="n">
        <f aca="false">INDEX(Perf_Prod!$C$98:$Q$98,3*(Unit_Cost!J$6-1)+3)</f>
        <v>30467960042.7945</v>
      </c>
      <c r="K41" s="183" t="n">
        <f aca="false">INDEX(Perf_Prod!$C$98:$Q$98,3*(Unit_Cost!K$6-1)+3)</f>
        <v>30467960042.7945</v>
      </c>
      <c r="L41" s="183" t="n">
        <f aca="false">INDEX(Perf_Prod!$C$98:$Q$98,3*(Unit_Cost!L$6-1)+3)</f>
        <v>55366124692.1116</v>
      </c>
      <c r="M41" s="183" t="n">
        <f aca="false">INDEX(Perf_Prod!$C$98:$Q$98,3*(Unit_Cost!M$6-1)+3)</f>
        <v>55366124692.1116</v>
      </c>
      <c r="N41" s="183" t="n">
        <f aca="false">INDEX(Perf_Prod!$C$98:$Q$98,3*(Unit_Cost!N$6-1)+3)</f>
        <v>55366124692.1116</v>
      </c>
      <c r="O41" s="183" t="n">
        <f aca="false">INDEX(Perf_Prod!$C$98:$Q$98,3*(Unit_Cost!O$6-1)+3)</f>
        <v>78738073685.4024</v>
      </c>
      <c r="P41" s="183" t="n">
        <f aca="false">INDEX(Perf_Prod!$C$98:$Q$98,3*(Unit_Cost!P$6-1)+3)</f>
        <v>78738073685.4024</v>
      </c>
      <c r="Q41" s="183" t="n">
        <f aca="false">INDEX(Perf_Prod!$C$98:$Q$98,3*(Unit_Cost!Q$6-1)+3)</f>
        <v>78738073685.4024</v>
      </c>
      <c r="S41" s="183" t="n">
        <f aca="false">INDEX(Perf_Prod!$S$98:$AG$98,3*(Unit_Cost!C$6-1)+3)</f>
        <v>6809025705.99183</v>
      </c>
      <c r="T41" s="183" t="n">
        <f aca="false">INDEX(Perf_Prod!$S$98:$AG$98,3*(Unit_Cost!D$6-1)+3)</f>
        <v>6809025705.99183</v>
      </c>
      <c r="U41" s="183" t="n">
        <f aca="false">INDEX(Perf_Prod!$S$98:$AG$98,3*(Unit_Cost!E$6-1)+3)</f>
        <v>6809025705.99183</v>
      </c>
      <c r="V41" s="183" t="n">
        <f aca="false">INDEX(Perf_Prod!$S$98:$AG$98,3*(Unit_Cost!F$6-1)+3)</f>
        <v>29767762827.5194</v>
      </c>
      <c r="W41" s="183" t="n">
        <f aca="false">INDEX(Perf_Prod!$S$98:$AG$98,3*(Unit_Cost!G$6-1)+3)</f>
        <v>29767762827.5194</v>
      </c>
      <c r="X41" s="183" t="n">
        <f aca="false">INDEX(Perf_Prod!$S$98:$AG$98,3*(Unit_Cost!H$6-1)+3)</f>
        <v>29767762827.5194</v>
      </c>
      <c r="Y41" s="183" t="n">
        <f aca="false">INDEX(Perf_Prod!$S$98:$AG$98,3*(Unit_Cost!I$6-1)+3)</f>
        <v>39257828144.5082</v>
      </c>
      <c r="Z41" s="183" t="n">
        <f aca="false">INDEX(Perf_Prod!$S$98:$AG$98,3*(Unit_Cost!J$6-1)+3)</f>
        <v>39257828144.5082</v>
      </c>
      <c r="AA41" s="183" t="n">
        <f aca="false">INDEX(Perf_Prod!$S$98:$AG$98,3*(Unit_Cost!K$6-1)+3)</f>
        <v>39257828144.5082</v>
      </c>
      <c r="AB41" s="183" t="n">
        <f aca="false">INDEX(Perf_Prod!$S$98:$AG$98,3*(Unit_Cost!L$6-1)+3)</f>
        <v>69625193603.6778</v>
      </c>
      <c r="AC41" s="183" t="n">
        <f aca="false">INDEX(Perf_Prod!$S$98:$AG$98,3*(Unit_Cost!M$6-1)+3)</f>
        <v>69625193603.6778</v>
      </c>
      <c r="AD41" s="183" t="n">
        <f aca="false">INDEX(Perf_Prod!$S$98:$AG$98,3*(Unit_Cost!N$6-1)+3)</f>
        <v>69625193603.6778</v>
      </c>
      <c r="AE41" s="183" t="n">
        <f aca="false">INDEX(Perf_Prod!$S$98:$AG$98,3*(Unit_Cost!O$6-1)+3)</f>
        <v>98521567397.5749</v>
      </c>
      <c r="AF41" s="183" t="n">
        <f aca="false">INDEX(Perf_Prod!$S$98:$AG$98,3*(Unit_Cost!P$6-1)+3)</f>
        <v>98521567397.5749</v>
      </c>
      <c r="AG41" s="183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3471</v>
      </c>
      <c r="B43" s="59" t="s">
        <v>1045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3472</v>
      </c>
      <c r="B45" s="59" t="s">
        <v>1045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1" t="s">
        <v>3473</v>
      </c>
      <c r="B60" s="59" t="s">
        <v>1092</v>
      </c>
      <c r="C60" s="183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3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3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3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83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83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83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3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3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3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3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3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3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3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3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3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3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3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3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83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83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83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3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3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3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3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3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3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3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3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3474</v>
      </c>
      <c r="B69" s="59" t="s">
        <v>1092</v>
      </c>
      <c r="C69" s="183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3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3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3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83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83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83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3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3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3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3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3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3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3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3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3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3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3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3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83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83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83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3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3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3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3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3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3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3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3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3475</v>
      </c>
      <c r="B78" s="59" t="s">
        <v>1092</v>
      </c>
      <c r="C78" s="183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3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3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3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83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83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83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3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3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3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3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3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3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3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3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3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3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3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3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83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83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83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3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3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3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3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3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3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3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3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3476</v>
      </c>
    </row>
    <row r="2" customFormat="false" ht="15" hidden="false" customHeight="false" outlineLevel="0" collapsed="false">
      <c r="A2" s="65" t="s">
        <v>3477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2186</v>
      </c>
      <c r="B18" s="65" t="s">
        <v>2187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2188</v>
      </c>
      <c r="B19" s="59" t="s">
        <v>3455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2190</v>
      </c>
      <c r="B21" s="59" t="s">
        <v>3455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2194</v>
      </c>
      <c r="B24" s="59" t="s">
        <v>3455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2198</v>
      </c>
      <c r="B27" s="59" t="s">
        <v>3455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2210</v>
      </c>
      <c r="B38" s="65" t="s">
        <v>2187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2211</v>
      </c>
      <c r="B39" s="65" t="s">
        <v>2187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2212</v>
      </c>
      <c r="B40" s="65" t="s">
        <v>2187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2213</v>
      </c>
      <c r="B41" s="59" t="s">
        <v>131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2214</v>
      </c>
      <c r="B42" s="59" t="s">
        <v>131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2217</v>
      </c>
      <c r="B44" s="59" t="s">
        <v>131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2218</v>
      </c>
      <c r="B45" s="59" t="s">
        <v>131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2219</v>
      </c>
      <c r="B46" s="59" t="s">
        <v>131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3478</v>
      </c>
    </row>
    <row r="2" customFormat="false" ht="15" hidden="false" customHeight="false" outlineLevel="0" collapsed="false">
      <c r="A2" s="65" t="s">
        <v>3479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2225</v>
      </c>
      <c r="B10" s="59" t="s">
        <v>1092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19.3127822270601</v>
      </c>
      <c r="G10" s="98" t="n">
        <f aca="false">INDEX(Interface_Prod!$C$60:$Q$60,1,Amortize!G$7)</f>
        <v>25.786626838576</v>
      </c>
      <c r="H10" s="98" t="n">
        <f aca="false">INDEX(Interface_Prod!$C$60:$Q$60,1,Amortize!H$7)</f>
        <v>41.8238357750443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18.2732852679089</v>
      </c>
      <c r="W10" s="98" t="n">
        <f aca="false">INDEX(Interface_Prod!$S$60:$AG$60,1,Amortize!G$7)</f>
        <v>24.3986797333728</v>
      </c>
      <c r="X10" s="98" t="n">
        <f aca="false">INDEX(Interface_Prod!$S$60:$AG$60,1,Amortize!H$7)</f>
        <v>39.5726971458684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2227</v>
      </c>
      <c r="B12" s="59" t="s">
        <v>2228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2229</v>
      </c>
      <c r="B13" s="59" t="s">
        <v>1045</v>
      </c>
      <c r="C13" s="185" t="n">
        <f aca="false">IF(AND(ISNUMBER(Amortize_Prod!C12),ISNUMBER(Amortize_Prod!C10)),IF(Amortize_Prod!C12&gt;0,Amortize_Prod!C10*1000000/Amortize_Prod!C12,0),"SLO 不可達")</f>
        <v>0.0702885024446759</v>
      </c>
      <c r="D13" s="185" t="n">
        <f aca="false">IF(AND(ISNUMBER(Amortize_Prod!D12),ISNUMBER(Amortize_Prod!D10)),IF(Amortize_Prod!D12&gt;0,Amortize_Prod!D10*1000000/Amortize_Prod!D12,0),"SLO 不可達")</f>
        <v>0.10042821044577</v>
      </c>
      <c r="E13" s="185" t="n">
        <f aca="false">IF(AND(ISNUMBER(Amortize_Prod!E12),ISNUMBER(Amortize_Prod!E10)),IF(Amortize_Prod!E12&gt;0,Amortize_Prod!E10*1000000/Amortize_Prod!E12,0),"SLO 不可達")</f>
        <v>0.172472175534376</v>
      </c>
      <c r="F13" s="185" t="n">
        <f aca="false">IF(AND(ISNUMBER(Amortize_Prod!F12),ISNUMBER(Amortize_Prod!F10)),IF(Amortize_Prod!F12&gt;0,Amortize_Prod!F10*1000000/Amortize_Prod!F12,0),"SLO 不可達")</f>
        <v>0.00406663956689493</v>
      </c>
      <c r="G13" s="185" t="n">
        <f aca="false">IF(AND(ISNUMBER(Amortize_Prod!G12),ISNUMBER(Amortize_Prod!G10)),IF(Amortize_Prod!G12&gt;0,Amortize_Prod!G10*1000000/Amortize_Prod!G12,0),"SLO 不可達")</f>
        <v>0.00542981926506561</v>
      </c>
      <c r="H13" s="185" t="n">
        <f aca="false">IF(AND(ISNUMBER(Amortize_Prod!H12),ISNUMBER(Amortize_Prod!H10)),IF(Amortize_Prod!H12&gt;0,Amortize_Prod!H10*1000000/Amortize_Prod!H12,0),"SLO 不可達")</f>
        <v>0.0088067303510418</v>
      </c>
      <c r="I13" s="185" t="n">
        <f aca="false">IF(AND(ISNUMBER(Amortize_Prod!I12),ISNUMBER(Amortize_Prod!I10)),IF(Amortize_Prod!I12&gt;0,Amortize_Prod!I10*1000000/Amortize_Prod!I12,0),"SLO 不可達")</f>
        <v>0.00467210850169439</v>
      </c>
      <c r="J13" s="185" t="n">
        <f aca="false">IF(AND(ISNUMBER(Amortize_Prod!J12),ISNUMBER(Amortize_Prod!J10)),IF(Amortize_Prod!J12&gt;0,Amortize_Prod!J10*1000000/Amortize_Prod!J12,0),"SLO 不可達")</f>
        <v>0.00603429850881151</v>
      </c>
      <c r="K13" s="185" t="n">
        <f aca="false">IF(AND(ISNUMBER(Amortize_Prod!K12),ISNUMBER(Amortize_Prod!K10)),IF(Amortize_Prod!K12&gt;0,Amortize_Prod!K10*1000000/Amortize_Prod!K12,0),"SLO 不可達")</f>
        <v>0.0102736874167935</v>
      </c>
      <c r="L13" s="185" t="n">
        <f aca="false">IF(AND(ISNUMBER(Amortize_Prod!L12),ISNUMBER(Amortize_Prod!L10)),IF(Amortize_Prod!L12&gt;0,Amortize_Prod!L10*1000000/Amortize_Prod!L12,0),"SLO 不可達")</f>
        <v>0.00213440549093709</v>
      </c>
      <c r="M13" s="185" t="n">
        <f aca="false">IF(AND(ISNUMBER(Amortize_Prod!M12),ISNUMBER(Amortize_Prod!M10)),IF(Amortize_Prod!M12&gt;0,Amortize_Prod!M10*1000000/Amortize_Prod!M12,0),"SLO 不可達")</f>
        <v>0.00274326129454233</v>
      </c>
      <c r="N13" s="185" t="n">
        <f aca="false">IF(AND(ISNUMBER(Amortize_Prod!N12),ISNUMBER(Amortize_Prod!N10)),IF(Amortize_Prod!N12&gt;0,Amortize_Prod!N10*1000000/Amortize_Prod!N12,0),"SLO 不可達")</f>
        <v>0.00443182357086952</v>
      </c>
      <c r="O13" s="185" t="n">
        <f aca="false">IF(AND(ISNUMBER(Amortize_Prod!O12),ISNUMBER(Amortize_Prod!O10)),IF(Amortize_Prod!O12&gt;0,Amortize_Prod!O10*1000000/Amortize_Prod!O12,0),"SLO 不可達")</f>
        <v>0.00104014421969442</v>
      </c>
      <c r="P13" s="185" t="n">
        <f aca="false">IF(AND(ISNUMBER(Amortize_Prod!P12),ISNUMBER(Amortize_Prod!P10)),IF(Amortize_Prod!P12&gt;0,Amortize_Prod!P10*1000000/Amortize_Prod!P12,0),"SLO 不可達")</f>
        <v>0.00158087659353013</v>
      </c>
      <c r="Q13" s="185" t="n">
        <f aca="false">IF(AND(ISNUMBER(Amortize_Prod!Q12),ISNUMBER(Amortize_Prod!Q10)),IF(Amortize_Prod!Q12&gt;0,Amortize_Prod!Q10*1000000/Amortize_Prod!Q12,0),"SLO 不可達")</f>
        <v>0.00288595578929665</v>
      </c>
      <c r="S13" s="185" t="n">
        <f aca="false">IF(AND(ISNUMBER(Amortize_Prod!S12),ISNUMBER(Amortize_Prod!S10)),IF(Amortize_Prod!S12&gt;0,Amortize_Prod!S10*1000000/Amortize_Prod!S12,0),"SLO 不可達")</f>
        <v>0.0461948299236361</v>
      </c>
      <c r="T13" s="185" t="n">
        <f aca="false">IF(AND(ISNUMBER(Amortize_Prod!T12),ISNUMBER(Amortize_Prod!T10)),IF(Amortize_Prod!T12&gt;0,Amortize_Prod!T10*1000000/Amortize_Prod!T12,0),"SLO 不可達")</f>
        <v>0.0660031717808905</v>
      </c>
      <c r="U13" s="185" t="n">
        <f aca="false">IF(AND(ISNUMBER(Amortize_Prod!U12),ISNUMBER(Amortize_Prod!U10)),IF(Amortize_Prod!U12&gt;0,Amortize_Prod!U10*1000000/Amortize_Prod!U12,0),"SLO 不可達")</f>
        <v>0.113351722376516</v>
      </c>
      <c r="V13" s="185" t="n">
        <f aca="false">IF(AND(ISNUMBER(Amortize_Prod!V12),ISNUMBER(Amortize_Prod!V10)),IF(Amortize_Prod!V12&gt;0,Amortize_Prod!V10*1000000/Amortize_Prod!V12,0),"SLO 不可達")</f>
        <v>0.00307089725293388</v>
      </c>
      <c r="W13" s="185" t="n">
        <f aca="false">IF(AND(ISNUMBER(Amortize_Prod!W12),ISNUMBER(Amortize_Prod!W10)),IF(Amortize_Prod!W12&gt;0,Amortize_Prod!W10*1000000/Amortize_Prod!W12,0),"SLO 不可達")</f>
        <v>0.00410029381525669</v>
      </c>
      <c r="X13" s="185" t="n">
        <f aca="false">IF(AND(ISNUMBER(Amortize_Prod!X12),ISNUMBER(Amortize_Prod!X10)),IF(Amortize_Prod!X12&gt;0,Amortize_Prod!X10*1000000/Amortize_Prod!X12,0),"SLO 不可達")</f>
        <v>0.0066503469504659</v>
      </c>
      <c r="Y13" s="185" t="n">
        <f aca="false">IF(AND(ISNUMBER(Amortize_Prod!Y12),ISNUMBER(Amortize_Prod!Y10)),IF(Amortize_Prod!Y12&gt;0,Amortize_Prod!Y10*1000000/Amortize_Prod!Y12,0),"SLO 不可達")</f>
        <v>0.00342892011098242</v>
      </c>
      <c r="Z13" s="185" t="n">
        <f aca="false">IF(AND(ISNUMBER(Amortize_Prod!Z12),ISNUMBER(Amortize_Prod!Z10)),IF(Amortize_Prod!Z12&gt;0,Amortize_Prod!Z10*1000000/Amortize_Prod!Z12,0),"SLO 不可達")</f>
        <v>0.00442864875784267</v>
      </c>
      <c r="AA13" s="185" t="n">
        <f aca="false">IF(AND(ISNUMBER(Amortize_Prod!AA12),ISNUMBER(Amortize_Prod!AA10)),IF(Amortize_Prod!AA12&gt;0,Amortize_Prod!AA10*1000000/Amortize_Prod!AA12,0),"SLO 不可達")</f>
        <v>0.0075399904314325</v>
      </c>
      <c r="AB13" s="185" t="n">
        <f aca="false">IF(AND(ISNUMBER(Amortize_Prod!AB12),ISNUMBER(Amortize_Prod!AB10)),IF(Amortize_Prod!AB12&gt;0,Amortize_Prod!AB10*1000000/Amortize_Prod!AB12,0),"SLO 不可達")</f>
        <v>0.00155811775340172</v>
      </c>
      <c r="AC13" s="185" t="n">
        <f aca="false">IF(AND(ISNUMBER(Amortize_Prod!AC12),ISNUMBER(Amortize_Prod!AC10)),IF(Amortize_Prod!AC12&gt;0,Amortize_Prod!AC10*1000000/Amortize_Prod!AC12,0),"SLO 不可達")</f>
        <v>0.00200258298781343</v>
      </c>
      <c r="AD13" s="185" t="n">
        <f aca="false">IF(AND(ISNUMBER(Amortize_Prod!AD12),ISNUMBER(Amortize_Prod!AD10)),IF(Amortize_Prod!AD12&gt;0,Amortize_Prod!AD10*1000000/Amortize_Prod!AD12,0),"SLO 不可達")</f>
        <v>0.00323523483004361</v>
      </c>
      <c r="AE13" s="185" t="n">
        <f aca="false">IF(AND(ISNUMBER(Amortize_Prod!AE12),ISNUMBER(Amortize_Prod!AE10)),IF(Amortize_Prod!AE12&gt;0,Amortize_Prod!AE10*1000000/Amortize_Prod!AE12,0),"SLO 不可達")</f>
        <v>0.000773266108996229</v>
      </c>
      <c r="AF13" s="185" t="n">
        <f aca="false">IF(AND(ISNUMBER(Amortize_Prod!AF12),ISNUMBER(Amortize_Prod!AF10)),IF(Amortize_Prod!AF12&gt;0,Amortize_Prod!AF10*1000000/Amortize_Prod!AF12,0),"SLO 不可達")</f>
        <v>0.00117525845852548</v>
      </c>
      <c r="AG13" s="185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2230</v>
      </c>
      <c r="B14" s="59" t="s">
        <v>1045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2225</v>
      </c>
      <c r="B19" s="59" t="s">
        <v>1092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61.0457166347413</v>
      </c>
      <c r="G19" s="98" t="n">
        <f aca="false">INDEX(Interface_Prod!$C$69:$Q$69,1,Amortize!G$7)</f>
        <v>81.508873058584</v>
      </c>
      <c r="H19" s="98" t="n">
        <f aca="false">INDEX(Interface_Prod!$C$69:$Q$69,1,Amortize!H$7)</f>
        <v>132.200839696931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58.6856239928768</v>
      </c>
      <c r="W19" s="98" t="n">
        <f aca="false">INDEX(Interface_Prod!$S$69:$AG$69,1,Amortize!G$7)</f>
        <v>78.3576529213344</v>
      </c>
      <c r="X19" s="98" t="n">
        <f aca="false">INDEX(Interface_Prod!$S$69:$AG$69,1,Amortize!H$7)</f>
        <v>127.089813957256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2227</v>
      </c>
      <c r="B21" s="59" t="s">
        <v>2228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2234</v>
      </c>
      <c r="B22" s="59" t="s">
        <v>1045</v>
      </c>
      <c r="C22" s="185" t="n">
        <f aca="false">IF(AND(ISNUMBER(Amortize_Prod!C21),ISNUMBER(Amortize_Prod!C19)),IF(Amortize_Prod!C21&gt;0,Amortize_Prod!C19*1000000/Amortize_Prod!C21,0),"SLO 不可達")</f>
        <v>0.169631062549732</v>
      </c>
      <c r="D22" s="185" t="n">
        <f aca="false">IF(AND(ISNUMBER(Amortize_Prod!D21),ISNUMBER(Amortize_Prod!D19)),IF(Amortize_Prod!D21&gt;0,Amortize_Prod!D19*1000000/Amortize_Prod!D21,0),"SLO 不可達")</f>
        <v>0.24236885771315</v>
      </c>
      <c r="E22" s="185" t="n">
        <f aca="false">IF(AND(ISNUMBER(Amortize_Prod!E21),ISNUMBER(Amortize_Prod!E19)),IF(Amortize_Prod!E21&gt;0,Amortize_Prod!E19*1000000/Amortize_Prod!E21,0),"SLO 不可達")</f>
        <v>0.416236473656383</v>
      </c>
      <c r="F22" s="185" t="n">
        <f aca="false">IF(AND(ISNUMBER(Amortize_Prod!F21),ISNUMBER(Amortize_Prod!F19)),IF(Amortize_Prod!F21&gt;0,Amortize_Prod!F19*1000000/Amortize_Prod!F21,0),"SLO 不可達")</f>
        <v>0.0114259813923632</v>
      </c>
      <c r="G22" s="185" t="n">
        <f aca="false">IF(AND(ISNUMBER(Amortize_Prod!G21),ISNUMBER(Amortize_Prod!G19)),IF(Amortize_Prod!G21&gt;0,Amortize_Prod!G19*1000000/Amortize_Prod!G21,0),"SLO 不可達")</f>
        <v>0.0152560886859973</v>
      </c>
      <c r="H22" s="185" t="n">
        <f aca="false">IF(AND(ISNUMBER(Amortize_Prod!H21),ISNUMBER(Amortize_Prod!H19)),IF(Amortize_Prod!H21&gt;0,Amortize_Prod!H19*1000000/Amortize_Prod!H21,0),"SLO 不可達")</f>
        <v>0.024744149429352</v>
      </c>
      <c r="I22" s="185" t="n">
        <f aca="false">IF(AND(ISNUMBER(Amortize_Prod!I21),ISNUMBER(Amortize_Prod!I19)),IF(Amortize_Prod!I21&gt;0,Amortize_Prod!I19*1000000/Amortize_Prod!I21,0),"SLO 不可達")</f>
        <v>0.0125103258074652</v>
      </c>
      <c r="J22" s="185" t="n">
        <f aca="false">IF(AND(ISNUMBER(Amortize_Prod!J21),ISNUMBER(Amortize_Prod!J19)),IF(Amortize_Prod!J21&gt;0,Amortize_Prod!J19*1000000/Amortize_Prod!J21,0),"SLO 不可達")</f>
        <v>0.0161578097634838</v>
      </c>
      <c r="K22" s="185" t="n">
        <f aca="false">IF(AND(ISNUMBER(Amortize_Prod!K21),ISNUMBER(Amortize_Prod!K19)),IF(Amortize_Prod!K21&gt;0,Amortize_Prod!K19*1000000/Amortize_Prod!K21,0),"SLO 不可達")</f>
        <v>0.0275094589052309</v>
      </c>
      <c r="L22" s="185" t="n">
        <f aca="false">IF(AND(ISNUMBER(Amortize_Prod!L21),ISNUMBER(Amortize_Prod!L19)),IF(Amortize_Prod!L21&gt;0,Amortize_Prod!L19*1000000/Amortize_Prod!L21,0),"SLO 不可達")</f>
        <v>0.00541078466347435</v>
      </c>
      <c r="M22" s="185" t="n">
        <f aca="false">IF(AND(ISNUMBER(Amortize_Prod!M21),ISNUMBER(Amortize_Prod!M19)),IF(Amortize_Prod!M21&gt;0,Amortize_Prod!M19*1000000/Amortize_Prod!M21,0),"SLO 不可達")</f>
        <v>0.00695425316484528</v>
      </c>
      <c r="N22" s="185" t="n">
        <f aca="false">IF(AND(ISNUMBER(Amortize_Prod!N21),ISNUMBER(Amortize_Prod!N19)),IF(Amortize_Prod!N21&gt;0,Amortize_Prod!N19*1000000/Amortize_Prod!N21,0),"SLO 不可達")</f>
        <v>0.0112348113375387</v>
      </c>
      <c r="O22" s="185" t="n">
        <f aca="false">IF(AND(ISNUMBER(Amortize_Prod!O21),ISNUMBER(Amortize_Prod!O19)),IF(Amortize_Prod!O21&gt;0,Amortize_Prod!O19*1000000/Amortize_Prod!O21,0),"SLO 不可達")</f>
        <v>0.00272983616375423</v>
      </c>
      <c r="P22" s="185" t="n">
        <f aca="false">IF(AND(ISNUMBER(Amortize_Prod!P21),ISNUMBER(Amortize_Prod!P19)),IF(Amortize_Prod!P21&gt;0,Amortize_Prod!P19*1000000/Amortize_Prod!P21,0),"SLO 不可達")</f>
        <v>0.00414897666471576</v>
      </c>
      <c r="Q22" s="185" t="n">
        <f aca="false">IF(AND(ISNUMBER(Amortize_Prod!Q21),ISNUMBER(Amortize_Prod!Q19)),IF(Amortize_Prod!Q21&gt;0,Amortize_Prod!Q19*1000000/Amortize_Prod!Q21,0),"SLO 不可達")</f>
        <v>0.00757412898274083</v>
      </c>
      <c r="S22" s="185" t="n">
        <f aca="false">IF(AND(ISNUMBER(Amortize_Prod!S21),ISNUMBER(Amortize_Prod!S19)),IF(Amortize_Prod!S21&gt;0,Amortize_Prod!S19*1000000/Amortize_Prod!S21,0),"SLO 不可達")</f>
        <v>0.114040439741435</v>
      </c>
      <c r="T22" s="185" t="n">
        <f aca="false">IF(AND(ISNUMBER(Amortize_Prod!T21),ISNUMBER(Amortize_Prod!T19)),IF(Amortize_Prod!T21&gt;0,Amortize_Prod!T19*1000000/Amortize_Prod!T21,0),"SLO 不可達")</f>
        <v>0.162940977305579</v>
      </c>
      <c r="U22" s="185" t="n">
        <f aca="false">IF(AND(ISNUMBER(Amortize_Prod!U21),ISNUMBER(Amortize_Prod!U19)),IF(Amortize_Prod!U21&gt;0,Amortize_Prod!U19*1000000/Amortize_Prod!U21,0),"SLO 不可達")</f>
        <v>0.279829588866025</v>
      </c>
      <c r="V22" s="185" t="n">
        <f aca="false">IF(AND(ISNUMBER(Amortize_Prod!V21),ISNUMBER(Amortize_Prod!V19)),IF(Amortize_Prod!V21&gt;0,Amortize_Prod!V19*1000000/Amortize_Prod!V21,0),"SLO 不可達")</f>
        <v>0.00876653267880038</v>
      </c>
      <c r="W22" s="185" t="n">
        <f aca="false">IF(AND(ISNUMBER(Amortize_Prod!W21),ISNUMBER(Amortize_Prod!W19)),IF(Amortize_Prod!W21&gt;0,Amortize_Prod!W19*1000000/Amortize_Prod!W21,0),"SLO 不可達")</f>
        <v>0.0117051652215942</v>
      </c>
      <c r="X22" s="185" t="n">
        <f aca="false">IF(AND(ISNUMBER(Amortize_Prod!X21),ISNUMBER(Amortize_Prod!X19)),IF(Amortize_Prod!X21&gt;0,Amortize_Prod!X19*1000000/Amortize_Prod!X21,0),"SLO 不可達")</f>
        <v>0.0189848370247231</v>
      </c>
      <c r="Y22" s="185" t="n">
        <f aca="false">IF(AND(ISNUMBER(Amortize_Prod!Y21),ISNUMBER(Amortize_Prod!Y19)),IF(Amortize_Prod!Y21&gt;0,Amortize_Prod!Y19*1000000/Amortize_Prod!Y21,0),"SLO 不可達")</f>
        <v>0.00936389932228216</v>
      </c>
      <c r="Z22" s="185" t="n">
        <f aca="false">IF(AND(ISNUMBER(Amortize_Prod!Z21),ISNUMBER(Amortize_Prod!Z19)),IF(Amortize_Prod!Z21&gt;0,Amortize_Prod!Z19*1000000/Amortize_Prod!Z21,0),"SLO 不可達")</f>
        <v>0.0120940178715063</v>
      </c>
      <c r="AA22" s="185" t="n">
        <f aca="false">IF(AND(ISNUMBER(Amortize_Prod!AA21),ISNUMBER(Amortize_Prod!AA19)),IF(Amortize_Prod!AA21&gt;0,Amortize_Prod!AA19*1000000/Amortize_Prod!AA21,0),"SLO 不可達")</f>
        <v>0.0205906550767309</v>
      </c>
      <c r="AB22" s="185" t="n">
        <f aca="false">IF(AND(ISNUMBER(Amortize_Prod!AB21),ISNUMBER(Amortize_Prod!AB19)),IF(Amortize_Prod!AB21&gt;0,Amortize_Prod!AB19*1000000/Amortize_Prod!AB21,0),"SLO 不可達")</f>
        <v>0.00403441053211496</v>
      </c>
      <c r="AC22" s="185" t="n">
        <f aca="false">IF(AND(ISNUMBER(Amortize_Prod!AC21),ISNUMBER(Amortize_Prod!AC19)),IF(Amortize_Prod!AC21&gt;0,Amortize_Prod!AC19*1000000/Amortize_Prod!AC21,0),"SLO 不可達")</f>
        <v>0.00518525758392133</v>
      </c>
      <c r="AD22" s="185" t="n">
        <f aca="false">IF(AND(ISNUMBER(Amortize_Prod!AD21),ISNUMBER(Amortize_Prod!AD19)),IF(Amortize_Prod!AD21&gt;0,Amortize_Prod!AD19*1000000/Amortize_Prod!AD21,0),"SLO 不可達")</f>
        <v>0.00837694419673806</v>
      </c>
      <c r="AE22" s="185" t="n">
        <f aca="false">IF(AND(ISNUMBER(Amortize_Prod!AE21),ISNUMBER(Amortize_Prod!AE19)),IF(Amortize_Prod!AE21&gt;0,Amortize_Prod!AE19*1000000/Amortize_Prod!AE21,0),"SLO 不可達")</f>
        <v>0.00207075943620614</v>
      </c>
      <c r="AF22" s="185" t="n">
        <f aca="false">IF(AND(ISNUMBER(Amortize_Prod!AF21),ISNUMBER(Amortize_Prod!AF19)),IF(Amortize_Prod!AF21&gt;0,Amortize_Prod!AF19*1000000/Amortize_Prod!AF21,0),"SLO 不可達")</f>
        <v>0.00314727040880126</v>
      </c>
      <c r="AG22" s="185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2230</v>
      </c>
      <c r="B23" s="59" t="s">
        <v>1045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2225</v>
      </c>
      <c r="B29" s="59" t="s">
        <v>1092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395.365245295165</v>
      </c>
      <c r="G29" s="98" t="n">
        <f aca="false">INDEX(Interface_Prod!$C$78:$Q$78,1,Amortize!G$7)</f>
        <v>527.895770039986</v>
      </c>
      <c r="H29" s="98" t="n">
        <f aca="false">INDEX(Interface_Prod!$C$78:$Q$78,1,Amortize!H$7)</f>
        <v>856.204502074077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382.330413796237</v>
      </c>
      <c r="W29" s="98" t="n">
        <f aca="false">INDEX(Interface_Prod!$S$78:$AG$78,1,Amortize!G$7)</f>
        <v>510.491528029966</v>
      </c>
      <c r="X29" s="98" t="n">
        <f aca="false">INDEX(Interface_Prod!$S$78:$AG$78,1,Amortize!H$7)</f>
        <v>827.976220640721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2227</v>
      </c>
      <c r="B31" s="59" t="s">
        <v>2228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2239</v>
      </c>
      <c r="B32" s="59" t="s">
        <v>1045</v>
      </c>
      <c r="C32" s="185" t="n">
        <f aca="false">IF(AND(ISNUMBER(Amortize_Prod!C31),ISNUMBER(Amortize_Prod!C29)),IF(Amortize_Prod!C31&gt;0,Amortize_Prod!C29*1000000/Amortize_Prod!C31,0),"SLO 不可達")</f>
        <v>4.09671161570767</v>
      </c>
      <c r="D32" s="185" t="n">
        <f aca="false">IF(AND(ISNUMBER(Amortize_Prod!D31),ISNUMBER(Amortize_Prod!D29)),IF(Amortize_Prod!D31&gt;0,Amortize_Prod!D29*1000000/Amortize_Prod!D31,0),"SLO 不可達")</f>
        <v>5.85338144886147</v>
      </c>
      <c r="E32" s="185" t="n">
        <f aca="false">IF(AND(ISNUMBER(Amortize_Prod!E31),ISNUMBER(Amortize_Prod!E29)),IF(Amortize_Prod!E31&gt;0,Amortize_Prod!E29*1000000/Amortize_Prod!E31,0),"SLO 不可達")</f>
        <v>10.0524088623767</v>
      </c>
      <c r="F32" s="185" t="n">
        <f aca="false">IF(AND(ISNUMBER(Amortize_Prod!F31),ISNUMBER(Amortize_Prod!F29)),IF(Amortize_Prod!F31&gt;0,Amortize_Prod!F29*1000000/Amortize_Prod!F31,0),"SLO 不可達")</f>
        <v>0.296003466579588</v>
      </c>
      <c r="G32" s="185" t="n">
        <f aca="false">IF(AND(ISNUMBER(Amortize_Prod!G31),ISNUMBER(Amortize_Prod!G29)),IF(Amortize_Prod!G31&gt;0,Amortize_Prod!G29*1000000/Amortize_Prod!G31,0),"SLO 不可達")</f>
        <v>0.395226894078359</v>
      </c>
      <c r="H32" s="185" t="n">
        <f aca="false">IF(AND(ISNUMBER(Amortize_Prod!H31),ISNUMBER(Amortize_Prod!H29)),IF(Amortize_Prod!H31&gt;0,Amortize_Prod!H29*1000000/Amortize_Prod!H31,0),"SLO 不可達")</f>
        <v>0.64102625036191</v>
      </c>
      <c r="I32" s="185" t="n">
        <f aca="false">IF(AND(ISNUMBER(Amortize_Prod!I31),ISNUMBER(Amortize_Prod!I29)),IF(Amortize_Prod!I31&gt;0,Amortize_Prod!I29*1000000/Amortize_Prod!I31,0),"SLO 不可達")</f>
        <v>0.318616904679673</v>
      </c>
      <c r="J32" s="185" t="n">
        <f aca="false">IF(AND(ISNUMBER(Amortize_Prod!J31),ISNUMBER(Amortize_Prod!J29)),IF(Amortize_Prod!J31&gt;0,Amortize_Prod!J29*1000000/Amortize_Prod!J31,0),"SLO 不可達")</f>
        <v>0.411512171023732</v>
      </c>
      <c r="K32" s="185" t="n">
        <f aca="false">IF(AND(ISNUMBER(Amortize_Prod!K31),ISNUMBER(Amortize_Prod!K29)),IF(Amortize_Prod!K31&gt;0,Amortize_Prod!K29*1000000/Amortize_Prod!K31,0),"SLO 不可達")</f>
        <v>0.700619534670078</v>
      </c>
      <c r="L32" s="185" t="n">
        <f aca="false">IF(AND(ISNUMBER(Amortize_Prod!L31),ISNUMBER(Amortize_Prod!L29)),IF(Amortize_Prod!L31&gt;0,Amortize_Prod!L29*1000000/Amortize_Prod!L31,0),"SLO 不可達")</f>
        <v>0.133674399624571</v>
      </c>
      <c r="M32" s="185" t="n">
        <f aca="false">IF(AND(ISNUMBER(Amortize_Prod!M31),ISNUMBER(Amortize_Prod!M29)),IF(Amortize_Prod!M31&gt;0,Amortize_Prod!M29*1000000/Amortize_Prod!M31,0),"SLO 不可達")</f>
        <v>0.171806064085917</v>
      </c>
      <c r="N32" s="185" t="n">
        <f aca="false">IF(AND(ISNUMBER(Amortize_Prod!N31),ISNUMBER(Amortize_Prod!N29)),IF(Amortize_Prod!N31&gt;0,Amortize_Prod!N29*1000000/Amortize_Prod!N31,0),"SLO 不可達")</f>
        <v>0.277558016784294</v>
      </c>
      <c r="O32" s="185" t="n">
        <f aca="false">IF(AND(ISNUMBER(Amortize_Prod!O31),ISNUMBER(Amortize_Prod!O29)),IF(Amortize_Prod!O31&gt;0,Amortize_Prod!O29*1000000/Amortize_Prod!O31,0),"SLO 不可達")</f>
        <v>0.0684614561374125</v>
      </c>
      <c r="P32" s="185" t="n">
        <f aca="false">IF(AND(ISNUMBER(Amortize_Prod!P31),ISNUMBER(Amortize_Prod!P29)),IF(Amortize_Prod!P31&gt;0,Amortize_Prod!P29*1000000/Amortize_Prod!P31,0),"SLO 不可達")</f>
        <v>0.104052026168468</v>
      </c>
      <c r="Q32" s="185" t="n">
        <f aca="false">IF(AND(ISNUMBER(Amortize_Prod!Q31),ISNUMBER(Amortize_Prod!Q29)),IF(Amortize_Prod!Q31&gt;0,Amortize_Prod!Q29*1000000/Amortize_Prod!Q31,0),"SLO 不可達")</f>
        <v>0.189951289390897</v>
      </c>
      <c r="S32" s="185" t="n">
        <f aca="false">IF(AND(ISNUMBER(Amortize_Prod!S31),ISNUMBER(Amortize_Prod!S29)),IF(Amortize_Prod!S31&gt;0,Amortize_Prod!S29*1000000/Amortize_Prod!S31,0),"SLO 不可達")</f>
        <v>2.77777469594551</v>
      </c>
      <c r="T32" s="185" t="n">
        <f aca="false">IF(AND(ISNUMBER(Amortize_Prod!T31),ISNUMBER(Amortize_Prod!T29)),IF(Amortize_Prod!T31&gt;0,Amortize_Prod!T29*1000000/Amortize_Prod!T31,0),"SLO 不可達")</f>
        <v>3.96888441256699</v>
      </c>
      <c r="U32" s="185" t="n">
        <f aca="false">IF(AND(ISNUMBER(Amortize_Prod!U31),ISNUMBER(Amortize_Prod!U29)),IF(Amortize_Prod!U31&gt;0,Amortize_Prod!U29*1000000/Amortize_Prod!U31,0),"SLO 不可達")</f>
        <v>6.81603431985413</v>
      </c>
      <c r="V32" s="185" t="n">
        <f aca="false">IF(AND(ISNUMBER(Amortize_Prod!V31),ISNUMBER(Amortize_Prod!V29)),IF(Amortize_Prod!V31&gt;0,Amortize_Prod!V29*1000000/Amortize_Prod!V31,0),"SLO 不可達")</f>
        <v>0.228452001604401</v>
      </c>
      <c r="W32" s="185" t="n">
        <f aca="false">IF(AND(ISNUMBER(Amortize_Prod!W31),ISNUMBER(Amortize_Prod!W29)),IF(Amortize_Prod!W31&gt;0,Amortize_Prod!W29*1000000/Amortize_Prod!W31,0),"SLO 不可達")</f>
        <v>0.305031478460118</v>
      </c>
      <c r="X32" s="185" t="n">
        <f aca="false">IF(AND(ISNUMBER(Amortize_Prod!X31),ISNUMBER(Amortize_Prod!X29)),IF(Amortize_Prod!X31&gt;0,Amortize_Prod!X29*1000000/Amortize_Prod!X31,0),"SLO 不可達")</f>
        <v>0.49473653693433</v>
      </c>
      <c r="Y32" s="185" t="n">
        <f aca="false">IF(AND(ISNUMBER(Amortize_Prod!Y31),ISNUMBER(Amortize_Prod!Y29)),IF(Amortize_Prod!Y31&gt;0,Amortize_Prod!Y29*1000000/Amortize_Prod!Y31,0),"SLO 不可達")</f>
        <v>0.24019799874652</v>
      </c>
      <c r="Z32" s="185" t="n">
        <f aca="false">IF(AND(ISNUMBER(Amortize_Prod!Z31),ISNUMBER(Amortize_Prod!Z29)),IF(Amortize_Prod!Z31&gt;0,Amortize_Prod!Z29*1000000/Amortize_Prod!Z31,0),"SLO 不可達")</f>
        <v>0.310229615842608</v>
      </c>
      <c r="AA32" s="185" t="n">
        <f aca="false">IF(AND(ISNUMBER(Amortize_Prod!AA31),ISNUMBER(Amortize_Prod!AA29)),IF(Amortize_Prod!AA31&gt;0,Amortize_Prod!AA29*1000000/Amortize_Prod!AA31,0),"SLO 不可達")</f>
        <v>0.528181046387546</v>
      </c>
      <c r="AB32" s="185" t="n">
        <f aca="false">IF(AND(ISNUMBER(Amortize_Prod!AB31),ISNUMBER(Amortize_Prod!AB29)),IF(Amortize_Prod!AB31&gt;0,Amortize_Prod!AB29*1000000/Amortize_Prod!AB31,0),"SLO 不可達")</f>
        <v>0.100573347953864</v>
      </c>
      <c r="AC32" s="185" t="n">
        <f aca="false">IF(AND(ISNUMBER(Amortize_Prod!AC31),ISNUMBER(Amortize_Prod!AC29)),IF(Amortize_Prod!AC31&gt;0,Amortize_Prod!AC29*1000000/Amortize_Prod!AC31,0),"SLO 不可達")</f>
        <v>0.129262679409264</v>
      </c>
      <c r="AD32" s="185" t="n">
        <f aca="false">IF(AND(ISNUMBER(Amortize_Prod!AD31),ISNUMBER(Amortize_Prod!AD29)),IF(Amortize_Prod!AD31&gt;0,Amortize_Prod!AD29*1000000/Amortize_Prod!AD31,0),"SLO 不可達")</f>
        <v>0.208827861414237</v>
      </c>
      <c r="AE32" s="185" t="n">
        <f aca="false">IF(AND(ISNUMBER(Amortize_Prod!AE31),ISNUMBER(Amortize_Prod!AE29)),IF(Amortize_Prod!AE31&gt;0,Amortize_Prod!AE29*1000000/Amortize_Prod!AE31,0),"SLO 不可達")</f>
        <v>0.0523766024928945</v>
      </c>
      <c r="AF32" s="185" t="n">
        <f aca="false">IF(AND(ISNUMBER(Amortize_Prod!AF31),ISNUMBER(Amortize_Prod!AF29)),IF(Amortize_Prod!AF31&gt;0,Amortize_Prod!AF29*1000000/Amortize_Prod!AF31,0),"SLO 不可達")</f>
        <v>0.0796052541194475</v>
      </c>
      <c r="AG32" s="185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2230</v>
      </c>
      <c r="B33" s="59" t="s">
        <v>1045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3480</v>
      </c>
    </row>
    <row r="2" customFormat="false" ht="15" hidden="false" customHeight="false" outlineLevel="0" collapsed="false">
      <c r="A2" s="65" t="s">
        <v>3481</v>
      </c>
    </row>
    <row r="3" customFormat="false" ht="15" hidden="false" customHeight="false" outlineLevel="0" collapsed="false">
      <c r="S3" s="60" t="s">
        <v>3453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2260</v>
      </c>
      <c r="B10" s="59" t="s">
        <v>3455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2261</v>
      </c>
      <c r="B11" s="59" t="s">
        <v>3482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2271</v>
      </c>
      <c r="B17" s="59" t="s">
        <v>1045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2272</v>
      </c>
      <c r="B18" s="59" t="s">
        <v>1045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0.0316179029806012</v>
      </c>
      <c r="G18" s="161" t="n">
        <f aca="false">IF(AND(ISNUMBER(Theory_Rev_Prod!G17),ISNUMBER(Amortize_Prod!G13)),Theory_Rev_Prod!G17+Amortize_Prod!G13,"SLO 不可達")</f>
        <v>0.0422129203657971</v>
      </c>
      <c r="H18" s="161" t="n">
        <f aca="false">IF(AND(ISNUMBER(Theory_Rev_Prod!H17),ISNUMBER(Amortize_Prod!H13)),Theory_Rev_Prod!H17+Amortize_Prod!H13,"SLO 不可達")</f>
        <v>0.0684592264927087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0.0252757581494963</v>
      </c>
      <c r="W18" s="161" t="n">
        <f aca="false">IF(AND(ISNUMBER(Theory_Rev_Prod!W17),ISNUMBER(Amortize_Prod!W13)),Theory_Rev_Prod!W17+Amortize_Prod!W13,"SLO 不可達")</f>
        <v>0.0337448229061386</v>
      </c>
      <c r="X18" s="161" t="n">
        <f aca="false">IF(AND(ISNUMBER(Theory_Rev_Prod!X17),ISNUMBER(Amortize_Prod!X13)),Theory_Rev_Prod!X17+Amortize_Prod!X13,"SLO 不可達")</f>
        <v>0.0547246531537095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2260</v>
      </c>
      <c r="B28" s="59" t="s">
        <v>3455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2286</v>
      </c>
      <c r="B29" s="59" t="s">
        <v>3482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2271</v>
      </c>
      <c r="B35" s="59" t="s">
        <v>1045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2291</v>
      </c>
      <c r="B36" s="59" t="s">
        <v>1045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0.1037019329333</v>
      </c>
      <c r="G36" s="161" t="n">
        <f aca="false">IF(AND(ISNUMBER(Theory_Rev_Prod!G35),ISNUMBER(Amortize_Prod!G22)),Theory_Rev_Prod!G35+Amortize_Prod!G22,"SLO 不可達")</f>
        <v>0.138458743671178</v>
      </c>
      <c r="H36" s="161" t="n">
        <f aca="false">IF(AND(ISNUMBER(Theory_Rev_Prod!H35),ISNUMBER(Amortize_Prod!H22)),Theory_Rev_Prod!H35+Amortize_Prod!H22,"SLO 不可達")</f>
        <v>0.224559394708913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0.0843522277428262</v>
      </c>
      <c r="W36" s="161" t="n">
        <f aca="false">IF(AND(ISNUMBER(Theory_Rev_Prod!W35),ISNUMBER(Amortize_Prod!W22)),Theory_Rev_Prod!W35+Amortize_Prod!W22,"SLO 不可達")</f>
        <v>0.112622816909467</v>
      </c>
      <c r="X36" s="161" t="n">
        <f aca="false">IF(AND(ISNUMBER(Theory_Rev_Prod!X35),ISNUMBER(Amortize_Prod!X22)),Theory_Rev_Prod!X35+Amortize_Prod!X22,"SLO 不可達")</f>
        <v>0.182655598421708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2260</v>
      </c>
      <c r="B46" s="59" t="s">
        <v>3455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2299</v>
      </c>
      <c r="B47" s="59" t="s">
        <v>3482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2271</v>
      </c>
      <c r="B53" s="59" t="s">
        <v>1045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2304</v>
      </c>
      <c r="B54" s="59" t="s">
        <v>1045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0.768239561562932</v>
      </c>
      <c r="G54" s="161" t="n">
        <f aca="false">IF(AND(ISNUMBER(Theory_Rev_Prod!G53),ISNUMBER(Amortize_Prod!G32)),Theory_Rev_Prod!G53+Amortize_Prod!G32,"SLO 不可達")</f>
        <v>1.02568658738703</v>
      </c>
      <c r="H54" s="161" t="n">
        <f aca="false">IF(AND(ISNUMBER(Theory_Rev_Prod!H53),ISNUMBER(Amortize_Prod!H32)),Theory_Rev_Prod!H53+Amortize_Prod!H32,"SLO 不可達")</f>
        <v>1.66344235555438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0.599060192145636</v>
      </c>
      <c r="W54" s="161" t="n">
        <f aca="false">IF(AND(ISNUMBER(Theory_Rev_Prod!W53),ISNUMBER(Amortize_Prod!W32)),Theory_Rev_Prod!W53+Amortize_Prod!W32,"SLO 不可達")</f>
        <v>0.79979654126841</v>
      </c>
      <c r="X54" s="161" t="n">
        <f aca="false">IF(AND(ISNUMBER(Theory_Rev_Prod!X53),ISNUMBER(Amortize_Prod!X32)),Theory_Rev_Prod!X53+Amortize_Prod!X32,"SLO 不可達")</f>
        <v>1.2970668597897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2315</v>
      </c>
      <c r="B67" s="59" t="s">
        <v>3482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3483</v>
      </c>
    </row>
    <row r="90" customFormat="false" ht="15" hidden="false" customHeight="false" outlineLevel="0" collapsed="false">
      <c r="A90" s="59" t="s">
        <v>3484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3485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3486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3487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3488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3489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3490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3491</v>
      </c>
    </row>
    <row r="2" customFormat="false" ht="15" hidden="false" customHeight="true" outlineLevel="0" collapsed="false">
      <c r="A2" s="3" t="s">
        <v>3492</v>
      </c>
    </row>
    <row r="3" customFormat="false" ht="15" hidden="false" customHeight="true" outlineLevel="0" collapsed="false">
      <c r="A3" s="45" t="s">
        <v>3493</v>
      </c>
      <c r="Z3" s="13" t="s">
        <v>2</v>
      </c>
    </row>
    <row r="4" customFormat="false" ht="15" hidden="false" customHeight="true" outlineLevel="0" collapsed="false">
      <c r="A4" s="22" t="s">
        <v>3494</v>
      </c>
      <c r="B4" s="22" t="s">
        <v>113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3495</v>
      </c>
      <c r="S4" s="85" t="s">
        <v>3496</v>
      </c>
      <c r="T4" s="84" t="s">
        <v>3497</v>
      </c>
      <c r="U4" s="84" t="s">
        <v>3498</v>
      </c>
      <c r="V4" s="84" t="s">
        <v>3499</v>
      </c>
      <c r="W4" s="84" t="s">
        <v>3500</v>
      </c>
      <c r="X4" s="84" t="s">
        <v>3501</v>
      </c>
      <c r="Y4" s="84" t="s">
        <v>3502</v>
      </c>
    </row>
    <row r="5" customFormat="false" ht="15" hidden="false" customHeight="true" outlineLevel="0" collapsed="false">
      <c r="A5" s="22" t="s">
        <v>28</v>
      </c>
      <c r="C5" s="36" t="s">
        <v>114</v>
      </c>
      <c r="D5" s="36" t="s">
        <v>115</v>
      </c>
      <c r="E5" s="36" t="s">
        <v>116</v>
      </c>
      <c r="F5" s="36" t="s">
        <v>114</v>
      </c>
      <c r="G5" s="36" t="s">
        <v>115</v>
      </c>
      <c r="H5" s="36" t="s">
        <v>116</v>
      </c>
      <c r="I5" s="36" t="s">
        <v>114</v>
      </c>
      <c r="J5" s="36" t="s">
        <v>115</v>
      </c>
      <c r="K5" s="36" t="s">
        <v>116</v>
      </c>
      <c r="L5" s="36" t="s">
        <v>114</v>
      </c>
      <c r="M5" s="36" t="s">
        <v>115</v>
      </c>
      <c r="N5" s="36" t="s">
        <v>116</v>
      </c>
      <c r="O5" s="36" t="s">
        <v>114</v>
      </c>
      <c r="P5" s="36" t="s">
        <v>115</v>
      </c>
      <c r="Q5" s="36" t="s">
        <v>116</v>
      </c>
    </row>
    <row r="6" customFormat="false" ht="15" hidden="false" customHeight="true" outlineLevel="0" collapsed="false">
      <c r="A6" s="22" t="s">
        <v>3503</v>
      </c>
      <c r="B6" s="23" t="s">
        <v>937</v>
      </c>
      <c r="C6" s="29" t="n">
        <f aca="false">(DC_Cost!C12)/CTL_GW</f>
        <v>22439</v>
      </c>
      <c r="D6" s="186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6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6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6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6" t="n">
        <f aca="false">(DC_Cost!P12)/CTL_GW</f>
        <v>2705</v>
      </c>
      <c r="Q6" s="29" t="n">
        <f aca="false">(DC_Cost!Q12)/CTL_GW</f>
        <v>2705</v>
      </c>
      <c r="R6" s="187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814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3504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3505</v>
      </c>
      <c r="B7" s="23" t="s">
        <v>931</v>
      </c>
      <c r="C7" s="29" t="n">
        <f aca="false">(DC_Cost!C14)/CTL_GW</f>
        <v>718048</v>
      </c>
      <c r="D7" s="186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6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6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6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6" t="n">
        <f aca="false">(DC_Cost!P14)/CTL_GW</f>
        <v>194760</v>
      </c>
      <c r="Q7" s="29" t="n">
        <f aca="false">(DC_Cost!Q14)/CTL_GW</f>
        <v>194760</v>
      </c>
      <c r="R7" s="187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814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3506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3507</v>
      </c>
      <c r="B8" s="17" t="s">
        <v>121</v>
      </c>
      <c r="C8" s="130" t="n">
        <f aca="false">(DC_Cost!C16/1000)/CTL_GW</f>
        <v>1.1</v>
      </c>
      <c r="D8" s="188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8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8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8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8" t="n">
        <f aca="false">(DC_Cost!P16/1000)/CTL_GW</f>
        <v>1.2</v>
      </c>
      <c r="Q8" s="130" t="n">
        <f aca="false">(DC_Cost!Q16/1000)/CTL_GW</f>
        <v>1.3</v>
      </c>
      <c r="R8" s="187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814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3508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3509</v>
      </c>
      <c r="B9" s="17" t="s">
        <v>1094</v>
      </c>
      <c r="C9" s="38" t="n">
        <f aca="false">(DC_Cost!C24)/CTL_GW</f>
        <v>21.4202694</v>
      </c>
      <c r="D9" s="189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9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9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9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9" t="n">
        <f aca="false">(DC_Cost!P24)/CTL_GW</f>
        <v>50.08578</v>
      </c>
      <c r="Q9" s="38" t="n">
        <f aca="false">(DC_Cost!Q24)/CTL_GW</f>
        <v>65.481558</v>
      </c>
      <c r="R9" s="187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814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3510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3511</v>
      </c>
      <c r="B10" s="17" t="s">
        <v>1094</v>
      </c>
      <c r="C10" s="38" t="n">
        <f aca="false">(DC_Cost!C32)/CTL_GW</f>
        <v>10.212</v>
      </c>
      <c r="D10" s="189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9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9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9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9" t="n">
        <f aca="false">(DC_Cost!P32)/CTL_GW</f>
        <v>12.67</v>
      </c>
      <c r="Q10" s="38" t="n">
        <f aca="false">(DC_Cost!Q32)/CTL_GW</f>
        <v>16.186</v>
      </c>
      <c r="R10" s="187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814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3512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3513</v>
      </c>
      <c r="B11" s="17" t="s">
        <v>1094</v>
      </c>
      <c r="C11" s="38" t="n">
        <f aca="false">(DC_Cost!C33)/CTL_GW</f>
        <v>31.6322694</v>
      </c>
      <c r="D11" s="189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9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9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9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9" t="n">
        <f aca="false">(DC_Cost!P33)/CTL_GW</f>
        <v>62.75578</v>
      </c>
      <c r="Q11" s="38" t="n">
        <f aca="false">(DC_Cost!Q33)/CTL_GW</f>
        <v>81.667558</v>
      </c>
      <c r="R11" s="187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814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3514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3515</v>
      </c>
      <c r="B12" s="17" t="s">
        <v>3516</v>
      </c>
      <c r="C12" s="190" t="n">
        <f aca="false">(DC_Cost!C49)/CTL_GW</f>
        <v>5.19000377241587</v>
      </c>
      <c r="D12" s="191" t="n">
        <f aca="false">(DC_Cost!D49)/CTL_GW</f>
        <v>7.10411981353067</v>
      </c>
      <c r="E12" s="190" t="n">
        <f aca="false">(DC_Cost!E49)/CTL_GW</f>
        <v>12.2070705365445</v>
      </c>
      <c r="F12" s="190" t="n">
        <f aca="false">(DC_Cost!F49)/CTL_GW</f>
        <v>5.04951503784896</v>
      </c>
      <c r="G12" s="191" t="n">
        <f aca="false">(DC_Cost!G49)/CTL_GW</f>
        <v>6.44917840537967</v>
      </c>
      <c r="H12" s="190" t="n">
        <f aca="false">(DC_Cost!H49)/CTL_GW</f>
        <v>10.4195985807088</v>
      </c>
      <c r="I12" s="190" t="n">
        <f aca="false">(DC_Cost!I49)/CTL_GW</f>
        <v>6.47360284700915</v>
      </c>
      <c r="J12" s="191" t="n">
        <f aca="false">(DC_Cost!J49)/CTL_GW</f>
        <v>7.98992214647791</v>
      </c>
      <c r="K12" s="190" t="n">
        <f aca="false">(DC_Cost!K49)/CTL_GW</f>
        <v>13.6330236684808</v>
      </c>
      <c r="L12" s="190" t="n">
        <f aca="false">(DC_Cost!L49)/CTL_GW</f>
        <v>7.32251312176997</v>
      </c>
      <c r="M12" s="191" t="n">
        <f aca="false">(DC_Cost!M49)/CTL_GW</f>
        <v>8.9923042149807</v>
      </c>
      <c r="N12" s="190" t="n">
        <f aca="false">(DC_Cost!N49)/CTL_GW</f>
        <v>14.5598263108425</v>
      </c>
      <c r="O12" s="190" t="n">
        <f aca="false">(DC_Cost!O49)/CTL_GW</f>
        <v>7.78527570436843</v>
      </c>
      <c r="P12" s="191" t="n">
        <f aca="false">(DC_Cost!P49)/CTL_GW</f>
        <v>11.3345929943372</v>
      </c>
      <c r="Q12" s="190" t="n">
        <f aca="false">(DC_Cost!Q49)/CTL_GW</f>
        <v>20.8704255692031</v>
      </c>
      <c r="R12" s="187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814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3517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3518</v>
      </c>
      <c r="B13" s="17" t="s">
        <v>3516</v>
      </c>
      <c r="C13" s="190" t="n">
        <f aca="false">(DC_Cost!C55)/CTL_GW</f>
        <v>6.79107465326444</v>
      </c>
      <c r="D13" s="191" t="n">
        <f aca="false">(DC_Cost!D55)/CTL_GW</f>
        <v>9.70308728611469</v>
      </c>
      <c r="E13" s="190" t="n">
        <f aca="false">(DC_Cost!E55)/CTL_GW</f>
        <v>16.6637697337026</v>
      </c>
      <c r="F13" s="190" t="n">
        <f aca="false">(DC_Cost!F55)/CTL_GW</f>
        <v>6.6118162762144</v>
      </c>
      <c r="G13" s="191" t="n">
        <f aca="false">(DC_Cost!G55)/CTL_GW</f>
        <v>8.82816556596761</v>
      </c>
      <c r="H13" s="190" t="n">
        <f aca="false">(DC_Cost!H55)/CTL_GW</f>
        <v>14.3185748619737</v>
      </c>
      <c r="I13" s="190" t="n">
        <f aca="false">(DC_Cost!I55)/CTL_GW</f>
        <v>8.42889912085495</v>
      </c>
      <c r="J13" s="191" t="n">
        <f aca="false">(DC_Cost!J55)/CTL_GW</f>
        <v>10.8864110021101</v>
      </c>
      <c r="K13" s="190" t="n">
        <f aca="false">(DC_Cost!K55)/CTL_GW</f>
        <v>18.5346455040469</v>
      </c>
      <c r="L13" s="190" t="n">
        <f aca="false">(DC_Cost!L55)/CTL_GW</f>
        <v>9.51207691858967</v>
      </c>
      <c r="M13" s="191" t="n">
        <f aca="false">(DC_Cost!M55)/CTL_GW</f>
        <v>12.2254710045841</v>
      </c>
      <c r="N13" s="190" t="n">
        <f aca="false">(DC_Cost!N55)/CTL_GW</f>
        <v>19.7506269894487</v>
      </c>
      <c r="O13" s="190" t="n">
        <f aca="false">(DC_Cost!O55)/CTL_GW</f>
        <v>10.1025446864987</v>
      </c>
      <c r="P13" s="191" t="n">
        <f aca="false">(DC_Cost!P55)/CTL_GW</f>
        <v>15.3544827030524</v>
      </c>
      <c r="Q13" s="190" t="n">
        <f aca="false">(DC_Cost!Q55)/CTL_GW</f>
        <v>28.0302450108258</v>
      </c>
      <c r="R13" s="187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814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3517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1129</v>
      </c>
      <c r="B14" s="17" t="s">
        <v>1054</v>
      </c>
      <c r="C14" s="190" t="n">
        <f aca="false">DC_Cost!C58</f>
        <v>1.07964486018265</v>
      </c>
      <c r="D14" s="191" t="n">
        <f aca="false">DC_Cost!D58</f>
        <v>1.54259654785589</v>
      </c>
      <c r="E14" s="190" t="n">
        <f aca="false">DC_Cost!E58</f>
        <v>2.64920565047995</v>
      </c>
      <c r="F14" s="190" t="n">
        <f aca="false">DC_Cost!F58</f>
        <v>1.50422814430785</v>
      </c>
      <c r="G14" s="191" t="n">
        <f aca="false">DC_Cost!G58</f>
        <v>2.00846099652078</v>
      </c>
      <c r="H14" s="190" t="n">
        <f aca="false">DC_Cost!H58</f>
        <v>3.25756227849869</v>
      </c>
      <c r="I14" s="190" t="n">
        <f aca="false">DC_Cost!I58</f>
        <v>1.97574392204647</v>
      </c>
      <c r="J14" s="191" t="n">
        <f aca="false">DC_Cost!J58</f>
        <v>2.55178761329595</v>
      </c>
      <c r="K14" s="190" t="n">
        <f aca="false">DC_Cost!K58</f>
        <v>4.34454282544458</v>
      </c>
      <c r="L14" s="190" t="n">
        <f aca="false">DC_Cost!L58</f>
        <v>3.72193954123947</v>
      </c>
      <c r="M14" s="191" t="n">
        <f aca="false">DC_Cost!M58</f>
        <v>4.78365180724219</v>
      </c>
      <c r="N14" s="190" t="n">
        <f aca="false">DC_Cost!N58</f>
        <v>7.72813762813851</v>
      </c>
      <c r="O14" s="190" t="n">
        <f aca="false">DC_Cost!O58</f>
        <v>5.92143420546319</v>
      </c>
      <c r="P14" s="191" t="n">
        <f aca="false">DC_Cost!P58</f>
        <v>8.99976806898525</v>
      </c>
      <c r="Q14" s="190" t="n">
        <f aca="false">DC_Cost!Q58</f>
        <v>16.4294498807254</v>
      </c>
      <c r="R14" s="187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814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3517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3519</v>
      </c>
      <c r="B15" s="17" t="s">
        <v>3516</v>
      </c>
      <c r="C15" s="190" t="n">
        <f aca="false">(DC_Cost!C43)/CTL_GW</f>
        <v>0.404712</v>
      </c>
      <c r="D15" s="191" t="n">
        <f aca="false">(DC_Cost!D43)/CTL_GW</f>
        <v>0.672768</v>
      </c>
      <c r="E15" s="190" t="n">
        <f aca="false">(DC_Cost!E43)/CTL_GW</f>
        <v>1.02492</v>
      </c>
      <c r="F15" s="190" t="n">
        <f aca="false">(DC_Cost!F43)/CTL_GW</f>
        <v>0.404712</v>
      </c>
      <c r="G15" s="191" t="n">
        <f aca="false">(DC_Cost!G43)/CTL_GW</f>
        <v>0.672768</v>
      </c>
      <c r="H15" s="190" t="n">
        <f aca="false">(DC_Cost!H43)/CTL_GW</f>
        <v>1.02492</v>
      </c>
      <c r="I15" s="190" t="n">
        <f aca="false">(DC_Cost!I43)/CTL_GW</f>
        <v>0.404712</v>
      </c>
      <c r="J15" s="191" t="n">
        <f aca="false">(DC_Cost!J43)/CTL_GW</f>
        <v>0.672768</v>
      </c>
      <c r="K15" s="190" t="n">
        <f aca="false">(DC_Cost!K43)/CTL_GW</f>
        <v>1.02492</v>
      </c>
      <c r="L15" s="190" t="n">
        <f aca="false">(DC_Cost!L43)/CTL_GW</f>
        <v>0.404712</v>
      </c>
      <c r="M15" s="191" t="n">
        <f aca="false">(DC_Cost!M43)/CTL_GW</f>
        <v>0.672768</v>
      </c>
      <c r="N15" s="190" t="n">
        <f aca="false">(DC_Cost!N43)/CTL_GW</f>
        <v>1.02492</v>
      </c>
      <c r="O15" s="190" t="n">
        <f aca="false">(DC_Cost!O43)/CTL_GW</f>
        <v>0.404712</v>
      </c>
      <c r="P15" s="191" t="n">
        <f aca="false">(DC_Cost!P43)/CTL_GW</f>
        <v>0.672768</v>
      </c>
      <c r="Q15" s="190" t="n">
        <f aca="false">(DC_Cost!Q43)/CTL_GW</f>
        <v>1.02492</v>
      </c>
      <c r="R15" s="187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814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3520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2" t="s">
        <v>3521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306</v>
      </c>
      <c r="C18" s="11"/>
    </row>
    <row r="19" customFormat="false" ht="15" hidden="false" customHeight="true" outlineLevel="0" collapsed="false">
      <c r="A19" s="193" t="s">
        <v>3522</v>
      </c>
      <c r="B19" s="30" t="s">
        <v>418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3523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3524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3" t="s">
        <v>3525</v>
      </c>
      <c r="B20" s="30" t="s">
        <v>418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3523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3524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3" t="s">
        <v>3464</v>
      </c>
      <c r="B21" s="30" t="s">
        <v>998</v>
      </c>
      <c r="C21" s="186" t="n">
        <f aca="false">INDEX(Perf!$C$98:$Q$98,3*(Unit_Cost!C$6-1)+1)</f>
        <v>112228240510.472</v>
      </c>
      <c r="D21" s="194" t="n">
        <f aca="false">INDEX(Perf!$C$98:$Q$98,3*(Unit_Cost!D$6-1)+1)</f>
        <v>112228240510.472</v>
      </c>
      <c r="E21" s="194" t="n">
        <f aca="false">INDEX(Perf!$C$98:$Q$98,3*(Unit_Cost!E$6-1)+1)</f>
        <v>112228240510.472</v>
      </c>
      <c r="F21" s="194" t="n">
        <f aca="false">INDEX(Perf!$C$98:$Q$98,3*(Unit_Cost!F$6-1)+1)</f>
        <v>496729138259.007</v>
      </c>
      <c r="G21" s="194" t="n">
        <f aca="false">INDEX(Perf!$C$98:$Q$98,3*(Unit_Cost!G$6-1)+1)</f>
        <v>496729138259.007</v>
      </c>
      <c r="H21" s="194" t="n">
        <f aca="false">INDEX(Perf!$C$98:$Q$98,3*(Unit_Cost!H$6-1)+1)</f>
        <v>496729138259.007</v>
      </c>
      <c r="I21" s="194" t="n">
        <f aca="false">INDEX(Perf!$C$98:$Q$98,3*(Unit_Cost!I$6-1)+1)</f>
        <v>723176042011.176</v>
      </c>
      <c r="J21" s="194" t="n">
        <f aca="false">INDEX(Perf!$C$98:$Q$98,3*(Unit_Cost!J$6-1)+1)</f>
        <v>723176042011.176</v>
      </c>
      <c r="K21" s="194" t="n">
        <f aca="false">INDEX(Perf!$C$98:$Q$98,3*(Unit_Cost!K$6-1)+1)</f>
        <v>723176042011.176</v>
      </c>
      <c r="L21" s="194" t="n">
        <f aca="false">INDEX(Perf!$C$98:$Q$98,3*(Unit_Cost!L$6-1)+1)</f>
        <v>1043267705667.06</v>
      </c>
      <c r="M21" s="194" t="n">
        <f aca="false">INDEX(Perf!$C$98:$Q$98,3*(Unit_Cost!M$6-1)+1)</f>
        <v>1043267705667.06</v>
      </c>
      <c r="N21" s="194" t="n">
        <f aca="false">INDEX(Perf!$C$98:$Q$98,3*(Unit_Cost!N$6-1)+1)</f>
        <v>1043267705667.06</v>
      </c>
      <c r="O21" s="194" t="n">
        <f aca="false">INDEX(Perf!$C$98:$Q$98,3*(Unit_Cost!O$6-1)+1)</f>
        <v>1404587982526.55</v>
      </c>
      <c r="P21" s="194" t="n">
        <f aca="false">INDEX(Perf!$C$98:$Q$98,3*(Unit_Cost!P$6-1)+1)</f>
        <v>1404587982526.55</v>
      </c>
      <c r="Q21" s="194" t="n">
        <f aca="false">INDEX(Perf!$C$98:$Q$98,3*(Unit_Cost!Q$6-1)+1)</f>
        <v>1404587982526.55</v>
      </c>
      <c r="R2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3523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3526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3527</v>
      </c>
      <c r="B22" s="30" t="s">
        <v>136</v>
      </c>
      <c r="C22" s="130" t="n">
        <f aca="false">INDEX(Perf!$C$120:$Q$120,3*(Unit_Cost!C$6-1)+1)</f>
        <v>0.10757377028048</v>
      </c>
      <c r="D22" s="195" t="n">
        <f aca="false">INDEX(Perf!$C$120:$Q$120,3*(Unit_Cost!D$6-1)+1)</f>
        <v>0.10757377028048</v>
      </c>
      <c r="E22" s="195" t="n">
        <f aca="false">INDEX(Perf!$C$120:$Q$120,3*(Unit_Cost!E$6-1)+1)</f>
        <v>0.10757377028048</v>
      </c>
      <c r="F22" s="195" t="n">
        <f aca="false">INDEX(Perf!$C$120:$Q$120,3*(Unit_Cost!F$6-1)+1)</f>
        <v>0.476128164957813</v>
      </c>
      <c r="G22" s="195" t="n">
        <f aca="false">INDEX(Perf!$C$120:$Q$120,3*(Unit_Cost!G$6-1)+1)</f>
        <v>0.476128164957813</v>
      </c>
      <c r="H22" s="195" t="n">
        <f aca="false">INDEX(Perf!$C$120:$Q$120,3*(Unit_Cost!H$6-1)+1)</f>
        <v>0.476128164957813</v>
      </c>
      <c r="I22" s="195" t="n">
        <f aca="false">INDEX(Perf!$C$120:$Q$120,3*(Unit_Cost!I$6-1)+1)</f>
        <v>0.693183578944178</v>
      </c>
      <c r="J22" s="195" t="n">
        <f aca="false">INDEX(Perf!$C$120:$Q$120,3*(Unit_Cost!J$6-1)+1)</f>
        <v>0.693183578944178</v>
      </c>
      <c r="K22" s="195" t="n">
        <f aca="false">INDEX(Perf!$C$120:$Q$120,3*(Unit_Cost!K$6-1)+1)</f>
        <v>0.693183578944178</v>
      </c>
      <c r="L22" s="195" t="n">
        <f aca="false">INDEX(Perf!$C$120:$Q$120,3*(Unit_Cost!L$6-1)+1)</f>
        <v>1</v>
      </c>
      <c r="M22" s="195" t="n">
        <f aca="false">INDEX(Perf!$C$120:$Q$120,3*(Unit_Cost!M$6-1)+1)</f>
        <v>1</v>
      </c>
      <c r="N22" s="195" t="n">
        <f aca="false">INDEX(Perf!$C$120:$Q$120,3*(Unit_Cost!N$6-1)+1)</f>
        <v>1</v>
      </c>
      <c r="O22" s="195" t="n">
        <f aca="false">INDEX(Perf!$C$120:$Q$120,3*(Unit_Cost!O$6-1)+1)</f>
        <v>1.34633514954674</v>
      </c>
      <c r="P22" s="195" t="n">
        <f aca="false">INDEX(Perf!$C$120:$Q$120,3*(Unit_Cost!P$6-1)+1)</f>
        <v>1.34633514954674</v>
      </c>
      <c r="Q22" s="195" t="n">
        <f aca="false">INDEX(Perf!$C$120:$Q$120,3*(Unit_Cost!Q$6-1)+1)</f>
        <v>1.34633514954674</v>
      </c>
      <c r="R2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3523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3526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3465</v>
      </c>
      <c r="B23" s="30" t="s">
        <v>1045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3523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3528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3529</v>
      </c>
      <c r="B24" s="30" t="s">
        <v>1045</v>
      </c>
      <c r="C24" s="196" t="n">
        <f aca="false">Unit_Cost!C17</f>
        <v>8.3822427339181E-006</v>
      </c>
      <c r="D24" s="196" t="n">
        <f aca="false">Unit_Cost!D17</f>
        <v>1.19765481979367E-005</v>
      </c>
      <c r="E24" s="196" t="n">
        <f aca="false">Unit_Cost!E17</f>
        <v>2.05681383141429E-005</v>
      </c>
      <c r="F24" s="196" t="n">
        <f aca="false">Unit_Cost!F17</f>
        <v>1.16786601759456E-005</v>
      </c>
      <c r="G24" s="196" t="n">
        <f aca="false">Unit_Cost!G17</f>
        <v>1.55934680146544E-005</v>
      </c>
      <c r="H24" s="196" t="n">
        <f aca="false">Unit_Cost!H17</f>
        <v>2.52913515788996E-005</v>
      </c>
      <c r="I24" s="196" t="n">
        <f aca="false">Unit_Cost!I17</f>
        <v>1.53394562836664E-005</v>
      </c>
      <c r="J24" s="196" t="n">
        <f aca="false">Unit_Cost!J17</f>
        <v>1.98117954976727E-005</v>
      </c>
      <c r="K24" s="196" t="n">
        <f aca="false">Unit_Cost!K17</f>
        <v>3.37305477697711E-005</v>
      </c>
      <c r="L24" s="196" t="n">
        <f aca="false">Unit_Cost!L17</f>
        <v>2.88967250493453E-005</v>
      </c>
      <c r="M24" s="196" t="n">
        <f aca="false">Unit_Cost!M17</f>
        <v>3.71397411145609E-005</v>
      </c>
      <c r="N24" s="196" t="n">
        <f aca="false">Unit_Cost!N17</f>
        <v>6.00004018629087E-005</v>
      </c>
      <c r="O24" s="196" t="n">
        <f aca="false">Unit_Cost!O17</f>
        <v>4.59733572340822E-005</v>
      </c>
      <c r="P24" s="196" t="n">
        <f aca="false">Unit_Cost!P17</f>
        <v>6.98731993133716E-005</v>
      </c>
      <c r="Q24" s="196" t="n">
        <f aca="false">Unit_Cost!Q17</f>
        <v>0.000127556423379521</v>
      </c>
      <c r="R2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3523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3530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3466</v>
      </c>
      <c r="B25" s="30" t="s">
        <v>1045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3523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3531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3532</v>
      </c>
      <c r="B26" s="30" t="s">
        <v>1045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3523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3531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3533</v>
      </c>
      <c r="B27" s="30" t="s">
        <v>1021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3523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3534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307</v>
      </c>
    </row>
    <row r="29" customFormat="false" ht="15" hidden="false" customHeight="true" outlineLevel="0" collapsed="false">
      <c r="A29" s="44" t="s">
        <v>3535</v>
      </c>
      <c r="B29" s="30" t="s">
        <v>418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3523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3524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3536</v>
      </c>
      <c r="B30" s="30" t="s">
        <v>418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3523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3524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3467</v>
      </c>
      <c r="B31" s="30" t="s">
        <v>998</v>
      </c>
      <c r="C31" s="194" t="n">
        <f aca="false">INDEX(Perf!$C$98:$Q$98,3*(Unit_Cost!C$6-1)+2)</f>
        <v>33634916325.118</v>
      </c>
      <c r="D31" s="194" t="n">
        <f aca="false">INDEX(Perf!$C$98:$Q$98,3*(Unit_Cost!D$6-1)+2)</f>
        <v>33634916325.118</v>
      </c>
      <c r="E31" s="194" t="n">
        <f aca="false">INDEX(Perf!$C$98:$Q$98,3*(Unit_Cost!E$6-1)+2)</f>
        <v>33634916325.118</v>
      </c>
      <c r="F31" s="194" t="n">
        <f aca="false">INDEX(Perf!$C$98:$Q$98,3*(Unit_Cost!F$6-1)+2)</f>
        <v>145846430710.54</v>
      </c>
      <c r="G31" s="194" t="n">
        <f aca="false">INDEX(Perf!$C$98:$Q$98,3*(Unit_Cost!G$6-1)+2)</f>
        <v>145846430710.54</v>
      </c>
      <c r="H31" s="194" t="n">
        <f aca="false">INDEX(Perf!$C$98:$Q$98,3*(Unit_Cost!H$6-1)+2)</f>
        <v>145846430710.54</v>
      </c>
      <c r="I31" s="194" t="n">
        <f aca="false">INDEX(Perf!$C$98:$Q$98,3*(Unit_Cost!I$6-1)+2)</f>
        <v>212334321421.888</v>
      </c>
      <c r="J31" s="194" t="n">
        <f aca="false">INDEX(Perf!$C$98:$Q$98,3*(Unit_Cost!J$6-1)+2)</f>
        <v>212334321421.888</v>
      </c>
      <c r="K31" s="194" t="n">
        <f aca="false">INDEX(Perf!$C$98:$Q$98,3*(Unit_Cost!K$6-1)+2)</f>
        <v>212334321421.888</v>
      </c>
      <c r="L31" s="194" t="n">
        <f aca="false">INDEX(Perf!$C$98:$Q$98,3*(Unit_Cost!L$6-1)+2)</f>
        <v>318984897819.054</v>
      </c>
      <c r="M31" s="194" t="n">
        <f aca="false">INDEX(Perf!$C$98:$Q$98,3*(Unit_Cost!M$6-1)+2)</f>
        <v>318984897819.054</v>
      </c>
      <c r="N31" s="194" t="n">
        <f aca="false">INDEX(Perf!$C$98:$Q$98,3*(Unit_Cost!N$6-1)+2)</f>
        <v>318984897819.054</v>
      </c>
      <c r="O31" s="194" t="n">
        <f aca="false">INDEX(Perf!$C$98:$Q$98,3*(Unit_Cost!O$6-1)+2)</f>
        <v>434380455314.928</v>
      </c>
      <c r="P31" s="194" t="n">
        <f aca="false">INDEX(Perf!$C$98:$Q$98,3*(Unit_Cost!P$6-1)+2)</f>
        <v>434380455314.928</v>
      </c>
      <c r="Q31" s="194" t="n">
        <f aca="false">INDEX(Perf!$C$98:$Q$98,3*(Unit_Cost!Q$6-1)+2)</f>
        <v>434380455314.928</v>
      </c>
      <c r="R3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3523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3526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3537</v>
      </c>
      <c r="B32" s="30" t="s">
        <v>136</v>
      </c>
      <c r="C32" s="195" t="n">
        <f aca="false">INDEX(Perf!$C$120:$Q$120,3*(Unit_Cost!C$6-1)+2)</f>
        <v>0.10544360110803</v>
      </c>
      <c r="D32" s="195" t="n">
        <f aca="false">INDEX(Perf!$C$120:$Q$120,3*(Unit_Cost!D$6-1)+2)</f>
        <v>0.10544360110803</v>
      </c>
      <c r="E32" s="195" t="n">
        <f aca="false">INDEX(Perf!$C$120:$Q$120,3*(Unit_Cost!E$6-1)+2)</f>
        <v>0.10544360110803</v>
      </c>
      <c r="F32" s="195" t="n">
        <f aca="false">INDEX(Perf!$C$120:$Q$120,3*(Unit_Cost!F$6-1)+2)</f>
        <v>0.457220488204027</v>
      </c>
      <c r="G32" s="195" t="n">
        <f aca="false">INDEX(Perf!$C$120:$Q$120,3*(Unit_Cost!G$6-1)+2)</f>
        <v>0.457220488204027</v>
      </c>
      <c r="H32" s="195" t="n">
        <f aca="false">INDEX(Perf!$C$120:$Q$120,3*(Unit_Cost!H$6-1)+2)</f>
        <v>0.457220488204027</v>
      </c>
      <c r="I32" s="195" t="n">
        <f aca="false">INDEX(Perf!$C$120:$Q$120,3*(Unit_Cost!I$6-1)+2)</f>
        <v>0.665656345719338</v>
      </c>
      <c r="J32" s="195" t="n">
        <f aca="false">INDEX(Perf!$C$120:$Q$120,3*(Unit_Cost!J$6-1)+2)</f>
        <v>0.665656345719338</v>
      </c>
      <c r="K32" s="195" t="n">
        <f aca="false">INDEX(Perf!$C$120:$Q$120,3*(Unit_Cost!K$6-1)+2)</f>
        <v>0.665656345719338</v>
      </c>
      <c r="L32" s="195" t="n">
        <f aca="false">INDEX(Perf!$C$120:$Q$120,3*(Unit_Cost!L$6-1)+2)</f>
        <v>1</v>
      </c>
      <c r="M32" s="195" t="n">
        <f aca="false">INDEX(Perf!$C$120:$Q$120,3*(Unit_Cost!M$6-1)+2)</f>
        <v>1</v>
      </c>
      <c r="N32" s="195" t="n">
        <f aca="false">INDEX(Perf!$C$120:$Q$120,3*(Unit_Cost!N$6-1)+2)</f>
        <v>1</v>
      </c>
      <c r="O32" s="195" t="n">
        <f aca="false">INDEX(Perf!$C$120:$Q$120,3*(Unit_Cost!O$6-1)+2)</f>
        <v>1.36175868602197</v>
      </c>
      <c r="P32" s="195" t="n">
        <f aca="false">INDEX(Perf!$C$120:$Q$120,3*(Unit_Cost!P$6-1)+2)</f>
        <v>1.36175868602197</v>
      </c>
      <c r="Q32" s="195" t="n">
        <f aca="false">INDEX(Perf!$C$120:$Q$120,3*(Unit_Cost!Q$6-1)+2)</f>
        <v>1.36175868602197</v>
      </c>
      <c r="R3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3523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3526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3468</v>
      </c>
      <c r="B33" s="30" t="s">
        <v>1045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3523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3528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3538</v>
      </c>
      <c r="B34" s="30" t="s">
        <v>1045</v>
      </c>
      <c r="C34" s="196" t="n">
        <f aca="false">Unit_Cost!C30</f>
        <v>1.18910885295117E-005</v>
      </c>
      <c r="D34" s="196" t="n">
        <f aca="false">Unit_Cost!D30</f>
        <v>1.69899869784684E-005</v>
      </c>
      <c r="E34" s="196" t="n">
        <f aca="false">Unit_Cost!E30</f>
        <v>2.91780566782028E-005</v>
      </c>
      <c r="F34" s="196" t="n">
        <f aca="false">Unit_Cost!F30</f>
        <v>1.65674016449461E-005</v>
      </c>
      <c r="G34" s="196" t="n">
        <f aca="false">Unit_Cost!G30</f>
        <v>2.21209662533469E-005</v>
      </c>
      <c r="H34" s="196" t="n">
        <f aca="false">Unit_Cost!H30</f>
        <v>3.58784289840203E-005</v>
      </c>
      <c r="I34" s="196" t="n">
        <f aca="false">Unit_Cost!I30</f>
        <v>2.17606240303174E-005</v>
      </c>
      <c r="J34" s="196" t="n">
        <f aca="false">Unit_Cost!J30</f>
        <v>2.81051052408846E-005</v>
      </c>
      <c r="K34" s="196" t="n">
        <f aca="false">Unit_Cost!K30</f>
        <v>4.7850311952466E-005</v>
      </c>
      <c r="L34" s="196" t="n">
        <f aca="false">Unit_Cost!L30</f>
        <v>4.09930285583736E-005</v>
      </c>
      <c r="M34" s="196" t="n">
        <f aca="false">Unit_Cost!M30</f>
        <v>5.2686609488098E-005</v>
      </c>
      <c r="N34" s="196" t="n">
        <f aca="false">Unit_Cost!N30</f>
        <v>8.51168491543588E-005</v>
      </c>
      <c r="O34" s="196" t="n">
        <f aca="false">Unit_Cost!O30</f>
        <v>6.52180184018376E-005</v>
      </c>
      <c r="P34" s="196" t="n">
        <f aca="false">Unit_Cost!P30</f>
        <v>9.91224455375737E-005</v>
      </c>
      <c r="Q34" s="196" t="n">
        <f aca="false">Unit_Cost!Q30</f>
        <v>0.000180952135491878</v>
      </c>
      <c r="R3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3523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3530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3469</v>
      </c>
      <c r="B35" s="30" t="s">
        <v>1045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3523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3531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3539</v>
      </c>
      <c r="B36" s="30" t="s">
        <v>1045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3523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3531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3540</v>
      </c>
      <c r="B37" s="30" t="s">
        <v>1021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3523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3534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308</v>
      </c>
    </row>
    <row r="39" customFormat="false" ht="15" hidden="false" customHeight="true" outlineLevel="0" collapsed="false">
      <c r="A39" s="44" t="s">
        <v>3541</v>
      </c>
      <c r="B39" s="30" t="s">
        <v>418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3523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3524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3542</v>
      </c>
      <c r="B40" s="30" t="s">
        <v>418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7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3523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3524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3470</v>
      </c>
      <c r="B41" s="30" t="s">
        <v>998</v>
      </c>
      <c r="C41" s="194" t="n">
        <f aca="false">INDEX(Perf!$C$98:$Q$98,3*(Unit_Cost!C$6-1)+3)</f>
        <v>6809025705.99183</v>
      </c>
      <c r="D41" s="194" t="n">
        <f aca="false">INDEX(Perf!$C$98:$Q$98,3*(Unit_Cost!D$6-1)+3)</f>
        <v>6809025705.99183</v>
      </c>
      <c r="E41" s="194" t="n">
        <f aca="false">INDEX(Perf!$C$98:$Q$98,3*(Unit_Cost!E$6-1)+3)</f>
        <v>6809025705.99183</v>
      </c>
      <c r="F41" s="194" t="n">
        <f aca="false">INDEX(Perf!$C$98:$Q$98,3*(Unit_Cost!F$6-1)+3)</f>
        <v>29767762827.5194</v>
      </c>
      <c r="G41" s="194" t="n">
        <f aca="false">INDEX(Perf!$C$98:$Q$98,3*(Unit_Cost!G$6-1)+3)</f>
        <v>29767762827.5194</v>
      </c>
      <c r="H41" s="194" t="n">
        <f aca="false">INDEX(Perf!$C$98:$Q$98,3*(Unit_Cost!H$6-1)+3)</f>
        <v>29767762827.5194</v>
      </c>
      <c r="I41" s="194" t="n">
        <f aca="false">INDEX(Perf!$C$98:$Q$98,3*(Unit_Cost!I$6-1)+3)</f>
        <v>39257828144.5082</v>
      </c>
      <c r="J41" s="194" t="n">
        <f aca="false">INDEX(Perf!$C$98:$Q$98,3*(Unit_Cost!J$6-1)+3)</f>
        <v>39257828144.5082</v>
      </c>
      <c r="K41" s="194" t="n">
        <f aca="false">INDEX(Perf!$C$98:$Q$98,3*(Unit_Cost!K$6-1)+3)</f>
        <v>39257828144.5082</v>
      </c>
      <c r="L41" s="194" t="n">
        <f aca="false">INDEX(Perf!$C$98:$Q$98,3*(Unit_Cost!L$6-1)+3)</f>
        <v>69625193603.6778</v>
      </c>
      <c r="M41" s="194" t="n">
        <f aca="false">INDEX(Perf!$C$98:$Q$98,3*(Unit_Cost!M$6-1)+3)</f>
        <v>69625193603.6778</v>
      </c>
      <c r="N41" s="194" t="n">
        <f aca="false">INDEX(Perf!$C$98:$Q$98,3*(Unit_Cost!N$6-1)+3)</f>
        <v>69625193603.6778</v>
      </c>
      <c r="O41" s="194" t="n">
        <f aca="false">INDEX(Perf!$C$98:$Q$98,3*(Unit_Cost!O$6-1)+3)</f>
        <v>98521567397.5749</v>
      </c>
      <c r="P41" s="194" t="n">
        <f aca="false">INDEX(Perf!$C$98:$Q$98,3*(Unit_Cost!P$6-1)+3)</f>
        <v>98521567397.5749</v>
      </c>
      <c r="Q41" s="194" t="n">
        <f aca="false">INDEX(Perf!$C$98:$Q$98,3*(Unit_Cost!Q$6-1)+3)</f>
        <v>98521567397.5749</v>
      </c>
      <c r="R41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3523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3526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3543</v>
      </c>
      <c r="B42" s="30" t="s">
        <v>136</v>
      </c>
      <c r="C42" s="195" t="n">
        <f aca="false">INDEX(Perf!$C$120:$Q$120,3*(Unit_Cost!C$6-1)+3)</f>
        <v>0.0977954294066359</v>
      </c>
      <c r="D42" s="195" t="n">
        <f aca="false">INDEX(Perf!$C$120:$Q$120,3*(Unit_Cost!D$6-1)+3)</f>
        <v>0.0977954294066359</v>
      </c>
      <c r="E42" s="195" t="n">
        <f aca="false">INDEX(Perf!$C$120:$Q$120,3*(Unit_Cost!E$6-1)+3)</f>
        <v>0.0977954294066359</v>
      </c>
      <c r="F42" s="195" t="n">
        <f aca="false">INDEX(Perf!$C$120:$Q$120,3*(Unit_Cost!F$6-1)+3)</f>
        <v>0.427542981021557</v>
      </c>
      <c r="G42" s="195" t="n">
        <f aca="false">INDEX(Perf!$C$120:$Q$120,3*(Unit_Cost!G$6-1)+3)</f>
        <v>0.427542981021557</v>
      </c>
      <c r="H42" s="195" t="n">
        <f aca="false">INDEX(Perf!$C$120:$Q$120,3*(Unit_Cost!H$6-1)+3)</f>
        <v>0.427542981021557</v>
      </c>
      <c r="I42" s="195" t="n">
        <f aca="false">INDEX(Perf!$C$120:$Q$120,3*(Unit_Cost!I$6-1)+3)</f>
        <v>0.563845155935545</v>
      </c>
      <c r="J42" s="195" t="n">
        <f aca="false">INDEX(Perf!$C$120:$Q$120,3*(Unit_Cost!J$6-1)+3)</f>
        <v>0.563845155935545</v>
      </c>
      <c r="K42" s="195" t="n">
        <f aca="false">INDEX(Perf!$C$120:$Q$120,3*(Unit_Cost!K$6-1)+3)</f>
        <v>0.563845155935545</v>
      </c>
      <c r="L42" s="195" t="n">
        <f aca="false">INDEX(Perf!$C$120:$Q$120,3*(Unit_Cost!L$6-1)+3)</f>
        <v>1</v>
      </c>
      <c r="M42" s="195" t="n">
        <f aca="false">INDEX(Perf!$C$120:$Q$120,3*(Unit_Cost!M$6-1)+3)</f>
        <v>1</v>
      </c>
      <c r="N42" s="195" t="n">
        <f aca="false">INDEX(Perf!$C$120:$Q$120,3*(Unit_Cost!N$6-1)+3)</f>
        <v>1</v>
      </c>
      <c r="O42" s="195" t="n">
        <f aca="false">INDEX(Perf!$C$120:$Q$120,3*(Unit_Cost!O$6-1)+3)</f>
        <v>1.41502755393948</v>
      </c>
      <c r="P42" s="195" t="n">
        <f aca="false">INDEX(Perf!$C$120:$Q$120,3*(Unit_Cost!P$6-1)+3)</f>
        <v>1.41502755393948</v>
      </c>
      <c r="Q42" s="195" t="n">
        <f aca="false">INDEX(Perf!$C$120:$Q$120,3*(Unit_Cost!Q$6-1)+3)</f>
        <v>1.41502755393948</v>
      </c>
      <c r="R42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3523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3526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3471</v>
      </c>
      <c r="B43" s="30" t="s">
        <v>1045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7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3523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3528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3544</v>
      </c>
      <c r="B44" s="30" t="s">
        <v>1045</v>
      </c>
      <c r="C44" s="196" t="n">
        <f aca="false">Unit_Cost!C43</f>
        <v>0.000172743177629224</v>
      </c>
      <c r="D44" s="196" t="n">
        <f aca="false">Unit_Cost!D43</f>
        <v>0.000246815447656943</v>
      </c>
      <c r="E44" s="196" t="n">
        <f aca="false">Unit_Cost!E43</f>
        <v>0.000423872904076792</v>
      </c>
      <c r="F44" s="196" t="n">
        <f aca="false">Unit_Cost!F43</f>
        <v>0.000240676503089255</v>
      </c>
      <c r="G44" s="196" t="n">
        <f aca="false">Unit_Cost!G43</f>
        <v>0.000321353759443325</v>
      </c>
      <c r="H44" s="196" t="n">
        <f aca="false">Unit_Cost!H43</f>
        <v>0.000521209964559791</v>
      </c>
      <c r="I44" s="196" t="n">
        <f aca="false">Unit_Cost!I43</f>
        <v>0.000316119027527436</v>
      </c>
      <c r="J44" s="196" t="n">
        <f aca="false">Unit_Cost!J43</f>
        <v>0.000408286018127352</v>
      </c>
      <c r="K44" s="196" t="n">
        <f aca="false">Unit_Cost!K43</f>
        <v>0.000695126852071133</v>
      </c>
      <c r="L44" s="196" t="n">
        <f aca="false">Unit_Cost!L43</f>
        <v>0.000595510326598316</v>
      </c>
      <c r="M44" s="196" t="n">
        <f aca="false">Unit_Cost!M43</f>
        <v>0.000765384289158751</v>
      </c>
      <c r="N44" s="196" t="n">
        <f aca="false">Unit_Cost!N43</f>
        <v>0.00123650202050216</v>
      </c>
      <c r="O44" s="196" t="n">
        <f aca="false">Unit_Cost!O43</f>
        <v>0.00094742947287411</v>
      </c>
      <c r="P44" s="196" t="n">
        <f aca="false">Unit_Cost!P43</f>
        <v>0.00143996289103764</v>
      </c>
      <c r="Q44" s="196" t="n">
        <f aca="false">Unit_Cost!Q43</f>
        <v>0.00262871198091606</v>
      </c>
      <c r="R44" s="187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3523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3530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3472</v>
      </c>
      <c r="B45" s="30" t="s">
        <v>1045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3523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3531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3545</v>
      </c>
      <c r="B46" s="30" t="s">
        <v>1045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7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3523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3531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3546</v>
      </c>
      <c r="B47" s="30" t="s">
        <v>1021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7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3523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3534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3547</v>
      </c>
      <c r="B48" s="30" t="s">
        <v>131</v>
      </c>
      <c r="C48" s="197" t="n">
        <f aca="false">Serving!$C$17</f>
        <v>0.6</v>
      </c>
      <c r="R48" s="187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3548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3549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3550</v>
      </c>
      <c r="C50" s="21" t="s">
        <v>3551</v>
      </c>
    </row>
    <row r="52" customFormat="false" ht="15" hidden="false" customHeight="true" outlineLevel="0" collapsed="false">
      <c r="A52" s="43" t="s">
        <v>3552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306</v>
      </c>
    </row>
    <row r="54" customFormat="false" ht="15" hidden="false" customHeight="true" outlineLevel="0" collapsed="false">
      <c r="A54" s="44" t="s">
        <v>3553</v>
      </c>
      <c r="B54" s="30" t="s">
        <v>1297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814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3554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3555</v>
      </c>
      <c r="B55" s="30" t="s">
        <v>1092</v>
      </c>
      <c r="C55" s="198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8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8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8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8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8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8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8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8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8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8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8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8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8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8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814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3556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3557</v>
      </c>
      <c r="B56" s="30" t="s">
        <v>131</v>
      </c>
      <c r="C56" s="199" t="n">
        <f aca="false">INDEX(Training!$C$110:$Q$110,3*(Unit_Cost!C$6-1)+1)</f>
        <v>0.131230136086418</v>
      </c>
      <c r="D56" s="199" t="n">
        <f aca="false">INDEX(Training!$C$110:$Q$110,3*(Unit_Cost!D$6-1)+1)</f>
        <v>0.131230136086418</v>
      </c>
      <c r="E56" s="199" t="n">
        <f aca="false">INDEX(Training!$C$110:$Q$110,3*(Unit_Cost!E$6-1)+1)</f>
        <v>0.131230136086418</v>
      </c>
      <c r="F56" s="199" t="n">
        <f aca="false">INDEX(Training!$C$110:$Q$110,3*(Unit_Cost!F$6-1)+1)</f>
        <v>0.131230136086418</v>
      </c>
      <c r="G56" s="199" t="n">
        <f aca="false">INDEX(Training!$C$110:$Q$110,3*(Unit_Cost!G$6-1)+1)</f>
        <v>0.131230136086418</v>
      </c>
      <c r="H56" s="199" t="n">
        <f aca="false">INDEX(Training!$C$110:$Q$110,3*(Unit_Cost!H$6-1)+1)</f>
        <v>0.131230136086418</v>
      </c>
      <c r="I56" s="199" t="n">
        <f aca="false">INDEX(Training!$C$110:$Q$110,3*(Unit_Cost!I$6-1)+1)</f>
        <v>0.131230136086418</v>
      </c>
      <c r="J56" s="199" t="n">
        <f aca="false">INDEX(Training!$C$110:$Q$110,3*(Unit_Cost!J$6-1)+1)</f>
        <v>0.131230136086418</v>
      </c>
      <c r="K56" s="199" t="n">
        <f aca="false">INDEX(Training!$C$110:$Q$110,3*(Unit_Cost!K$6-1)+1)</f>
        <v>0.131230136086418</v>
      </c>
      <c r="L56" s="199" t="n">
        <f aca="false">INDEX(Training!$C$110:$Q$110,3*(Unit_Cost!L$6-1)+1)</f>
        <v>0.131230136086418</v>
      </c>
      <c r="M56" s="199" t="n">
        <f aca="false">INDEX(Training!$C$110:$Q$110,3*(Unit_Cost!M$6-1)+1)</f>
        <v>0.131230136086418</v>
      </c>
      <c r="N56" s="199" t="n">
        <f aca="false">INDEX(Training!$C$110:$Q$110,3*(Unit_Cost!N$6-1)+1)</f>
        <v>0.131230136086418</v>
      </c>
      <c r="O56" s="199" t="n">
        <f aca="false">INDEX(Training!$C$110:$Q$110,3*(Unit_Cost!O$6-1)+1)</f>
        <v>0.131230136086418</v>
      </c>
      <c r="P56" s="199" t="n">
        <f aca="false">INDEX(Training!$C$110:$Q$110,3*(Unit_Cost!P$6-1)+1)</f>
        <v>0.131230136086418</v>
      </c>
      <c r="Q56" s="199" t="n">
        <f aca="false">INDEX(Training!$C$110:$Q$110,3*(Unit_Cost!Q$6-1)+1)</f>
        <v>0.131230136086418</v>
      </c>
      <c r="R56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814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3558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3559</v>
      </c>
      <c r="B57" s="30" t="s">
        <v>131</v>
      </c>
      <c r="C57" s="200" t="n">
        <f aca="false">INDEX(Training!$C$111:$Q$111,3*(Unit_Cost!C$6-1)+1)</f>
        <v>0.332444236058156</v>
      </c>
      <c r="D57" s="200" t="n">
        <f aca="false">INDEX(Training!$C$111:$Q$111,3*(Unit_Cost!D$6-1)+1)</f>
        <v>0.332444236058156</v>
      </c>
      <c r="E57" s="200" t="n">
        <f aca="false">INDEX(Training!$C$111:$Q$111,3*(Unit_Cost!E$6-1)+1)</f>
        <v>0.332444236058156</v>
      </c>
      <c r="F57" s="200" t="n">
        <f aca="false">INDEX(Training!$C$111:$Q$111,3*(Unit_Cost!F$6-1)+1)</f>
        <v>0.214693934547681</v>
      </c>
      <c r="G57" s="200" t="n">
        <f aca="false">INDEX(Training!$C$111:$Q$111,3*(Unit_Cost!G$6-1)+1)</f>
        <v>0.214693934547681</v>
      </c>
      <c r="H57" s="200" t="n">
        <f aca="false">INDEX(Training!$C$111:$Q$111,3*(Unit_Cost!H$6-1)+1)</f>
        <v>0.214693934547681</v>
      </c>
      <c r="I57" s="200" t="n">
        <f aca="false">INDEX(Training!$C$111:$Q$111,3*(Unit_Cost!I$6-1)+1)</f>
        <v>0.238707389111481</v>
      </c>
      <c r="J57" s="200" t="n">
        <f aca="false">INDEX(Training!$C$111:$Q$111,3*(Unit_Cost!J$6-1)+1)</f>
        <v>0.238707389111481</v>
      </c>
      <c r="K57" s="200" t="n">
        <f aca="false">INDEX(Training!$C$111:$Q$111,3*(Unit_Cost!K$6-1)+1)</f>
        <v>0.238707389111481</v>
      </c>
      <c r="L57" s="200" t="n">
        <f aca="false">INDEX(Training!$C$111:$Q$111,3*(Unit_Cost!L$6-1)+1)</f>
        <v>0.286511860627156</v>
      </c>
      <c r="M57" s="200" t="n">
        <f aca="false">INDEX(Training!$C$111:$Q$111,3*(Unit_Cost!M$6-1)+1)</f>
        <v>0.286511860627156</v>
      </c>
      <c r="N57" s="200" t="n">
        <f aca="false">INDEX(Training!$C$111:$Q$111,3*(Unit_Cost!N$6-1)+1)</f>
        <v>0.286511860627156</v>
      </c>
      <c r="O57" s="200" t="n">
        <f aca="false">INDEX(Training!$C$111:$Q$111,3*(Unit_Cost!O$6-1)+1)</f>
        <v>0.26008816948871</v>
      </c>
      <c r="P57" s="200" t="n">
        <f aca="false">INDEX(Training!$C$111:$Q$111,3*(Unit_Cost!P$6-1)+1)</f>
        <v>0.26008816948871</v>
      </c>
      <c r="Q57" s="200" t="n">
        <f aca="false">INDEX(Training!$C$111:$Q$111,3*(Unit_Cost!Q$6-1)+1)</f>
        <v>0.26008816948871</v>
      </c>
      <c r="R5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814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3560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3561</v>
      </c>
      <c r="B58" s="30" t="s">
        <v>131</v>
      </c>
      <c r="C58" s="199" t="n">
        <f aca="false">INDEX(Training!$C$77:$Q$77,3*(Unit_Cost!C$6-1)+1)</f>
        <v>0.0671673042766739</v>
      </c>
      <c r="D58" s="199" t="n">
        <f aca="false">INDEX(Training!$C$77:$Q$77,3*(Unit_Cost!D$6-1)+1)</f>
        <v>0.0671673042766739</v>
      </c>
      <c r="E58" s="199" t="n">
        <f aca="false">INDEX(Training!$C$77:$Q$77,3*(Unit_Cost!E$6-1)+1)</f>
        <v>0.0671673042766739</v>
      </c>
      <c r="F58" s="199" t="n">
        <f aca="false">INDEX(Training!$C$77:$Q$77,3*(Unit_Cost!F$6-1)+1)</f>
        <v>0.12223346909218</v>
      </c>
      <c r="G58" s="199" t="n">
        <f aca="false">INDEX(Training!$C$77:$Q$77,3*(Unit_Cost!G$6-1)+1)</f>
        <v>0.12223346909218</v>
      </c>
      <c r="H58" s="199" t="n">
        <f aca="false">INDEX(Training!$C$77:$Q$77,3*(Unit_Cost!H$6-1)+1)</f>
        <v>0.12223346909218</v>
      </c>
      <c r="I58" s="199" t="n">
        <f aca="false">INDEX(Training!$C$77:$Q$77,3*(Unit_Cost!I$6-1)+1)</f>
        <v>0.106320482312473</v>
      </c>
      <c r="J58" s="199" t="n">
        <f aca="false">INDEX(Training!$C$77:$Q$77,3*(Unit_Cost!J$6-1)+1)</f>
        <v>0.106320482312473</v>
      </c>
      <c r="K58" s="199" t="n">
        <f aca="false">INDEX(Training!$C$77:$Q$77,3*(Unit_Cost!K$6-1)+1)</f>
        <v>0.106320482312473</v>
      </c>
      <c r="L58" s="199" t="n">
        <f aca="false">INDEX(Training!$C$77:$Q$77,3*(Unit_Cost!L$6-1)+1)</f>
        <v>0.0746224482738129</v>
      </c>
      <c r="M58" s="199" t="n">
        <f aca="false">INDEX(Training!$C$77:$Q$77,3*(Unit_Cost!M$6-1)+1)</f>
        <v>0.0746224482738129</v>
      </c>
      <c r="N58" s="199" t="n">
        <f aca="false">INDEX(Training!$C$77:$Q$77,3*(Unit_Cost!N$6-1)+1)</f>
        <v>0.0746224482738129</v>
      </c>
      <c r="O58" s="199" t="n">
        <f aca="false">INDEX(Training!$C$77:$Q$77,3*(Unit_Cost!O$6-1)+1)</f>
        <v>0.0853336117258793</v>
      </c>
      <c r="P58" s="199" t="n">
        <f aca="false">INDEX(Training!$C$77:$Q$77,3*(Unit_Cost!P$6-1)+1)</f>
        <v>0.0853336117258793</v>
      </c>
      <c r="Q58" s="199" t="n">
        <f aca="false">INDEX(Training!$C$77:$Q$77,3*(Unit_Cost!Q$6-1)+1)</f>
        <v>0.0853336117258793</v>
      </c>
      <c r="R5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814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3562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3563</v>
      </c>
      <c r="B59" s="30" t="s">
        <v>1297</v>
      </c>
      <c r="C59" s="194" t="n">
        <f aca="false">INDEX(Training!$C$120:$Q$120,3*(Unit_Cost!C$6-1)+1)</f>
        <v>58336555.6480691</v>
      </c>
      <c r="D59" s="194" t="n">
        <f aca="false">INDEX(Training!$C$120:$Q$120,3*(Unit_Cost!D$6-1)+1)</f>
        <v>58336555.6480691</v>
      </c>
      <c r="E59" s="194" t="n">
        <f aca="false">INDEX(Training!$C$120:$Q$120,3*(Unit_Cost!E$6-1)+1)</f>
        <v>58336555.6480691</v>
      </c>
      <c r="F59" s="194" t="n">
        <f aca="false">INDEX(Training!$C$120:$Q$120,3*(Unit_Cost!F$6-1)+1)</f>
        <v>12147947.9938312</v>
      </c>
      <c r="G59" s="194" t="n">
        <f aca="false">INDEX(Training!$C$120:$Q$120,3*(Unit_Cost!G$6-1)+1)</f>
        <v>12147947.9938312</v>
      </c>
      <c r="H59" s="194" t="n">
        <f aca="false">INDEX(Training!$C$120:$Q$120,3*(Unit_Cost!H$6-1)+1)</f>
        <v>12147947.9938312</v>
      </c>
      <c r="I59" s="194" t="n">
        <f aca="false">INDEX(Training!$C$120:$Q$120,3*(Unit_Cost!I$6-1)+1)</f>
        <v>14201999.5820546</v>
      </c>
      <c r="J59" s="194" t="n">
        <f aca="false">INDEX(Training!$C$120:$Q$120,3*(Unit_Cost!J$6-1)+1)</f>
        <v>14201999.5820546</v>
      </c>
      <c r="K59" s="194" t="n">
        <f aca="false">INDEX(Training!$C$120:$Q$120,3*(Unit_Cost!K$6-1)+1)</f>
        <v>14201999.5820546</v>
      </c>
      <c r="L59" s="194" t="n">
        <f aca="false">INDEX(Training!$C$120:$Q$120,3*(Unit_Cost!L$6-1)+1)</f>
        <v>5633581.19099958</v>
      </c>
      <c r="M59" s="194" t="n">
        <f aca="false">INDEX(Training!$C$120:$Q$120,3*(Unit_Cost!M$6-1)+1)</f>
        <v>5633581.19099958</v>
      </c>
      <c r="N59" s="194" t="n">
        <f aca="false">INDEX(Training!$C$120:$Q$120,3*(Unit_Cost!N$6-1)+1)</f>
        <v>5633581.19099958</v>
      </c>
      <c r="O59" s="194" t="n">
        <f aca="false">INDEX(Training!$C$120:$Q$120,3*(Unit_Cost!O$6-1)+1)</f>
        <v>2440484.79695685</v>
      </c>
      <c r="P59" s="194" t="n">
        <f aca="false">INDEX(Training!$C$120:$Q$120,3*(Unit_Cost!P$6-1)+1)</f>
        <v>2440484.79695685</v>
      </c>
      <c r="Q59" s="194" t="n">
        <f aca="false">INDEX(Training!$C$120:$Q$120,3*(Unit_Cost!Q$6-1)+1)</f>
        <v>2440484.79695685</v>
      </c>
      <c r="R59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814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3564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3473</v>
      </c>
      <c r="B60" s="30" t="s">
        <v>1092</v>
      </c>
      <c r="C60" s="194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4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4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4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4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4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4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4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4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4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4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4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4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4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4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814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3565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3566</v>
      </c>
      <c r="B61" s="30" t="s">
        <v>131</v>
      </c>
      <c r="C61" s="201" t="n">
        <f aca="false">INDEX(Training!$C$123:$Q$123,3*(Unit_Cost!C$6-1)+1)</f>
        <v>0.00927434400031541</v>
      </c>
      <c r="D61" s="201" t="n">
        <f aca="false">INDEX(Training!$C$123:$Q$123,3*(Unit_Cost!D$6-1)+1)</f>
        <v>0.00927434400031541</v>
      </c>
      <c r="E61" s="201" t="n">
        <f aca="false">INDEX(Training!$C$123:$Q$123,3*(Unit_Cost!E$6-1)+1)</f>
        <v>0.00927434400031541</v>
      </c>
      <c r="F61" s="201" t="n">
        <f aca="false">INDEX(Training!$C$123:$Q$123,3*(Unit_Cost!F$6-1)+1)</f>
        <v>0.00276373155340779</v>
      </c>
      <c r="G61" s="201" t="n">
        <f aca="false">INDEX(Training!$C$123:$Q$123,3*(Unit_Cost!G$6-1)+1)</f>
        <v>0.00276373155340779</v>
      </c>
      <c r="H61" s="201" t="n">
        <f aca="false">INDEX(Training!$C$123:$Q$123,3*(Unit_Cost!H$6-1)+1)</f>
        <v>0.00276373155340779</v>
      </c>
      <c r="I61" s="201" t="n">
        <f aca="false">INDEX(Training!$C$123:$Q$123,3*(Unit_Cost!I$6-1)+1)</f>
        <v>0.00332896549749013</v>
      </c>
      <c r="J61" s="201" t="n">
        <f aca="false">INDEX(Training!$C$123:$Q$123,3*(Unit_Cost!J$6-1)+1)</f>
        <v>0.00332896549749013</v>
      </c>
      <c r="K61" s="201" t="n">
        <f aca="false">INDEX(Training!$C$123:$Q$123,3*(Unit_Cost!K$6-1)+1)</f>
        <v>0.00332896549749013</v>
      </c>
      <c r="L61" s="201" t="n">
        <f aca="false">INDEX(Training!$C$123:$Q$123,3*(Unit_Cost!L$6-1)+1)</f>
        <v>0.00220433968028437</v>
      </c>
      <c r="M61" s="201" t="n">
        <f aca="false">INDEX(Training!$C$123:$Q$123,3*(Unit_Cost!M$6-1)+1)</f>
        <v>0.00220433968028437</v>
      </c>
      <c r="N61" s="201" t="n">
        <f aca="false">INDEX(Training!$C$123:$Q$123,3*(Unit_Cost!N$6-1)+1)</f>
        <v>0.00220433968028437</v>
      </c>
      <c r="O61" s="201" t="n">
        <f aca="false">INDEX(Training!$C$123:$Q$123,3*(Unit_Cost!O$6-1)+1)</f>
        <v>0.00143044852589726</v>
      </c>
      <c r="P61" s="201" t="n">
        <f aca="false">INDEX(Training!$C$123:$Q$123,3*(Unit_Cost!P$6-1)+1)</f>
        <v>0.00143044852589726</v>
      </c>
      <c r="Q61" s="201" t="n">
        <f aca="false">INDEX(Training!$C$123:$Q$123,3*(Unit_Cost!Q$6-1)+1)</f>
        <v>0.00143044852589726</v>
      </c>
      <c r="R61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814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3567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307</v>
      </c>
    </row>
    <row r="63" customFormat="false" ht="15" hidden="false" customHeight="true" outlineLevel="0" collapsed="false">
      <c r="A63" s="44" t="s">
        <v>3568</v>
      </c>
      <c r="B63" s="30" t="s">
        <v>1297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814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3554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3569</v>
      </c>
      <c r="B64" s="30" t="s">
        <v>1092</v>
      </c>
      <c r="C64" s="198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8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8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8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8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8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8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8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8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8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8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8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8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8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8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814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3556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3570</v>
      </c>
      <c r="B65" s="30" t="s">
        <v>131</v>
      </c>
      <c r="C65" s="199" t="n">
        <f aca="false">INDEX(Training!$C$110:$Q$110,3*(Unit_Cost!C$6-1)+2)</f>
        <v>0.127029214627552</v>
      </c>
      <c r="D65" s="199" t="n">
        <f aca="false">INDEX(Training!$C$110:$Q$110,3*(Unit_Cost!D$6-1)+2)</f>
        <v>0.127029214627552</v>
      </c>
      <c r="E65" s="199" t="n">
        <f aca="false">INDEX(Training!$C$110:$Q$110,3*(Unit_Cost!E$6-1)+2)</f>
        <v>0.127029214627552</v>
      </c>
      <c r="F65" s="199" t="n">
        <f aca="false">INDEX(Training!$C$110:$Q$110,3*(Unit_Cost!F$6-1)+2)</f>
        <v>0.127029214627552</v>
      </c>
      <c r="G65" s="199" t="n">
        <f aca="false">INDEX(Training!$C$110:$Q$110,3*(Unit_Cost!G$6-1)+2)</f>
        <v>0.127029214627552</v>
      </c>
      <c r="H65" s="199" t="n">
        <f aca="false">INDEX(Training!$C$110:$Q$110,3*(Unit_Cost!H$6-1)+2)</f>
        <v>0.127029214627552</v>
      </c>
      <c r="I65" s="199" t="n">
        <f aca="false">INDEX(Training!$C$110:$Q$110,3*(Unit_Cost!I$6-1)+2)</f>
        <v>0.127029214627552</v>
      </c>
      <c r="J65" s="199" t="n">
        <f aca="false">INDEX(Training!$C$110:$Q$110,3*(Unit_Cost!J$6-1)+2)</f>
        <v>0.127029214627552</v>
      </c>
      <c r="K65" s="199" t="n">
        <f aca="false">INDEX(Training!$C$110:$Q$110,3*(Unit_Cost!K$6-1)+2)</f>
        <v>0.127029214627552</v>
      </c>
      <c r="L65" s="199" t="n">
        <f aca="false">INDEX(Training!$C$110:$Q$110,3*(Unit_Cost!L$6-1)+2)</f>
        <v>0.127029214627552</v>
      </c>
      <c r="M65" s="199" t="n">
        <f aca="false">INDEX(Training!$C$110:$Q$110,3*(Unit_Cost!M$6-1)+2)</f>
        <v>0.127029214627552</v>
      </c>
      <c r="N65" s="199" t="n">
        <f aca="false">INDEX(Training!$C$110:$Q$110,3*(Unit_Cost!N$6-1)+2)</f>
        <v>0.127029214627552</v>
      </c>
      <c r="O65" s="199" t="n">
        <f aca="false">INDEX(Training!$C$110:$Q$110,3*(Unit_Cost!O$6-1)+2)</f>
        <v>0.127029214627552</v>
      </c>
      <c r="P65" s="199" t="n">
        <f aca="false">INDEX(Training!$C$110:$Q$110,3*(Unit_Cost!P$6-1)+2)</f>
        <v>0.127029214627552</v>
      </c>
      <c r="Q65" s="199" t="n">
        <f aca="false">INDEX(Training!$C$110:$Q$110,3*(Unit_Cost!Q$6-1)+2)</f>
        <v>0.127029214627552</v>
      </c>
      <c r="R65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814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3558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3571</v>
      </c>
      <c r="B66" s="30" t="s">
        <v>131</v>
      </c>
      <c r="C66" s="200" t="n">
        <f aca="false">INDEX(Training!$C$111:$Q$111,3*(Unit_Cost!C$6-1)+2)</f>
        <v>0.338532361439256</v>
      </c>
      <c r="D66" s="200" t="n">
        <f aca="false">INDEX(Training!$C$111:$Q$111,3*(Unit_Cost!D$6-1)+2)</f>
        <v>0.338532361439256</v>
      </c>
      <c r="E66" s="200" t="n">
        <f aca="false">INDEX(Training!$C$111:$Q$111,3*(Unit_Cost!E$6-1)+2)</f>
        <v>0.338532361439256</v>
      </c>
      <c r="F66" s="200" t="n">
        <f aca="false">INDEX(Training!$C$111:$Q$111,3*(Unit_Cost!F$6-1)+2)</f>
        <v>0.210900160119004</v>
      </c>
      <c r="G66" s="200" t="n">
        <f aca="false">INDEX(Training!$C$111:$Q$111,3*(Unit_Cost!G$6-1)+2)</f>
        <v>0.210900160119004</v>
      </c>
      <c r="H66" s="200" t="n">
        <f aca="false">INDEX(Training!$C$111:$Q$111,3*(Unit_Cost!H$6-1)+2)</f>
        <v>0.210900160119004</v>
      </c>
      <c r="I66" s="200" t="n">
        <f aca="false">INDEX(Training!$C$111:$Q$111,3*(Unit_Cost!I$6-1)+2)</f>
        <v>0.235738956226448</v>
      </c>
      <c r="J66" s="200" t="n">
        <f aca="false">INDEX(Training!$C$111:$Q$111,3*(Unit_Cost!J$6-1)+2)</f>
        <v>0.235738956226448</v>
      </c>
      <c r="K66" s="200" t="n">
        <f aca="false">INDEX(Training!$C$111:$Q$111,3*(Unit_Cost!K$6-1)+2)</f>
        <v>0.235738956226448</v>
      </c>
      <c r="L66" s="200" t="n">
        <f aca="false">INDEX(Training!$C$111:$Q$111,3*(Unit_Cost!L$6-1)+2)</f>
        <v>0.282310936548276</v>
      </c>
      <c r="M66" s="200" t="n">
        <f aca="false">INDEX(Training!$C$111:$Q$111,3*(Unit_Cost!M$6-1)+2)</f>
        <v>0.282310936548276</v>
      </c>
      <c r="N66" s="200" t="n">
        <f aca="false">INDEX(Training!$C$111:$Q$111,3*(Unit_Cost!N$6-1)+2)</f>
        <v>0.282310936548276</v>
      </c>
      <c r="O66" s="200" t="n">
        <f aca="false">INDEX(Training!$C$111:$Q$111,3*(Unit_Cost!O$6-1)+2)</f>
        <v>0.254949018157508</v>
      </c>
      <c r="P66" s="200" t="n">
        <f aca="false">INDEX(Training!$C$111:$Q$111,3*(Unit_Cost!P$6-1)+2)</f>
        <v>0.254949018157508</v>
      </c>
      <c r="Q66" s="200" t="n">
        <f aca="false">INDEX(Training!$C$111:$Q$111,3*(Unit_Cost!Q$6-1)+2)</f>
        <v>0.254949018157508</v>
      </c>
      <c r="R6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814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3560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3572</v>
      </c>
      <c r="B67" s="30" t="s">
        <v>131</v>
      </c>
      <c r="C67" s="199" t="n">
        <f aca="false">INDEX(Training!$C$77:$Q$77,3*(Unit_Cost!C$6-1)+2)</f>
        <v>0.062804610455095</v>
      </c>
      <c r="D67" s="199" t="n">
        <f aca="false">INDEX(Training!$C$77:$Q$77,3*(Unit_Cost!D$6-1)+2)</f>
        <v>0.062804610455095</v>
      </c>
      <c r="E67" s="199" t="n">
        <f aca="false">INDEX(Training!$C$77:$Q$77,3*(Unit_Cost!E$6-1)+2)</f>
        <v>0.062804610455095</v>
      </c>
      <c r="F67" s="199" t="n">
        <f aca="false">INDEX(Training!$C$77:$Q$77,3*(Unit_Cost!F$6-1)+2)</f>
        <v>0.120133991950214</v>
      </c>
      <c r="G67" s="199" t="n">
        <f aca="false">INDEX(Training!$C$77:$Q$77,3*(Unit_Cost!G$6-1)+2)</f>
        <v>0.120133991950214</v>
      </c>
      <c r="H67" s="199" t="n">
        <f aca="false">INDEX(Training!$C$77:$Q$77,3*(Unit_Cost!H$6-1)+2)</f>
        <v>0.120133991950214</v>
      </c>
      <c r="I67" s="199" t="n">
        <f aca="false">INDEX(Training!$C$77:$Q$77,3*(Unit_Cost!I$6-1)+2)</f>
        <v>0.103815837007901</v>
      </c>
      <c r="J67" s="199" t="n">
        <f aca="false">INDEX(Training!$C$77:$Q$77,3*(Unit_Cost!J$6-1)+2)</f>
        <v>0.103815837007901</v>
      </c>
      <c r="K67" s="199" t="n">
        <f aca="false">INDEX(Training!$C$77:$Q$77,3*(Unit_Cost!K$6-1)+2)</f>
        <v>0.103815837007901</v>
      </c>
      <c r="L67" s="199" t="n">
        <f aca="false">INDEX(Training!$C$77:$Q$77,3*(Unit_Cost!L$6-1)+2)</f>
        <v>0.0731801304364245</v>
      </c>
      <c r="M67" s="199" t="n">
        <f aca="false">INDEX(Training!$C$77:$Q$77,3*(Unit_Cost!M$6-1)+2)</f>
        <v>0.0731801304364245</v>
      </c>
      <c r="N67" s="199" t="n">
        <f aca="false">INDEX(Training!$C$77:$Q$77,3*(Unit_Cost!N$6-1)+2)</f>
        <v>0.0731801304364245</v>
      </c>
      <c r="O67" s="199" t="n">
        <f aca="false">INDEX(Training!$C$77:$Q$77,3*(Unit_Cost!O$6-1)+2)</f>
        <v>0.0842149737466073</v>
      </c>
      <c r="P67" s="199" t="n">
        <f aca="false">INDEX(Training!$C$77:$Q$77,3*(Unit_Cost!P$6-1)+2)</f>
        <v>0.0842149737466073</v>
      </c>
      <c r="Q67" s="199" t="n">
        <f aca="false">INDEX(Training!$C$77:$Q$77,3*(Unit_Cost!Q$6-1)+2)</f>
        <v>0.0842149737466073</v>
      </c>
      <c r="R6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814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3562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3573</v>
      </c>
      <c r="B68" s="30" t="s">
        <v>1297</v>
      </c>
      <c r="C68" s="194" t="n">
        <f aca="false">INDEX(Training!$C$120:$Q$120,3*(Unit_Cost!C$6-1)+2)</f>
        <v>162016339.899227</v>
      </c>
      <c r="D68" s="194" t="n">
        <f aca="false">INDEX(Training!$C$120:$Q$120,3*(Unit_Cost!D$6-1)+2)</f>
        <v>162016339.899227</v>
      </c>
      <c r="E68" s="194" t="n">
        <f aca="false">INDEX(Training!$C$120:$Q$120,3*(Unit_Cost!E$6-1)+2)</f>
        <v>162016339.899227</v>
      </c>
      <c r="F68" s="194" t="n">
        <f aca="false">INDEX(Training!$C$120:$Q$120,3*(Unit_Cost!F$6-1)+2)</f>
        <v>39013778.7375866</v>
      </c>
      <c r="G68" s="194" t="n">
        <f aca="false">INDEX(Training!$C$120:$Q$120,3*(Unit_Cost!G$6-1)+2)</f>
        <v>39013778.7375866</v>
      </c>
      <c r="H68" s="194" t="n">
        <f aca="false">INDEX(Training!$C$120:$Q$120,3*(Unit_Cost!H$6-1)+2)</f>
        <v>39013778.7375866</v>
      </c>
      <c r="I68" s="194" t="n">
        <f aca="false">INDEX(Training!$C$120:$Q$120,3*(Unit_Cost!I$6-1)+2)</f>
        <v>43631624.8853258</v>
      </c>
      <c r="J68" s="194" t="n">
        <f aca="false">INDEX(Training!$C$120:$Q$120,3*(Unit_Cost!J$6-1)+2)</f>
        <v>43631624.8853258</v>
      </c>
      <c r="K68" s="194" t="n">
        <f aca="false">INDEX(Training!$C$120:$Q$120,3*(Unit_Cost!K$6-1)+2)</f>
        <v>43631624.8853258</v>
      </c>
      <c r="L68" s="194" t="n">
        <f aca="false">INDEX(Training!$C$120:$Q$120,3*(Unit_Cost!L$6-1)+2)</f>
        <v>16410314.0767004</v>
      </c>
      <c r="M68" s="194" t="n">
        <f aca="false">INDEX(Training!$C$120:$Q$120,3*(Unit_Cost!M$6-1)+2)</f>
        <v>16410314.0767004</v>
      </c>
      <c r="N68" s="194" t="n">
        <f aca="false">INDEX(Training!$C$120:$Q$120,3*(Unit_Cost!N$6-1)+2)</f>
        <v>16410314.0767004</v>
      </c>
      <c r="O68" s="194" t="n">
        <f aca="false">INDEX(Training!$C$120:$Q$120,3*(Unit_Cost!O$6-1)+2)</f>
        <v>7352402.97143392</v>
      </c>
      <c r="P68" s="194" t="n">
        <f aca="false">INDEX(Training!$C$120:$Q$120,3*(Unit_Cost!P$6-1)+2)</f>
        <v>7352402.97143392</v>
      </c>
      <c r="Q68" s="194" t="n">
        <f aca="false">INDEX(Training!$C$120:$Q$120,3*(Unit_Cost!Q$6-1)+2)</f>
        <v>7352402.97143392</v>
      </c>
      <c r="R6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814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3564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3474</v>
      </c>
      <c r="B69" s="30" t="s">
        <v>1092</v>
      </c>
      <c r="C69" s="194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4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4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4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4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4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4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4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4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4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4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4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4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4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4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814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3565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3574</v>
      </c>
      <c r="B70" s="30" t="s">
        <v>131</v>
      </c>
      <c r="C70" s="201" t="n">
        <f aca="false">INDEX(Training!$C$123:$Q$123,3*(Unit_Cost!C$6-1)+2)</f>
        <v>0.0257573532274046</v>
      </c>
      <c r="D70" s="201" t="n">
        <f aca="false">INDEX(Training!$C$123:$Q$123,3*(Unit_Cost!D$6-1)+2)</f>
        <v>0.0257573532274046</v>
      </c>
      <c r="E70" s="201" t="n">
        <f aca="false">INDEX(Training!$C$123:$Q$123,3*(Unit_Cost!E$6-1)+2)</f>
        <v>0.0257573532274046</v>
      </c>
      <c r="F70" s="201" t="n">
        <f aca="false">INDEX(Training!$C$123:$Q$123,3*(Unit_Cost!F$6-1)+2)</f>
        <v>0.00887587034201096</v>
      </c>
      <c r="G70" s="201" t="n">
        <f aca="false">INDEX(Training!$C$123:$Q$123,3*(Unit_Cost!G$6-1)+2)</f>
        <v>0.00887587034201096</v>
      </c>
      <c r="H70" s="201" t="n">
        <f aca="false">INDEX(Training!$C$123:$Q$123,3*(Unit_Cost!H$6-1)+2)</f>
        <v>0.00887587034201096</v>
      </c>
      <c r="I70" s="201" t="n">
        <f aca="false">INDEX(Training!$C$123:$Q$123,3*(Unit_Cost!I$6-1)+2)</f>
        <v>0.0102273044724078</v>
      </c>
      <c r="J70" s="201" t="n">
        <f aca="false">INDEX(Training!$C$123:$Q$123,3*(Unit_Cost!J$6-1)+2)</f>
        <v>0.0102273044724078</v>
      </c>
      <c r="K70" s="201" t="n">
        <f aca="false">INDEX(Training!$C$123:$Q$123,3*(Unit_Cost!K$6-1)+2)</f>
        <v>0.0102273044724078</v>
      </c>
      <c r="L70" s="201" t="n">
        <f aca="false">INDEX(Training!$C$123:$Q$123,3*(Unit_Cost!L$6-1)+2)</f>
        <v>0.00642112099901794</v>
      </c>
      <c r="M70" s="201" t="n">
        <f aca="false">INDEX(Training!$C$123:$Q$123,3*(Unit_Cost!M$6-1)+2)</f>
        <v>0.00642112099901794</v>
      </c>
      <c r="N70" s="201" t="n">
        <f aca="false">INDEX(Training!$C$123:$Q$123,3*(Unit_Cost!N$6-1)+2)</f>
        <v>0.00642112099901794</v>
      </c>
      <c r="O70" s="201" t="n">
        <f aca="false">INDEX(Training!$C$123:$Q$123,3*(Unit_Cost!O$6-1)+2)</f>
        <v>0.00430948556016603</v>
      </c>
      <c r="P70" s="201" t="n">
        <f aca="false">INDEX(Training!$C$123:$Q$123,3*(Unit_Cost!P$6-1)+2)</f>
        <v>0.00430948556016603</v>
      </c>
      <c r="Q70" s="201" t="n">
        <f aca="false">INDEX(Training!$C$123:$Q$123,3*(Unit_Cost!Q$6-1)+2)</f>
        <v>0.00430948556016603</v>
      </c>
      <c r="R70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814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3567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308</v>
      </c>
    </row>
    <row r="72" customFormat="false" ht="15" hidden="false" customHeight="true" outlineLevel="0" collapsed="false">
      <c r="A72" s="44" t="s">
        <v>3575</v>
      </c>
      <c r="B72" s="30" t="s">
        <v>1297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814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3554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3576</v>
      </c>
      <c r="B73" s="30" t="s">
        <v>1092</v>
      </c>
      <c r="C73" s="198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8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8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8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8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8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8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8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8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8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8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8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8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8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8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814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3556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3577</v>
      </c>
      <c r="B74" s="30" t="s">
        <v>131</v>
      </c>
      <c r="C74" s="199" t="n">
        <f aca="false">INDEX(Training!$C$110:$Q$110,3*(Unit_Cost!C$6-1)+3)</f>
        <v>0.268885180199482</v>
      </c>
      <c r="D74" s="199" t="n">
        <f aca="false">INDEX(Training!$C$110:$Q$110,3*(Unit_Cost!D$6-1)+3)</f>
        <v>0.268885180199482</v>
      </c>
      <c r="E74" s="199" t="n">
        <f aca="false">INDEX(Training!$C$110:$Q$110,3*(Unit_Cost!E$6-1)+3)</f>
        <v>0.268885180199482</v>
      </c>
      <c r="F74" s="199" t="n">
        <f aca="false">INDEX(Training!$C$110:$Q$110,3*(Unit_Cost!F$6-1)+3)</f>
        <v>0.268885180199482</v>
      </c>
      <c r="G74" s="199" t="n">
        <f aca="false">INDEX(Training!$C$110:$Q$110,3*(Unit_Cost!G$6-1)+3)</f>
        <v>0.268885180199482</v>
      </c>
      <c r="H74" s="199" t="n">
        <f aca="false">INDEX(Training!$C$110:$Q$110,3*(Unit_Cost!H$6-1)+3)</f>
        <v>0.268885180199482</v>
      </c>
      <c r="I74" s="199" t="n">
        <f aca="false">INDEX(Training!$C$110:$Q$110,3*(Unit_Cost!I$6-1)+3)</f>
        <v>0.268885180199482</v>
      </c>
      <c r="J74" s="199" t="n">
        <f aca="false">INDEX(Training!$C$110:$Q$110,3*(Unit_Cost!J$6-1)+3)</f>
        <v>0.268885180199482</v>
      </c>
      <c r="K74" s="199" t="n">
        <f aca="false">INDEX(Training!$C$110:$Q$110,3*(Unit_Cost!K$6-1)+3)</f>
        <v>0.268885180199482</v>
      </c>
      <c r="L74" s="199" t="n">
        <f aca="false">INDEX(Training!$C$110:$Q$110,3*(Unit_Cost!L$6-1)+3)</f>
        <v>0.268885180199482</v>
      </c>
      <c r="M74" s="199" t="n">
        <f aca="false">INDEX(Training!$C$110:$Q$110,3*(Unit_Cost!M$6-1)+3)</f>
        <v>0.268885180199482</v>
      </c>
      <c r="N74" s="199" t="n">
        <f aca="false">INDEX(Training!$C$110:$Q$110,3*(Unit_Cost!N$6-1)+3)</f>
        <v>0.268885180199482</v>
      </c>
      <c r="O74" s="199" t="n">
        <f aca="false">INDEX(Training!$C$110:$Q$110,3*(Unit_Cost!O$6-1)+3)</f>
        <v>0.268885180199482</v>
      </c>
      <c r="P74" s="199" t="n">
        <f aca="false">INDEX(Training!$C$110:$Q$110,3*(Unit_Cost!P$6-1)+3)</f>
        <v>0.268885180199482</v>
      </c>
      <c r="Q74" s="199" t="n">
        <f aca="false">INDEX(Training!$C$110:$Q$110,3*(Unit_Cost!Q$6-1)+3)</f>
        <v>0.268885180199482</v>
      </c>
      <c r="R74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814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3558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3578</v>
      </c>
      <c r="B75" s="30" t="s">
        <v>131</v>
      </c>
      <c r="C75" s="200" t="n">
        <f aca="false">INDEX(Training!$C$111:$Q$111,3*(Unit_Cost!C$6-1)+3)</f>
        <v>0.594349541651907</v>
      </c>
      <c r="D75" s="200" t="n">
        <f aca="false">INDEX(Training!$C$111:$Q$111,3*(Unit_Cost!D$6-1)+3)</f>
        <v>0.594349541651907</v>
      </c>
      <c r="E75" s="200" t="n">
        <f aca="false">INDEX(Training!$C$111:$Q$111,3*(Unit_Cost!E$6-1)+3)</f>
        <v>0.594349541651907</v>
      </c>
      <c r="F75" s="200" t="n">
        <f aca="false">INDEX(Training!$C$111:$Q$111,3*(Unit_Cost!F$6-1)+3)</f>
        <v>0.416669816052578</v>
      </c>
      <c r="G75" s="200" t="n">
        <f aca="false">INDEX(Training!$C$111:$Q$111,3*(Unit_Cost!G$6-1)+3)</f>
        <v>0.416669816052578</v>
      </c>
      <c r="H75" s="200" t="n">
        <f aca="false">INDEX(Training!$C$111:$Q$111,3*(Unit_Cost!H$6-1)+3)</f>
        <v>0.416669816052578</v>
      </c>
      <c r="I75" s="200" t="n">
        <f aca="false">INDEX(Training!$C$111:$Q$111,3*(Unit_Cost!I$6-1)+3)</f>
        <v>0.460983664042966</v>
      </c>
      <c r="J75" s="200" t="n">
        <f aca="false">INDEX(Training!$C$111:$Q$111,3*(Unit_Cost!J$6-1)+3)</f>
        <v>0.460983664042966</v>
      </c>
      <c r="K75" s="200" t="n">
        <f aca="false">INDEX(Training!$C$111:$Q$111,3*(Unit_Cost!K$6-1)+3)</f>
        <v>0.460983664042966</v>
      </c>
      <c r="L75" s="200" t="n">
        <f aca="false">INDEX(Training!$C$111:$Q$111,3*(Unit_Cost!L$6-1)+3)</f>
        <v>0.521148040333377</v>
      </c>
      <c r="M75" s="200" t="n">
        <f aca="false">INDEX(Training!$C$111:$Q$111,3*(Unit_Cost!M$6-1)+3)</f>
        <v>0.521148040333377</v>
      </c>
      <c r="N75" s="200" t="n">
        <f aca="false">INDEX(Training!$C$111:$Q$111,3*(Unit_Cost!N$6-1)+3)</f>
        <v>0.521148040333377</v>
      </c>
      <c r="O75" s="200" t="n">
        <f aca="false">INDEX(Training!$C$111:$Q$111,3*(Unit_Cost!O$6-1)+3)</f>
        <v>0.481150986813593</v>
      </c>
      <c r="P75" s="200" t="n">
        <f aca="false">INDEX(Training!$C$111:$Q$111,3*(Unit_Cost!P$6-1)+3)</f>
        <v>0.481150986813593</v>
      </c>
      <c r="Q75" s="200" t="n">
        <f aca="false">INDEX(Training!$C$111:$Q$111,3*(Unit_Cost!Q$6-1)+3)</f>
        <v>0.481150986813593</v>
      </c>
      <c r="R75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814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3560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3579</v>
      </c>
      <c r="B76" s="30" t="s">
        <v>131</v>
      </c>
      <c r="C76" s="199" t="n">
        <f aca="false">INDEX(Training!$C$77:$Q$77,3*(Unit_Cost!C$6-1)+3)</f>
        <v>0.0561462257017422</v>
      </c>
      <c r="D76" s="199" t="n">
        <f aca="false">INDEX(Training!$C$77:$Q$77,3*(Unit_Cost!D$6-1)+3)</f>
        <v>0.0561462257017422</v>
      </c>
      <c r="E76" s="199" t="n">
        <f aca="false">INDEX(Training!$C$77:$Q$77,3*(Unit_Cost!E$6-1)+3)</f>
        <v>0.0561462257017422</v>
      </c>
      <c r="F76" s="199" t="n">
        <f aca="false">INDEX(Training!$C$77:$Q$77,3*(Unit_Cost!F$6-1)+3)</f>
        <v>0.11524673684497</v>
      </c>
      <c r="G76" s="199" t="n">
        <f aca="false">INDEX(Training!$C$77:$Q$77,3*(Unit_Cost!G$6-1)+3)</f>
        <v>0.11524673684497</v>
      </c>
      <c r="H76" s="199" t="n">
        <f aca="false">INDEX(Training!$C$77:$Q$77,3*(Unit_Cost!H$6-1)+3)</f>
        <v>0.11524673684497</v>
      </c>
      <c r="I76" s="199" t="n">
        <f aca="false">INDEX(Training!$C$77:$Q$77,3*(Unit_Cost!I$6-1)+3)</f>
        <v>0.0961724702603611</v>
      </c>
      <c r="J76" s="199" t="n">
        <f aca="false">INDEX(Training!$C$77:$Q$77,3*(Unit_Cost!J$6-1)+3)</f>
        <v>0.0961724702603611</v>
      </c>
      <c r="K76" s="199" t="n">
        <f aca="false">INDEX(Training!$C$77:$Q$77,3*(Unit_Cost!K$6-1)+3)</f>
        <v>0.0961724702603611</v>
      </c>
      <c r="L76" s="199" t="n">
        <f aca="false">INDEX(Training!$C$77:$Q$77,3*(Unit_Cost!L$6-1)+3)</f>
        <v>0.0679835504547044</v>
      </c>
      <c r="M76" s="199" t="n">
        <f aca="false">INDEX(Training!$C$77:$Q$77,3*(Unit_Cost!M$6-1)+3)</f>
        <v>0.0679835504547044</v>
      </c>
      <c r="N76" s="199" t="n">
        <f aca="false">INDEX(Training!$C$77:$Q$77,3*(Unit_Cost!N$6-1)+3)</f>
        <v>0.0679835504547044</v>
      </c>
      <c r="O76" s="199" t="n">
        <f aca="false">INDEX(Training!$C$77:$Q$77,3*(Unit_Cost!O$6-1)+3)</f>
        <v>0.0798187502820238</v>
      </c>
      <c r="P76" s="199" t="n">
        <f aca="false">INDEX(Training!$C$77:$Q$77,3*(Unit_Cost!P$6-1)+3)</f>
        <v>0.0798187502820238</v>
      </c>
      <c r="Q76" s="199" t="n">
        <f aca="false">INDEX(Training!$C$77:$Q$77,3*(Unit_Cost!Q$6-1)+3)</f>
        <v>0.0798187502820238</v>
      </c>
      <c r="R76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814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3562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3580</v>
      </c>
      <c r="B77" s="30" t="s">
        <v>1297</v>
      </c>
      <c r="C77" s="194" t="n">
        <f aca="false">INDEX(Training!$C$120:$Q$120,3*(Unit_Cost!C$6-1)+3)</f>
        <v>986590568.929256</v>
      </c>
      <c r="D77" s="194" t="n">
        <f aca="false">INDEX(Training!$C$120:$Q$120,3*(Unit_Cost!D$6-1)+3)</f>
        <v>986590568.929256</v>
      </c>
      <c r="E77" s="194" t="n">
        <f aca="false">INDEX(Training!$C$120:$Q$120,3*(Unit_Cost!E$6-1)+3)</f>
        <v>986590568.929256</v>
      </c>
      <c r="F77" s="194" t="n">
        <f aca="false">INDEX(Training!$C$120:$Q$120,3*(Unit_Cost!F$6-1)+3)</f>
        <v>254170496.17308</v>
      </c>
      <c r="G77" s="194" t="n">
        <f aca="false">INDEX(Training!$C$120:$Q$120,3*(Unit_Cost!G$6-1)+3)</f>
        <v>254170496.17308</v>
      </c>
      <c r="H77" s="194" t="n">
        <f aca="false">INDEX(Training!$C$120:$Q$120,3*(Unit_Cost!H$6-1)+3)</f>
        <v>254170496.17308</v>
      </c>
      <c r="I77" s="194" t="n">
        <f aca="false">INDEX(Training!$C$120:$Q$120,3*(Unit_Cost!I$6-1)+3)</f>
        <v>279804081.046011</v>
      </c>
      <c r="J77" s="194" t="n">
        <f aca="false">INDEX(Training!$C$120:$Q$120,3*(Unit_Cost!J$6-1)+3)</f>
        <v>279804081.046011</v>
      </c>
      <c r="K77" s="194" t="n">
        <f aca="false">INDEX(Training!$C$120:$Q$120,3*(Unit_Cost!K$6-1)+3)</f>
        <v>279804081.046011</v>
      </c>
      <c r="L77" s="194" t="n">
        <f aca="false">INDEX(Training!$C$120:$Q$120,3*(Unit_Cost!L$6-1)+3)</f>
        <v>102272699.724672</v>
      </c>
      <c r="M77" s="194" t="n">
        <f aca="false">INDEX(Training!$C$120:$Q$120,3*(Unit_Cost!M$6-1)+3)</f>
        <v>102272699.724672</v>
      </c>
      <c r="N77" s="194" t="n">
        <f aca="false">INDEX(Training!$C$120:$Q$120,3*(Unit_Cost!N$6-1)+3)</f>
        <v>102272699.724672</v>
      </c>
      <c r="O77" s="194" t="n">
        <f aca="false">INDEX(Training!$C$120:$Q$120,3*(Unit_Cost!O$6-1)+3)</f>
        <v>46491866.832671</v>
      </c>
      <c r="P77" s="194" t="n">
        <f aca="false">INDEX(Training!$C$120:$Q$120,3*(Unit_Cost!P$6-1)+3)</f>
        <v>46491866.832671</v>
      </c>
      <c r="Q77" s="194" t="n">
        <f aca="false">INDEX(Training!$C$120:$Q$120,3*(Unit_Cost!Q$6-1)+3)</f>
        <v>46491866.832671</v>
      </c>
      <c r="R77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814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3564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3475</v>
      </c>
      <c r="B78" s="30" t="s">
        <v>1092</v>
      </c>
      <c r="C78" s="194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4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4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4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4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4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4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4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4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4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4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4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4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4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4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7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814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3565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3581</v>
      </c>
      <c r="B79" s="30" t="s">
        <v>131</v>
      </c>
      <c r="C79" s="201" t="n">
        <f aca="false">INDEX(Training!$C$123:$Q$123,3*(Unit_Cost!C$6-1)+3)</f>
        <v>0.156848141308111</v>
      </c>
      <c r="D79" s="201" t="n">
        <f aca="false">INDEX(Training!$C$123:$Q$123,3*(Unit_Cost!D$6-1)+3)</f>
        <v>0.156848141308111</v>
      </c>
      <c r="E79" s="201" t="n">
        <f aca="false">INDEX(Training!$C$123:$Q$123,3*(Unit_Cost!E$6-1)+3)</f>
        <v>0.156848141308111</v>
      </c>
      <c r="F79" s="201" t="n">
        <f aca="false">INDEX(Training!$C$123:$Q$123,3*(Unit_Cost!F$6-1)+3)</f>
        <v>0.0578253233036203</v>
      </c>
      <c r="G79" s="201" t="n">
        <f aca="false">INDEX(Training!$C$123:$Q$123,3*(Unit_Cost!G$6-1)+3)</f>
        <v>0.0578253233036203</v>
      </c>
      <c r="H79" s="201" t="n">
        <f aca="false">INDEX(Training!$C$123:$Q$123,3*(Unit_Cost!H$6-1)+3)</f>
        <v>0.0578253233036203</v>
      </c>
      <c r="I79" s="201" t="n">
        <f aca="false">INDEX(Training!$C$123:$Q$123,3*(Unit_Cost!I$6-1)+3)</f>
        <v>0.0655864074968763</v>
      </c>
      <c r="J79" s="201" t="n">
        <f aca="false">INDEX(Training!$C$123:$Q$123,3*(Unit_Cost!J$6-1)+3)</f>
        <v>0.0655864074968763</v>
      </c>
      <c r="K79" s="201" t="n">
        <f aca="false">INDEX(Training!$C$123:$Q$123,3*(Unit_Cost!K$6-1)+3)</f>
        <v>0.0655864074968763</v>
      </c>
      <c r="L79" s="201" t="n">
        <f aca="false">INDEX(Training!$C$123:$Q$123,3*(Unit_Cost!L$6-1)+3)</f>
        <v>0.0400178434586299</v>
      </c>
      <c r="M79" s="201" t="n">
        <f aca="false">INDEX(Training!$C$123:$Q$123,3*(Unit_Cost!M$6-1)+3)</f>
        <v>0.0400178434586299</v>
      </c>
      <c r="N79" s="201" t="n">
        <f aca="false">INDEX(Training!$C$123:$Q$123,3*(Unit_Cost!N$6-1)+3)</f>
        <v>0.0400178434586299</v>
      </c>
      <c r="O79" s="201" t="n">
        <f aca="false">INDEX(Training!$C$123:$Q$123,3*(Unit_Cost!O$6-1)+3)</f>
        <v>0.0272504145323638</v>
      </c>
      <c r="P79" s="201" t="n">
        <f aca="false">INDEX(Training!$C$123:$Q$123,3*(Unit_Cost!P$6-1)+3)</f>
        <v>0.0272504145323638</v>
      </c>
      <c r="Q79" s="201" t="n">
        <f aca="false">INDEX(Training!$C$123:$Q$123,3*(Unit_Cost!Q$6-1)+3)</f>
        <v>0.0272504145323638</v>
      </c>
      <c r="R7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814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3567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3582</v>
      </c>
      <c r="B80" s="30" t="s">
        <v>136</v>
      </c>
      <c r="C80" s="202" t="n">
        <f aca="false">Train_In!$C$13</f>
        <v>8</v>
      </c>
      <c r="R80" s="187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814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3583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3584</v>
      </c>
      <c r="B81" s="44" t="s">
        <v>1167</v>
      </c>
      <c r="C81" s="33" t="n">
        <f aca="false">Train_In!$C$16</f>
        <v>4</v>
      </c>
      <c r="D81" s="203" t="str">
        <f aca="false">INDEX(Spec_Rack!$C$4:$G$4,C81)</f>
        <v>VR200 NVL72</v>
      </c>
      <c r="R81" s="187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814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3585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3586</v>
      </c>
      <c r="B82" s="44" t="s">
        <v>1167</v>
      </c>
      <c r="C82" s="33" t="n">
        <f aca="false">Train_In!$C$17</f>
        <v>3</v>
      </c>
      <c r="D82" s="203" t="str">
        <f aca="false">INDEX(Spec_Rack!$C$4:$G$4,C82)</f>
        <v>GB300 NVL72</v>
      </c>
      <c r="R82" s="187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814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3585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3587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306</v>
      </c>
    </row>
    <row r="86" customFormat="false" ht="15" hidden="false" customHeight="true" outlineLevel="0" collapsed="false">
      <c r="A86" s="44" t="s">
        <v>3588</v>
      </c>
      <c r="B86" s="30" t="s">
        <v>1045</v>
      </c>
      <c r="C86" s="46" t="n">
        <f aca="false">Price_Frontier!C41</f>
        <v>0.08</v>
      </c>
      <c r="R8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814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3589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3590</v>
      </c>
      <c r="B87" s="30" t="s">
        <v>1045</v>
      </c>
      <c r="C87" s="46" t="n">
        <f aca="false">Price_Frontier!C42</f>
        <v>0.008</v>
      </c>
      <c r="R8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814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3589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3591</v>
      </c>
      <c r="B88" s="30" t="s">
        <v>1045</v>
      </c>
      <c r="C88" s="46" t="n">
        <f aca="false">Price_Frontier!C43</f>
        <v>0.4</v>
      </c>
      <c r="R88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814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3589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3592</v>
      </c>
      <c r="B89" s="30" t="s">
        <v>1045</v>
      </c>
      <c r="C89" s="46" t="n">
        <f aca="false">Price_Frontier!C44</f>
        <v>0.4</v>
      </c>
      <c r="R89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814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3589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3593</v>
      </c>
      <c r="B90" s="30" t="s">
        <v>1045</v>
      </c>
      <c r="C90" s="55" t="n">
        <f aca="false">Price_Frontier!C45</f>
        <v>0.0803555555555556</v>
      </c>
      <c r="R90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814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3594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3595</v>
      </c>
      <c r="B91" s="30" t="s">
        <v>1045</v>
      </c>
      <c r="C91" s="46" t="n">
        <f aca="false">Price_Frontier!C46</f>
        <v>0.0803555555555556</v>
      </c>
      <c r="R91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814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3596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3597</v>
      </c>
      <c r="C92" s="187" t="str">
        <f aca="false">Price_Frontier!C26</f>
        <v>GPT-6 Luna</v>
      </c>
      <c r="R92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814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3598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3599</v>
      </c>
      <c r="B93" s="44" t="s">
        <v>1461</v>
      </c>
      <c r="C93" s="32" t="n">
        <f aca="false">INDEX(B4_Life,1,1)</f>
        <v>12</v>
      </c>
      <c r="R93" s="187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814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3585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3600</v>
      </c>
      <c r="B94" s="30" t="s">
        <v>1045</v>
      </c>
      <c r="C94" s="204" t="n">
        <f aca="false">Cache_Store!C17</f>
        <v>1.32943302891933E-005</v>
      </c>
      <c r="D94" s="204" t="n">
        <f aca="false">Cache_Store!D17</f>
        <v>1.32943302891933E-005</v>
      </c>
      <c r="E94" s="204" t="n">
        <f aca="false">Cache_Store!E17</f>
        <v>1.32943302891933E-005</v>
      </c>
      <c r="F94" s="204" t="n">
        <f aca="false">Cache_Store!F17</f>
        <v>1.32943302891933E-005</v>
      </c>
      <c r="G94" s="204" t="n">
        <f aca="false">Cache_Store!G17</f>
        <v>1.32943302891933E-005</v>
      </c>
      <c r="H94" s="204" t="n">
        <f aca="false">Cache_Store!H17</f>
        <v>1.32943302891933E-005</v>
      </c>
      <c r="I94" s="204" t="n">
        <f aca="false">Cache_Store!I17</f>
        <v>1.32943302891933E-005</v>
      </c>
      <c r="J94" s="204" t="n">
        <f aca="false">Cache_Store!J17</f>
        <v>1.32943302891933E-005</v>
      </c>
      <c r="K94" s="204" t="n">
        <f aca="false">Cache_Store!K17</f>
        <v>1.32943302891933E-005</v>
      </c>
      <c r="L94" s="204" t="n">
        <f aca="false">Cache_Store!L17</f>
        <v>1.32943302891933E-005</v>
      </c>
      <c r="M94" s="204" t="n">
        <f aca="false">Cache_Store!M17</f>
        <v>1.32943302891933E-005</v>
      </c>
      <c r="N94" s="204" t="n">
        <f aca="false">Cache_Store!N17</f>
        <v>1.32943302891933E-005</v>
      </c>
      <c r="O94" s="204" t="n">
        <f aca="false">Cache_Store!O17</f>
        <v>1.32943302891933E-005</v>
      </c>
      <c r="P94" s="204" t="n">
        <f aca="false">Cache_Store!P17</f>
        <v>1.32943302891933E-005</v>
      </c>
      <c r="Q94" s="204" t="n">
        <f aca="false">Cache_Store!Q17</f>
        <v>1.32943302891933E-005</v>
      </c>
      <c r="R94" s="187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814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3601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3602</v>
      </c>
      <c r="B95" s="30" t="s">
        <v>1045</v>
      </c>
      <c r="C95" s="204" t="n">
        <f aca="false">Amortize!C13</f>
        <v>0.0461948299236361</v>
      </c>
      <c r="D95" s="204" t="n">
        <f aca="false">Amortize!D13</f>
        <v>0.0660031717808905</v>
      </c>
      <c r="E95" s="204" t="n">
        <f aca="false">Amortize!E13</f>
        <v>0.113351722376516</v>
      </c>
      <c r="F95" s="204" t="n">
        <f aca="false">Amortize!F13</f>
        <v>0.00307089725293388</v>
      </c>
      <c r="G95" s="204" t="n">
        <f aca="false">Amortize!G13</f>
        <v>0.00410029381525669</v>
      </c>
      <c r="H95" s="204" t="n">
        <f aca="false">Amortize!H13</f>
        <v>0.0066503469504659</v>
      </c>
      <c r="I95" s="204" t="n">
        <f aca="false">Amortize!I13</f>
        <v>0.00342892011098242</v>
      </c>
      <c r="J95" s="204" t="n">
        <f aca="false">Amortize!J13</f>
        <v>0.00442864875784267</v>
      </c>
      <c r="K95" s="204" t="n">
        <f aca="false">Amortize!K13</f>
        <v>0.0075399904314325</v>
      </c>
      <c r="L95" s="204" t="n">
        <f aca="false">Amortize!L13</f>
        <v>0.00155811775340172</v>
      </c>
      <c r="M95" s="204" t="n">
        <f aca="false">Amortize!M13</f>
        <v>0.00200258298781343</v>
      </c>
      <c r="N95" s="204" t="n">
        <f aca="false">Amortize!N13</f>
        <v>0.00323523483004361</v>
      </c>
      <c r="O95" s="204" t="n">
        <f aca="false">Amortize!O13</f>
        <v>0.000773266108996229</v>
      </c>
      <c r="P95" s="204" t="n">
        <f aca="false">Amortize!P13</f>
        <v>0.00117525845852548</v>
      </c>
      <c r="Q95" s="204" t="n">
        <f aca="false">Amortize!Q13</f>
        <v>0.00214548306058959</v>
      </c>
      <c r="R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814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3603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3604</v>
      </c>
      <c r="B96" s="30" t="s">
        <v>1045</v>
      </c>
      <c r="C96" s="196" t="n">
        <f aca="false">Amortize!C15</f>
        <v>0.145154099875442</v>
      </c>
      <c r="D96" s="196" t="n">
        <f aca="false">Amortize!D15</f>
        <v>0.207389489905081</v>
      </c>
      <c r="E96" s="196" t="n">
        <f aca="false">Amortize!E15</f>
        <v>0.356152851063333</v>
      </c>
      <c r="F96" s="196" t="n">
        <f aca="false">Amortize!F15</f>
        <v>0.0319533364121264</v>
      </c>
      <c r="G96" s="196" t="n">
        <f aca="false">Amortize!G15</f>
        <v>0.042659200399074</v>
      </c>
      <c r="H96" s="196" t="n">
        <f aca="false">Amortize!H15</f>
        <v>0.0691800991705213</v>
      </c>
      <c r="I96" s="196" t="n">
        <f aca="false">Amortize!I15</f>
        <v>0.0279875593969906</v>
      </c>
      <c r="J96" s="196" t="n">
        <f aca="false">Amortize!J15</f>
        <v>0.0361430077880249</v>
      </c>
      <c r="K96" s="196" t="n">
        <f aca="false">Amortize!K15</f>
        <v>0.0615242815221799</v>
      </c>
      <c r="L96" s="196" t="n">
        <f aca="false">Amortize!L15</f>
        <v>0.0219168376454209</v>
      </c>
      <c r="M96" s="196" t="n">
        <f aca="false">Amortize!M15</f>
        <v>0.0281643397910292</v>
      </c>
      <c r="N96" s="196" t="n">
        <f aca="false">Amortize!N15</f>
        <v>0.0454907681208266</v>
      </c>
      <c r="O96" s="196" t="n">
        <f aca="false">Amortize!O15</f>
        <v>0.0173198764182435</v>
      </c>
      <c r="P96" s="196" t="n">
        <f aca="false">Amortize!P15</f>
        <v>0.0263157336425082</v>
      </c>
      <c r="Q96" s="196" t="n">
        <f aca="false">Amortize!Q15</f>
        <v>0.0480275945917492</v>
      </c>
      <c r="R96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814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3605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3606</v>
      </c>
      <c r="B97" s="30" t="s">
        <v>1045</v>
      </c>
      <c r="C97" s="196" t="n">
        <f aca="false">Theory_Rev!C18</f>
        <v>0.147064628142164</v>
      </c>
      <c r="D97" s="196" t="n">
        <f aca="false">Theory_Rev!D18</f>
        <v>0.210121291884421</v>
      </c>
      <c r="E97" s="196" t="n">
        <f aca="false">Theory_Rev!E18</f>
        <v>0.360847771420528</v>
      </c>
      <c r="F97" s="196" t="n">
        <f aca="false">Theory_Rev!F18</f>
        <v>0.0252757581494963</v>
      </c>
      <c r="G97" s="196" t="n">
        <f aca="false">Theory_Rev!G18</f>
        <v>0.0337448229061386</v>
      </c>
      <c r="H97" s="196" t="n">
        <f aca="false">Theory_Rev!H18</f>
        <v>0.0547246531537095</v>
      </c>
      <c r="I97" s="196" t="n">
        <f aca="false">Theory_Rev!I18</f>
        <v>0.0228779020648233</v>
      </c>
      <c r="J97" s="196" t="n">
        <f aca="false">Theory_Rev!J18</f>
        <v>0.0295449762037583</v>
      </c>
      <c r="K97" s="196" t="n">
        <f aca="false">Theory_Rev!K18</f>
        <v>0.0502941521671846</v>
      </c>
      <c r="L97" s="196" t="n">
        <f aca="false">Theory_Rev!L18</f>
        <v>0.0167884625578468</v>
      </c>
      <c r="M97" s="196" t="n">
        <f aca="false">Theory_Rev!M18</f>
        <v>0.0215744123341219</v>
      </c>
      <c r="N97" s="196" t="n">
        <f aca="false">Theory_Rev!N18</f>
        <v>0.0348474635241773</v>
      </c>
      <c r="O97" s="196" t="n">
        <f aca="false">Theory_Rev!O18</f>
        <v>0.0128091124335383</v>
      </c>
      <c r="P97" s="196" t="n">
        <f aca="false">Theory_Rev!P18</f>
        <v>0.0194624631931499</v>
      </c>
      <c r="Q97" s="196" t="n">
        <f aca="false">Theory_Rev!Q18</f>
        <v>0.0355205911667204</v>
      </c>
      <c r="R9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3548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3607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3608</v>
      </c>
      <c r="B98" s="30" t="s">
        <v>1045</v>
      </c>
      <c r="C98" s="205" t="n">
        <f aca="false">Amortize!C43</f>
        <v>0.111643809823497</v>
      </c>
      <c r="D98" s="205" t="n">
        <f aca="false">Amortize!D43</f>
        <v>0.159512054091793</v>
      </c>
      <c r="E98" s="205" t="n">
        <f aca="false">Amortize!E43</f>
        <v>0.273933140015809</v>
      </c>
      <c r="F98" s="205" t="n">
        <f aca="false">Amortize!F43</f>
        <v>0.0204339215912253</v>
      </c>
      <c r="G98" s="205" t="n">
        <f aca="false">Amortize!G43</f>
        <v>0.027280612608476</v>
      </c>
      <c r="H98" s="205" t="n">
        <f aca="false">Amortize!H43</f>
        <v>0.0442414482411035</v>
      </c>
      <c r="I98" s="205" t="n">
        <f aca="false">Amortize!I43</f>
        <v>0.020050088283311</v>
      </c>
      <c r="J98" s="205" t="n">
        <f aca="false">Amortize!J43</f>
        <v>0.0258930448820136</v>
      </c>
      <c r="K98" s="205" t="n">
        <f aca="false">Amortize!K43</f>
        <v>0.0440774136300878</v>
      </c>
      <c r="L98" s="205" t="n">
        <f aca="false">Amortize!L43</f>
        <v>0.0148626841575213</v>
      </c>
      <c r="M98" s="205" t="n">
        <f aca="false">Amortize!M43</f>
        <v>0.0190995701031786</v>
      </c>
      <c r="N98" s="205" t="n">
        <f aca="false">Amortize!N43</f>
        <v>0.0308498823028407</v>
      </c>
      <c r="O98" s="205" t="n">
        <f aca="false">Amortize!O43</f>
        <v>0.0108849945073861</v>
      </c>
      <c r="P98" s="205" t="n">
        <f aca="false">Amortize!P43</f>
        <v>0.0165388591664826</v>
      </c>
      <c r="Q98" s="205" t="n">
        <f aca="false">Amortize!Q43</f>
        <v>0.0301846874898821</v>
      </c>
      <c r="R9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814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3607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3609</v>
      </c>
      <c r="B99" s="30" t="s">
        <v>1045</v>
      </c>
      <c r="C99" s="204" t="n">
        <f aca="false">Amortize!C44</f>
        <v>0.0481837579884481</v>
      </c>
      <c r="D99" s="204" t="n">
        <f aca="false">Amortize!D44</f>
        <v>0.0688429588953491</v>
      </c>
      <c r="E99" s="204" t="n">
        <f aca="false">Amortize!E44</f>
        <v>0.118225346702199</v>
      </c>
      <c r="F99" s="204" t="n">
        <f aca="false">Amortize!F44</f>
        <v>0.0107558717803451</v>
      </c>
      <c r="G99" s="204" t="n">
        <f aca="false">Amortize!G44</f>
        <v>0.0143597874737876</v>
      </c>
      <c r="H99" s="204" t="n">
        <f aca="false">Amortize!H44</f>
        <v>0.0232875193600833</v>
      </c>
      <c r="I99" s="204" t="n">
        <f aca="false">Amortize!I44</f>
        <v>0.00997284870203028</v>
      </c>
      <c r="J99" s="204" t="n">
        <f aca="false">Amortize!J44</f>
        <v>0.0128791163108314</v>
      </c>
      <c r="K99" s="204" t="n">
        <f aca="false">Amortize!K44</f>
        <v>0.021923962184025</v>
      </c>
      <c r="L99" s="204" t="n">
        <f aca="false">Amortize!L44</f>
        <v>0.00685107279468222</v>
      </c>
      <c r="M99" s="204" t="n">
        <f aca="false">Amortize!M44</f>
        <v>0.00880409916117299</v>
      </c>
      <c r="N99" s="204" t="n">
        <f aca="false">Amortize!N44</f>
        <v>0.014220499280218</v>
      </c>
      <c r="O99" s="204" t="n">
        <f aca="false">Amortize!O44</f>
        <v>0.00524853491548195</v>
      </c>
      <c r="P99" s="204" t="n">
        <f aca="false">Amortize!P44</f>
        <v>0.00797471966923092</v>
      </c>
      <c r="Q99" s="204" t="n">
        <f aca="false">Amortize!Q44</f>
        <v>0.014554475530149</v>
      </c>
      <c r="R9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814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3610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3611</v>
      </c>
      <c r="B100" s="30" t="s">
        <v>1045</v>
      </c>
      <c r="C100" s="206" t="n">
        <f aca="false">Theory_Rev!C20</f>
        <v>0.212513608042025</v>
      </c>
      <c r="D100" s="206" t="n">
        <f aca="false">Theory_Rev!D20</f>
        <v>0.303630174195324</v>
      </c>
      <c r="E100" s="206" t="n">
        <f aca="false">Theory_Rev!E20</f>
        <v>0.52142918905982</v>
      </c>
      <c r="F100" s="206" t="n">
        <f aca="false">Theory_Rev!F20</f>
        <v>0.0426387824877877</v>
      </c>
      <c r="G100" s="206" t="n">
        <f aca="false">Theory_Rev!G20</f>
        <v>0.0569251416993579</v>
      </c>
      <c r="H100" s="206" t="n">
        <f aca="false">Theory_Rev!H20</f>
        <v>0.0923157544443471</v>
      </c>
      <c r="I100" s="206" t="n">
        <f aca="false">Theory_Rev!I20</f>
        <v>0.0394990702371519</v>
      </c>
      <c r="J100" s="206" t="n">
        <f aca="false">Theory_Rev!J20</f>
        <v>0.0510093723279292</v>
      </c>
      <c r="K100" s="206" t="n">
        <f aca="false">Theory_Rev!K20</f>
        <v>0.0868315753658399</v>
      </c>
      <c r="L100" s="206" t="n">
        <f aca="false">Theory_Rev!L20</f>
        <v>0.0300930289619664</v>
      </c>
      <c r="M100" s="206" t="n">
        <f aca="false">Theory_Rev!M20</f>
        <v>0.038671399449487</v>
      </c>
      <c r="N100" s="206" t="n">
        <f aca="false">Theory_Rev!N20</f>
        <v>0.0624621109969744</v>
      </c>
      <c r="O100" s="206" t="n">
        <f aca="false">Theory_Rev!O20</f>
        <v>0.0229208408319282</v>
      </c>
      <c r="P100" s="206" t="n">
        <f aca="false">Theory_Rev!P20</f>
        <v>0.034826063901107</v>
      </c>
      <c r="Q100" s="206" t="n">
        <f aca="false">Theory_Rev!Q20</f>
        <v>0.0635597955960129</v>
      </c>
      <c r="R100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3548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3607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3612</v>
      </c>
      <c r="B101" s="30" t="s">
        <v>2262</v>
      </c>
      <c r="C101" s="207" t="n">
        <f aca="false">Theory_Rev!C11</f>
        <v>5.41089756914487</v>
      </c>
      <c r="D101" s="207" t="n">
        <f aca="false">Theory_Rev!D11</f>
        <v>5.41089756914487</v>
      </c>
      <c r="E101" s="207" t="n">
        <f aca="false">Theory_Rev!E11</f>
        <v>5.41089756914487</v>
      </c>
      <c r="F101" s="207" t="n">
        <f aca="false">Theory_Rev!F11</f>
        <v>23.9489675192609</v>
      </c>
      <c r="G101" s="207" t="n">
        <f aca="false">Theory_Rev!G11</f>
        <v>23.9489675192609</v>
      </c>
      <c r="H101" s="207" t="n">
        <f aca="false">Theory_Rev!H11</f>
        <v>23.9489675192609</v>
      </c>
      <c r="I101" s="207" t="n">
        <f aca="false">Theory_Rev!I11</f>
        <v>34.8667275721655</v>
      </c>
      <c r="J101" s="207" t="n">
        <f aca="false">Theory_Rev!J11</f>
        <v>34.8667275721655</v>
      </c>
      <c r="K101" s="207" t="n">
        <f aca="false">Theory_Rev!K11</f>
        <v>34.8667275721655</v>
      </c>
      <c r="L101" s="207" t="n">
        <f aca="false">Theory_Rev!L11</f>
        <v>50.299413649228</v>
      </c>
      <c r="M101" s="207" t="n">
        <f aca="false">Theory_Rev!M11</f>
        <v>50.299413649228</v>
      </c>
      <c r="N101" s="207" t="n">
        <f aca="false">Theory_Rev!N11</f>
        <v>50.299413649228</v>
      </c>
      <c r="O101" s="207" t="n">
        <f aca="false">Theory_Rev!O11</f>
        <v>67.7198685975468</v>
      </c>
      <c r="P101" s="207" t="n">
        <f aca="false">Theory_Rev!P11</f>
        <v>67.7198685975468</v>
      </c>
      <c r="Q101" s="207" t="n">
        <f aca="false">Theory_Rev!Q11</f>
        <v>67.7198685975468</v>
      </c>
      <c r="R10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3548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3613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3614</v>
      </c>
      <c r="B102" s="30" t="s">
        <v>2262</v>
      </c>
      <c r="C102" s="198" t="n">
        <f aca="false">Theory_Rev!C12</f>
        <v>5.41089756914487</v>
      </c>
      <c r="D102" s="198" t="n">
        <f aca="false">Theory_Rev!D12</f>
        <v>5.41089756914487</v>
      </c>
      <c r="E102" s="198" t="n">
        <f aca="false">Theory_Rev!E12</f>
        <v>5.41089756914487</v>
      </c>
      <c r="F102" s="198" t="n">
        <f aca="false">Theory_Rev!F12</f>
        <v>23.9489675192609</v>
      </c>
      <c r="G102" s="198" t="n">
        <f aca="false">Theory_Rev!G12</f>
        <v>23.9489675192609</v>
      </c>
      <c r="H102" s="198" t="n">
        <f aca="false">Theory_Rev!H12</f>
        <v>23.9489675192609</v>
      </c>
      <c r="I102" s="198" t="n">
        <f aca="false">Theory_Rev!I12</f>
        <v>34.8667275721655</v>
      </c>
      <c r="J102" s="198" t="n">
        <f aca="false">Theory_Rev!J12</f>
        <v>34.8667275721655</v>
      </c>
      <c r="K102" s="198" t="n">
        <f aca="false">Theory_Rev!K12</f>
        <v>34.8667275721655</v>
      </c>
      <c r="L102" s="198" t="n">
        <f aca="false">Theory_Rev!L12</f>
        <v>50.299413649228</v>
      </c>
      <c r="M102" s="198" t="n">
        <f aca="false">Theory_Rev!M12</f>
        <v>50.299413649228</v>
      </c>
      <c r="N102" s="198" t="n">
        <f aca="false">Theory_Rev!N12</f>
        <v>50.299413649228</v>
      </c>
      <c r="O102" s="198" t="n">
        <f aca="false">Theory_Rev!O12</f>
        <v>67.7198685975468</v>
      </c>
      <c r="P102" s="198" t="n">
        <f aca="false">Theory_Rev!P12</f>
        <v>67.7198685975468</v>
      </c>
      <c r="Q102" s="198" t="n">
        <f aca="false">Theory_Rev!Q12</f>
        <v>67.7198685975468</v>
      </c>
      <c r="R10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3548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3615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307</v>
      </c>
      <c r="B103" s="208"/>
      <c r="C103" s="46"/>
    </row>
    <row r="104" customFormat="false" ht="15" hidden="false" customHeight="true" outlineLevel="0" collapsed="false">
      <c r="A104" s="44" t="s">
        <v>3616</v>
      </c>
      <c r="B104" s="30" t="s">
        <v>1045</v>
      </c>
      <c r="C104" s="46" t="n">
        <f aca="false">Price_Frontier!D41</f>
        <v>1.6</v>
      </c>
      <c r="R10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814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3589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3617</v>
      </c>
      <c r="B105" s="30" t="s">
        <v>1045</v>
      </c>
      <c r="C105" s="46" t="n">
        <f aca="false">Price_Frontier!D42</f>
        <v>0.16</v>
      </c>
      <c r="R10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814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3589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3618</v>
      </c>
      <c r="B106" s="30" t="s">
        <v>1045</v>
      </c>
      <c r="C106" s="46" t="n">
        <f aca="false">Price_Frontier!D43</f>
        <v>8</v>
      </c>
      <c r="R106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814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3589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3619</v>
      </c>
      <c r="B107" s="30" t="s">
        <v>1045</v>
      </c>
      <c r="C107" s="46" t="n">
        <f aca="false">Price_Frontier!D44</f>
        <v>8</v>
      </c>
      <c r="R107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814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3589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3620</v>
      </c>
      <c r="B108" s="30" t="s">
        <v>1045</v>
      </c>
      <c r="C108" s="55" t="n">
        <f aca="false">Price_Frontier!D45</f>
        <v>1.60711111111111</v>
      </c>
      <c r="R108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814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3594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3621</v>
      </c>
      <c r="B109" s="30" t="s">
        <v>1045</v>
      </c>
      <c r="C109" s="46" t="n">
        <f aca="false">Price_Frontier!D46</f>
        <v>1.60711111111111</v>
      </c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814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3596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3622</v>
      </c>
      <c r="B110" s="208"/>
      <c r="C110" s="204" t="str">
        <f aca="false">Price_Frontier!D26</f>
        <v>GPT-6 Sol</v>
      </c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814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3598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3623</v>
      </c>
      <c r="B111" s="44" t="s">
        <v>1461</v>
      </c>
      <c r="C111" s="32" t="n">
        <f aca="false">INDEX(B4_Life,1,2)</f>
        <v>12</v>
      </c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87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814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3585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3624</v>
      </c>
      <c r="B112" s="30" t="s">
        <v>1045</v>
      </c>
      <c r="C112" s="204" t="n">
        <f aca="false">Cache_Store!C23</f>
        <v>1.8859398782344E-005</v>
      </c>
      <c r="D112" s="204" t="n">
        <f aca="false">Cache_Store!D23</f>
        <v>1.8859398782344E-005</v>
      </c>
      <c r="E112" s="204" t="n">
        <f aca="false">Cache_Store!E23</f>
        <v>1.8859398782344E-005</v>
      </c>
      <c r="F112" s="204" t="n">
        <f aca="false">Cache_Store!F23</f>
        <v>1.8859398782344E-005</v>
      </c>
      <c r="G112" s="204" t="n">
        <f aca="false">Cache_Store!G23</f>
        <v>1.8859398782344E-005</v>
      </c>
      <c r="H112" s="204" t="n">
        <f aca="false">Cache_Store!H23</f>
        <v>1.8859398782344E-005</v>
      </c>
      <c r="I112" s="204" t="n">
        <f aca="false">Cache_Store!I23</f>
        <v>1.8859398782344E-005</v>
      </c>
      <c r="J112" s="204" t="n">
        <f aca="false">Cache_Store!J23</f>
        <v>1.8859398782344E-005</v>
      </c>
      <c r="K112" s="204" t="n">
        <f aca="false">Cache_Store!K23</f>
        <v>1.8859398782344E-005</v>
      </c>
      <c r="L112" s="204" t="n">
        <f aca="false">Cache_Store!L23</f>
        <v>1.8859398782344E-005</v>
      </c>
      <c r="M112" s="204" t="n">
        <f aca="false">Cache_Store!M23</f>
        <v>1.8859398782344E-005</v>
      </c>
      <c r="N112" s="204" t="n">
        <f aca="false">Cache_Store!N23</f>
        <v>1.8859398782344E-005</v>
      </c>
      <c r="O112" s="204" t="n">
        <f aca="false">Cache_Store!O23</f>
        <v>1.8859398782344E-005</v>
      </c>
      <c r="P112" s="204" t="n">
        <f aca="false">Cache_Store!P23</f>
        <v>1.8859398782344E-005</v>
      </c>
      <c r="Q112" s="204" t="n">
        <f aca="false">Cache_Store!Q23</f>
        <v>1.8859398782344E-005</v>
      </c>
      <c r="R112" s="187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814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3601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3625</v>
      </c>
      <c r="B113" s="30" t="s">
        <v>1045</v>
      </c>
      <c r="C113" s="204" t="n">
        <f aca="false">Amortize!C22</f>
        <v>0.114040439741435</v>
      </c>
      <c r="D113" s="204" t="n">
        <f aca="false">Amortize!D22</f>
        <v>0.162940977305579</v>
      </c>
      <c r="E113" s="204" t="n">
        <f aca="false">Amortize!E22</f>
        <v>0.279829588866025</v>
      </c>
      <c r="F113" s="204" t="n">
        <f aca="false">Amortize!F22</f>
        <v>0.00876653267880038</v>
      </c>
      <c r="G113" s="204" t="n">
        <f aca="false">Amortize!G22</f>
        <v>0.0117051652215942</v>
      </c>
      <c r="H113" s="204" t="n">
        <f aca="false">Amortize!H22</f>
        <v>0.0189848370247231</v>
      </c>
      <c r="I113" s="204" t="n">
        <f aca="false">Amortize!I22</f>
        <v>0.00936389932228216</v>
      </c>
      <c r="J113" s="204" t="n">
        <f aca="false">Amortize!J22</f>
        <v>0.0120940178715063</v>
      </c>
      <c r="K113" s="204" t="n">
        <f aca="false">Amortize!K22</f>
        <v>0.0205906550767309</v>
      </c>
      <c r="L113" s="204" t="n">
        <f aca="false">Amortize!L22</f>
        <v>0.00403441053211496</v>
      </c>
      <c r="M113" s="204" t="n">
        <f aca="false">Amortize!M22</f>
        <v>0.00518525758392133</v>
      </c>
      <c r="N113" s="204" t="n">
        <f aca="false">Amortize!N22</f>
        <v>0.00837694419673806</v>
      </c>
      <c r="O113" s="204" t="n">
        <f aca="false">Amortize!O22</f>
        <v>0.00207075943620614</v>
      </c>
      <c r="P113" s="204" t="n">
        <f aca="false">Amortize!P22</f>
        <v>0.00314727040880126</v>
      </c>
      <c r="Q113" s="204" t="n">
        <f aca="false">Amortize!Q22</f>
        <v>0.00574547266619956</v>
      </c>
      <c r="R113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814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3603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3626</v>
      </c>
      <c r="B114" s="30" t="s">
        <v>1045</v>
      </c>
      <c r="C114" s="196" t="n">
        <f aca="false">Amortize!C24</f>
        <v>0.484280958435838</v>
      </c>
      <c r="D114" s="196" t="n">
        <f aca="false">Amortize!D24</f>
        <v>0.691931138474116</v>
      </c>
      <c r="E114" s="196" t="n">
        <f aca="false">Amortize!E24</f>
        <v>1.1882843984585</v>
      </c>
      <c r="F114" s="196" t="n">
        <f aca="false">Amortize!F24</f>
        <v>0.108769658750671</v>
      </c>
      <c r="G114" s="196" t="n">
        <f aca="false">Amortize!G24</f>
        <v>0.145222962184988</v>
      </c>
      <c r="H114" s="196" t="n">
        <f aca="false">Amortize!H24</f>
        <v>0.235526217620051</v>
      </c>
      <c r="I114" s="196" t="n">
        <f aca="false">Amortize!I24</f>
        <v>0.0952543394798669</v>
      </c>
      <c r="J114" s="196" t="n">
        <f aca="false">Amortize!J24</f>
        <v>0.123020044560673</v>
      </c>
      <c r="K114" s="196" t="n">
        <f aca="false">Amortize!K24</f>
        <v>0.209432088054504</v>
      </c>
      <c r="L114" s="196" t="n">
        <f aca="false">Amortize!L24</f>
        <v>0.0715892949664193</v>
      </c>
      <c r="M114" s="196" t="n">
        <f aca="false">Amortize!M24</f>
        <v>0.0920043913706423</v>
      </c>
      <c r="N114" s="196" t="n">
        <f aca="false">Amortize!N24</f>
        <v>0.148622331861039</v>
      </c>
      <c r="O114" s="196" t="n">
        <f aca="false">Amortize!O24</f>
        <v>0.0558784425295617</v>
      </c>
      <c r="P114" s="196" t="n">
        <f aca="false">Amortize!P24</f>
        <v>0.0849160748970673</v>
      </c>
      <c r="Q114" s="196" t="n">
        <f aca="false">Amortize!Q24</f>
        <v>0.154999561166491</v>
      </c>
      <c r="R114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814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3605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3627</v>
      </c>
      <c r="B115" s="30" t="s">
        <v>1045</v>
      </c>
      <c r="C115" s="196" t="n">
        <f aca="false">Theory_Rev!C36</f>
        <v>0.450574665095153</v>
      </c>
      <c r="D115" s="196" t="n">
        <f aca="false">Theory_Rev!D36</f>
        <v>0.643774480313015</v>
      </c>
      <c r="E115" s="196" t="n">
        <f aca="false">Theory_Rev!E36</f>
        <v>1.10558654372701</v>
      </c>
      <c r="F115" s="196" t="n">
        <f aca="false">Theory_Rev!F36</f>
        <v>0.0843522277428262</v>
      </c>
      <c r="G115" s="196" t="n">
        <f aca="false">Theory_Rev!G36</f>
        <v>0.112622816909467</v>
      </c>
      <c r="H115" s="196" t="n">
        <f aca="false">Theory_Rev!H36</f>
        <v>0.182655598421708</v>
      </c>
      <c r="I115" s="196" t="n">
        <f aca="false">Theory_Rev!I36</f>
        <v>0.0755575928591388</v>
      </c>
      <c r="J115" s="196" t="n">
        <f aca="false">Theory_Rev!J36</f>
        <v>0.0975825234136689</v>
      </c>
      <c r="K115" s="196" t="n">
        <f aca="false">Theory_Rev!K36</f>
        <v>0.166128207792573</v>
      </c>
      <c r="L115" s="196" t="n">
        <f aca="false">Theory_Rev!L36</f>
        <v>0.0537829036443724</v>
      </c>
      <c r="M115" s="196" t="n">
        <f aca="false">Theory_Rev!M36</f>
        <v>0.0691205126041982</v>
      </c>
      <c r="N115" s="196" t="n">
        <f aca="false">Theory_Rev!N36</f>
        <v>0.11165686972729</v>
      </c>
      <c r="O115" s="196" t="n">
        <f aca="false">Theory_Rev!O36</f>
        <v>0.0409015415330202</v>
      </c>
      <c r="P115" s="196" t="n">
        <f aca="false">Theory_Rev!P36</f>
        <v>0.0621567461847294</v>
      </c>
      <c r="Q115" s="196" t="n">
        <f aca="false">Theory_Rev!Q36</f>
        <v>0.11345703212088</v>
      </c>
      <c r="R11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3548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3607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3628</v>
      </c>
      <c r="B116" s="30" t="s">
        <v>1045</v>
      </c>
      <c r="C116" s="205" t="n">
        <f aca="false">Amortize!C45</f>
        <v>0.275613292390679</v>
      </c>
      <c r="D116" s="205" t="n">
        <f aca="false">Amortize!D45</f>
        <v>0.393784863430792</v>
      </c>
      <c r="E116" s="205" t="n">
        <f aca="false">Amortize!E45</f>
        <v>0.676254373028246</v>
      </c>
      <c r="F116" s="205" t="n">
        <f aca="false">Amortize!F45</f>
        <v>0.0583329973721456</v>
      </c>
      <c r="G116" s="205" t="n">
        <f aca="false">Amortize!G45</f>
        <v>0.0778783405082709</v>
      </c>
      <c r="H116" s="205" t="n">
        <f aca="false">Amortize!H45</f>
        <v>0.126296671564817</v>
      </c>
      <c r="I116" s="205" t="n">
        <f aca="false">Amortize!I45</f>
        <v>0.0547539755990414</v>
      </c>
      <c r="J116" s="205" t="n">
        <f aca="false">Amortize!J45</f>
        <v>0.0707102695819418</v>
      </c>
      <c r="K116" s="205" t="n">
        <f aca="false">Amortize!K45</f>
        <v>0.120369227121036</v>
      </c>
      <c r="L116" s="205" t="n">
        <f aca="false">Amortize!L45</f>
        <v>0.0384837213809363</v>
      </c>
      <c r="M116" s="205" t="n">
        <f aca="false">Amortize!M45</f>
        <v>0.0494542255326352</v>
      </c>
      <c r="N116" s="205" t="n">
        <f aca="false">Amortize!N45</f>
        <v>0.0798791296776901</v>
      </c>
      <c r="O116" s="205" t="n">
        <f aca="false">Amortize!O45</f>
        <v>0.0291493508211308</v>
      </c>
      <c r="P116" s="205" t="n">
        <f aca="false">Amortize!P45</f>
        <v>0.0442900552405372</v>
      </c>
      <c r="Q116" s="205" t="n">
        <f aca="false">Amortize!Q45</f>
        <v>0.0808327504870792</v>
      </c>
      <c r="R11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814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3607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3629</v>
      </c>
      <c r="B117" s="30" t="s">
        <v>1045</v>
      </c>
      <c r="C117" s="204" t="n">
        <f aca="false">Amortize!C46</f>
        <v>0.963675159768962</v>
      </c>
      <c r="D117" s="204" t="n">
        <f aca="false">Amortize!D46</f>
        <v>1.37685917790698</v>
      </c>
      <c r="E117" s="204" t="n">
        <f aca="false">Amortize!E46</f>
        <v>2.36450693404399</v>
      </c>
      <c r="F117" s="204" t="n">
        <f aca="false">Amortize!F46</f>
        <v>0.215117435606902</v>
      </c>
      <c r="G117" s="204" t="n">
        <f aca="false">Amortize!G46</f>
        <v>0.287195749475751</v>
      </c>
      <c r="H117" s="204" t="n">
        <f aca="false">Amortize!H46</f>
        <v>0.465750387201666</v>
      </c>
      <c r="I117" s="204" t="n">
        <f aca="false">Amortize!I46</f>
        <v>0.199456974040606</v>
      </c>
      <c r="J117" s="204" t="n">
        <f aca="false">Amortize!J46</f>
        <v>0.257582326216629</v>
      </c>
      <c r="K117" s="204" t="n">
        <f aca="false">Amortize!K46</f>
        <v>0.438479243680499</v>
      </c>
      <c r="L117" s="204" t="n">
        <f aca="false">Amortize!L46</f>
        <v>0.137021455893644</v>
      </c>
      <c r="M117" s="204" t="n">
        <f aca="false">Amortize!M46</f>
        <v>0.17608198322346</v>
      </c>
      <c r="N117" s="204" t="n">
        <f aca="false">Amortize!N46</f>
        <v>0.284409985604361</v>
      </c>
      <c r="O117" s="204" t="n">
        <f aca="false">Amortize!O46</f>
        <v>0.104970698309639</v>
      </c>
      <c r="P117" s="204" t="n">
        <f aca="false">Amortize!P46</f>
        <v>0.159494393384618</v>
      </c>
      <c r="Q117" s="204" t="n">
        <f aca="false">Amortize!Q46</f>
        <v>0.29108951060298</v>
      </c>
      <c r="R117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814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3610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3630</v>
      </c>
      <c r="B118" s="30" t="s">
        <v>1045</v>
      </c>
      <c r="C118" s="206" t="n">
        <f aca="false">Theory_Rev!C38</f>
        <v>0.612147517744397</v>
      </c>
      <c r="D118" s="206" t="n">
        <f aca="false">Theory_Rev!D38</f>
        <v>0.874618366438229</v>
      </c>
      <c r="E118" s="206" t="n">
        <f aca="false">Theory_Rev!E38</f>
        <v>1.50201132788924</v>
      </c>
      <c r="F118" s="206" t="n">
        <f aca="false">Theory_Rev!F38</f>
        <v>0.133918692436171</v>
      </c>
      <c r="G118" s="206" t="n">
        <f aca="false">Theory_Rev!G38</f>
        <v>0.178795992196144</v>
      </c>
      <c r="H118" s="206" t="n">
        <f aca="false">Theory_Rev!H38</f>
        <v>0.289967432961802</v>
      </c>
      <c r="I118" s="206" t="n">
        <f aca="false">Theory_Rev!I38</f>
        <v>0.120947669135898</v>
      </c>
      <c r="J118" s="206" t="n">
        <f aca="false">Theory_Rev!J38</f>
        <v>0.156198775124104</v>
      </c>
      <c r="K118" s="206" t="n">
        <f aca="false">Theory_Rev!K38</f>
        <v>0.265906779836878</v>
      </c>
      <c r="L118" s="206" t="n">
        <f aca="false">Theory_Rev!L38</f>
        <v>0.0882322144931937</v>
      </c>
      <c r="M118" s="206" t="n">
        <f aca="false">Theory_Rev!M38</f>
        <v>0.113389480552912</v>
      </c>
      <c r="N118" s="206" t="n">
        <f aca="false">Theory_Rev!N38</f>
        <v>0.183159055208242</v>
      </c>
      <c r="O118" s="206" t="n">
        <f aca="false">Theory_Rev!O38</f>
        <v>0.0679801329179448</v>
      </c>
      <c r="P118" s="206" t="n">
        <f aca="false">Theory_Rev!P38</f>
        <v>0.103299531016465</v>
      </c>
      <c r="Q118" s="206" t="n">
        <f aca="false">Theory_Rev!Q38</f>
        <v>0.18854430994176</v>
      </c>
      <c r="R118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3548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3607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3631</v>
      </c>
      <c r="B119" s="30" t="s">
        <v>2262</v>
      </c>
      <c r="C119" s="207" t="n">
        <f aca="false">Theory_Rev!C29</f>
        <v>32.4330286484338</v>
      </c>
      <c r="D119" s="207" t="n">
        <f aca="false">Theory_Rev!D29</f>
        <v>32.4330286484338</v>
      </c>
      <c r="E119" s="207" t="n">
        <f aca="false">Theory_Rev!E29</f>
        <v>32.4330286484338</v>
      </c>
      <c r="F119" s="207" t="n">
        <f aca="false">Theory_Rev!F29</f>
        <v>140.634851586483</v>
      </c>
      <c r="G119" s="207" t="n">
        <f aca="false">Theory_Rev!G29</f>
        <v>140.634851586483</v>
      </c>
      <c r="H119" s="207" t="n">
        <f aca="false">Theory_Rev!H29</f>
        <v>140.634851586483</v>
      </c>
      <c r="I119" s="207" t="n">
        <f aca="false">Theory_Rev!I29</f>
        <v>204.746908336412</v>
      </c>
      <c r="J119" s="207" t="n">
        <f aca="false">Theory_Rev!J29</f>
        <v>204.746908336412</v>
      </c>
      <c r="K119" s="207" t="n">
        <f aca="false">Theory_Rev!K29</f>
        <v>204.746908336412</v>
      </c>
      <c r="L119" s="207" t="n">
        <f aca="false">Theory_Rev!L29</f>
        <v>307.586504136986</v>
      </c>
      <c r="M119" s="207" t="n">
        <f aca="false">Theory_Rev!M29</f>
        <v>307.586504136986</v>
      </c>
      <c r="N119" s="207" t="n">
        <f aca="false">Theory_Rev!N29</f>
        <v>307.586504136986</v>
      </c>
      <c r="O119" s="207" t="n">
        <f aca="false">Theory_Rev!O29</f>
        <v>418.858593711675</v>
      </c>
      <c r="P119" s="207" t="n">
        <f aca="false">Theory_Rev!P29</f>
        <v>418.858593711675</v>
      </c>
      <c r="Q119" s="207" t="n">
        <f aca="false">Theory_Rev!Q29</f>
        <v>418.858593711675</v>
      </c>
      <c r="R11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3548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3613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3632</v>
      </c>
      <c r="B120" s="30" t="s">
        <v>2262</v>
      </c>
      <c r="C120" s="198" t="n">
        <f aca="false">Theory_Rev!C30</f>
        <v>32.4330286484338</v>
      </c>
      <c r="D120" s="198" t="n">
        <f aca="false">Theory_Rev!D30</f>
        <v>32.4330286484338</v>
      </c>
      <c r="E120" s="198" t="n">
        <f aca="false">Theory_Rev!E30</f>
        <v>32.4330286484338</v>
      </c>
      <c r="F120" s="198" t="n">
        <f aca="false">Theory_Rev!F30</f>
        <v>140.634851586483</v>
      </c>
      <c r="G120" s="198" t="n">
        <f aca="false">Theory_Rev!G30</f>
        <v>140.634851586483</v>
      </c>
      <c r="H120" s="198" t="n">
        <f aca="false">Theory_Rev!H30</f>
        <v>140.634851586483</v>
      </c>
      <c r="I120" s="198" t="n">
        <f aca="false">Theory_Rev!I30</f>
        <v>204.746908336412</v>
      </c>
      <c r="J120" s="198" t="n">
        <f aca="false">Theory_Rev!J30</f>
        <v>204.746908336412</v>
      </c>
      <c r="K120" s="198" t="n">
        <f aca="false">Theory_Rev!K30</f>
        <v>204.746908336412</v>
      </c>
      <c r="L120" s="198" t="n">
        <f aca="false">Theory_Rev!L30</f>
        <v>307.586504136986</v>
      </c>
      <c r="M120" s="198" t="n">
        <f aca="false">Theory_Rev!M30</f>
        <v>307.586504136986</v>
      </c>
      <c r="N120" s="198" t="n">
        <f aca="false">Theory_Rev!N30</f>
        <v>307.586504136986</v>
      </c>
      <c r="O120" s="198" t="n">
        <f aca="false">Theory_Rev!O30</f>
        <v>418.858593711675</v>
      </c>
      <c r="P120" s="198" t="n">
        <f aca="false">Theory_Rev!P30</f>
        <v>418.858593711675</v>
      </c>
      <c r="Q120" s="198" t="n">
        <f aca="false">Theory_Rev!Q30</f>
        <v>418.858593711675</v>
      </c>
      <c r="R12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3548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3615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308</v>
      </c>
      <c r="B121" s="208"/>
      <c r="C121" s="46"/>
    </row>
    <row r="122" customFormat="false" ht="15" hidden="false" customHeight="true" outlineLevel="0" collapsed="false">
      <c r="A122" s="44" t="s">
        <v>3633</v>
      </c>
      <c r="B122" s="30" t="s">
        <v>1045</v>
      </c>
      <c r="C122" s="46" t="n">
        <f aca="false">Price_Frontier!E41</f>
        <v>8</v>
      </c>
      <c r="R122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814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3589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3634</v>
      </c>
      <c r="B123" s="30" t="s">
        <v>1045</v>
      </c>
      <c r="C123" s="46" t="n">
        <f aca="false">Price_Frontier!E42</f>
        <v>0.8</v>
      </c>
      <c r="R123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814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3589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3635</v>
      </c>
      <c r="B124" s="30" t="s">
        <v>1045</v>
      </c>
      <c r="C124" s="46" t="n">
        <f aca="false">Price_Frontier!E43</f>
        <v>40</v>
      </c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814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3589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3636</v>
      </c>
      <c r="B125" s="30" t="s">
        <v>1045</v>
      </c>
      <c r="C125" s="46" t="n">
        <f aca="false">Price_Frontier!E44</f>
        <v>40</v>
      </c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187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814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3589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3637</v>
      </c>
      <c r="B126" s="30" t="s">
        <v>1045</v>
      </c>
      <c r="C126" s="55" t="n">
        <f aca="false">Price_Frontier!E45</f>
        <v>8.03555555555555</v>
      </c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87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814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3594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3638</v>
      </c>
      <c r="B127" s="30" t="s">
        <v>1045</v>
      </c>
      <c r="C127" s="46" t="n">
        <f aca="false">Price_Frontier!E46</f>
        <v>7.74222222222222</v>
      </c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87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814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3596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3639</v>
      </c>
      <c r="B128" s="208"/>
      <c r="C128" s="198" t="str">
        <f aca="false">Price_Frontier!E26</f>
        <v>Claude Fable 5.1</v>
      </c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87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814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3598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3640</v>
      </c>
      <c r="B129" s="44" t="s">
        <v>1461</v>
      </c>
      <c r="C129" s="32" t="n">
        <f aca="false">INDEX(B4_Life,1,3)</f>
        <v>9</v>
      </c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87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814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3585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3641</v>
      </c>
      <c r="B130" s="30" t="s">
        <v>1045</v>
      </c>
      <c r="C130" s="204" t="n">
        <f aca="false">Cache_Store!C29</f>
        <v>0.000273972602739726</v>
      </c>
      <c r="D130" s="204" t="n">
        <f aca="false">Cache_Store!D29</f>
        <v>0.000273972602739726</v>
      </c>
      <c r="E130" s="204" t="n">
        <f aca="false">Cache_Store!E29</f>
        <v>0.000273972602739726</v>
      </c>
      <c r="F130" s="204" t="n">
        <f aca="false">Cache_Store!F29</f>
        <v>0.000273972602739726</v>
      </c>
      <c r="G130" s="204" t="n">
        <f aca="false">Cache_Store!G29</f>
        <v>0.000273972602739726</v>
      </c>
      <c r="H130" s="204" t="n">
        <f aca="false">Cache_Store!H29</f>
        <v>0.000273972602739726</v>
      </c>
      <c r="I130" s="204" t="n">
        <f aca="false">Cache_Store!I29</f>
        <v>0.000273972602739726</v>
      </c>
      <c r="J130" s="204" t="n">
        <f aca="false">Cache_Store!J29</f>
        <v>0.000273972602739726</v>
      </c>
      <c r="K130" s="204" t="n">
        <f aca="false">Cache_Store!K29</f>
        <v>0.000273972602739726</v>
      </c>
      <c r="L130" s="204" t="n">
        <f aca="false">Cache_Store!L29</f>
        <v>0.000273972602739726</v>
      </c>
      <c r="M130" s="204" t="n">
        <f aca="false">Cache_Store!M29</f>
        <v>0.000273972602739726</v>
      </c>
      <c r="N130" s="204" t="n">
        <f aca="false">Cache_Store!N29</f>
        <v>0.000273972602739726</v>
      </c>
      <c r="O130" s="204" t="n">
        <f aca="false">Cache_Store!O29</f>
        <v>0.000273972602739726</v>
      </c>
      <c r="P130" s="204" t="n">
        <f aca="false">Cache_Store!P29</f>
        <v>0.000273972602739726</v>
      </c>
      <c r="Q130" s="204" t="n">
        <f aca="false">Cache_Store!Q29</f>
        <v>0.000273972602739726</v>
      </c>
      <c r="R130" s="187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814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3642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3643</v>
      </c>
      <c r="B131" s="30" t="s">
        <v>1045</v>
      </c>
      <c r="C131" s="204" t="n">
        <f aca="false">Amortize!C32</f>
        <v>2.77777469594551</v>
      </c>
      <c r="D131" s="204" t="n">
        <f aca="false">Amortize!D32</f>
        <v>3.96888441256699</v>
      </c>
      <c r="E131" s="204" t="n">
        <f aca="false">Amortize!E32</f>
        <v>6.81603431985413</v>
      </c>
      <c r="F131" s="204" t="n">
        <f aca="false">Amortize!F32</f>
        <v>0.228452001604401</v>
      </c>
      <c r="G131" s="204" t="n">
        <f aca="false">Amortize!G32</f>
        <v>0.305031478460118</v>
      </c>
      <c r="H131" s="204" t="n">
        <f aca="false">Amortize!H32</f>
        <v>0.49473653693433</v>
      </c>
      <c r="I131" s="204" t="n">
        <f aca="false">Amortize!I32</f>
        <v>0.24019799874652</v>
      </c>
      <c r="J131" s="204" t="n">
        <f aca="false">Amortize!J32</f>
        <v>0.310229615842608</v>
      </c>
      <c r="K131" s="204" t="n">
        <f aca="false">Amortize!K32</f>
        <v>0.528181046387546</v>
      </c>
      <c r="L131" s="204" t="n">
        <f aca="false">Amortize!L32</f>
        <v>0.100573347953864</v>
      </c>
      <c r="M131" s="204" t="n">
        <f aca="false">Amortize!M32</f>
        <v>0.129262679409264</v>
      </c>
      <c r="N131" s="204" t="n">
        <f aca="false">Amortize!N32</f>
        <v>0.208827861414237</v>
      </c>
      <c r="O131" s="204" t="n">
        <f aca="false">Amortize!O32</f>
        <v>0.0523766024928945</v>
      </c>
      <c r="P131" s="204" t="n">
        <f aca="false">Amortize!P32</f>
        <v>0.0796052541194475</v>
      </c>
      <c r="Q131" s="204" t="n">
        <f aca="false">Amortize!Q32</f>
        <v>0.145322693070838</v>
      </c>
      <c r="R13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814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3603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3644</v>
      </c>
      <c r="B132" s="30" t="s">
        <v>1045</v>
      </c>
      <c r="C132" s="196" t="n">
        <f aca="false">Amortize!C34</f>
        <v>2.39257479448417</v>
      </c>
      <c r="D132" s="196" t="n">
        <f aca="false">Amortize!D34</f>
        <v>3.41837305432272</v>
      </c>
      <c r="E132" s="196" t="n">
        <f aca="false">Amortize!E34</f>
        <v>5.87037338614669</v>
      </c>
      <c r="F132" s="196" t="n">
        <f aca="false">Amortize!F34</f>
        <v>0.533314225412997</v>
      </c>
      <c r="G132" s="196" t="n">
        <f aca="false">Amortize!G34</f>
        <v>0.711978992821689</v>
      </c>
      <c r="H132" s="196" t="n">
        <f aca="false">Amortize!H34</f>
        <v>1.15457290362114</v>
      </c>
      <c r="I132" s="196" t="n">
        <f aca="false">Amortize!I34</f>
        <v>0.515637670522155</v>
      </c>
      <c r="J132" s="196" t="n">
        <f aca="false">Amortize!J34</f>
        <v>0.66588223082747</v>
      </c>
      <c r="K132" s="196" t="n">
        <f aca="false">Amortize!K34</f>
        <v>1.13347127429064</v>
      </c>
      <c r="L132" s="196" t="n">
        <f aca="false">Amortize!L34</f>
        <v>0.3286813243973</v>
      </c>
      <c r="M132" s="196" t="n">
        <f aca="false">Amortize!M34</f>
        <v>0.422348597012267</v>
      </c>
      <c r="N132" s="196" t="n">
        <f aca="false">Amortize!N34</f>
        <v>0.682119501925305</v>
      </c>
      <c r="O132" s="196" t="n">
        <f aca="false">Amortize!O34</f>
        <v>0.247364894289715</v>
      </c>
      <c r="P132" s="196" t="n">
        <f aca="false">Amortize!P34</f>
        <v>0.375793719119929</v>
      </c>
      <c r="Q132" s="196" t="n">
        <f aca="false">Amortize!Q34</f>
        <v>0.685761820777516</v>
      </c>
      <c r="R132" s="187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814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3605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3645</v>
      </c>
      <c r="B133" s="30" t="s">
        <v>1045</v>
      </c>
      <c r="C133" s="196" t="n">
        <f aca="false">Theory_Rev!C54</f>
        <v>4.44041141753621</v>
      </c>
      <c r="D133" s="196" t="n">
        <f aca="false">Theory_Rev!D54</f>
        <v>6.34436399268955</v>
      </c>
      <c r="E133" s="196" t="n">
        <f aca="false">Theory_Rev!E54</f>
        <v>10.8954463339561</v>
      </c>
      <c r="F133" s="196" t="n">
        <f aca="false">Theory_Rev!F54</f>
        <v>0.599060192145636</v>
      </c>
      <c r="G133" s="196" t="n">
        <f aca="false">Theory_Rev!G54</f>
        <v>0.79979654126841</v>
      </c>
      <c r="H133" s="196" t="n">
        <f aca="false">Theory_Rev!H54</f>
        <v>1.2970668597897</v>
      </c>
      <c r="I133" s="196" t="n">
        <f aca="false">Theory_Rev!I54</f>
        <v>0.598522481651746</v>
      </c>
      <c r="J133" s="196" t="n">
        <f aca="false">Theory_Rev!J54</f>
        <v>0.772961335570172</v>
      </c>
      <c r="K133" s="196" t="n">
        <f aca="false">Theory_Rev!K54</f>
        <v>1.31584752513189</v>
      </c>
      <c r="L133" s="196" t="n">
        <f aca="false">Theory_Rev!L54</f>
        <v>0.328979014060463</v>
      </c>
      <c r="M133" s="196" t="n">
        <f aca="false">Theory_Rev!M54</f>
        <v>0.422759162078806</v>
      </c>
      <c r="N133" s="196" t="n">
        <f aca="false">Theory_Rev!N54</f>
        <v>0.682843108514873</v>
      </c>
      <c r="O133" s="196" t="n">
        <f aca="false">Theory_Rev!O54</f>
        <v>0.224274240897612</v>
      </c>
      <c r="P133" s="196" t="n">
        <f aca="false">Theory_Rev!P54</f>
        <v>0.340750041982449</v>
      </c>
      <c r="Q133" s="196" t="n">
        <f aca="false">Theory_Rev!Q54</f>
        <v>0.621869043102671</v>
      </c>
      <c r="R13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3548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3607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3646</v>
      </c>
      <c r="B134" s="30" t="s">
        <v>1045</v>
      </c>
      <c r="C134" s="205" t="n">
        <f aca="false">Amortize!C47</f>
        <v>6.71333459608619</v>
      </c>
      <c r="D134" s="205" t="n">
        <f aca="false">Amortize!D47</f>
        <v>9.59173457910629</v>
      </c>
      <c r="E134" s="205" t="n">
        <f aca="false">Amortize!E47</f>
        <v>16.4720715710975</v>
      </c>
      <c r="F134" s="205" t="n">
        <f aca="false">Amortize!F47</f>
        <v>1.52013235990977</v>
      </c>
      <c r="G134" s="205" t="n">
        <f aca="false">Amortize!G47</f>
        <v>2.02947544058869</v>
      </c>
      <c r="H134" s="205" t="n">
        <f aca="false">Amortize!H47</f>
        <v>3.29123593923616</v>
      </c>
      <c r="I134" s="205" t="n">
        <f aca="false">Amortize!I47</f>
        <v>1.4045212266443</v>
      </c>
      <c r="J134" s="205" t="n">
        <f aca="false">Amortize!J47</f>
        <v>1.81382399146405</v>
      </c>
      <c r="K134" s="205" t="n">
        <f aca="false">Amortize!K47</f>
        <v>3.08765039755805</v>
      </c>
      <c r="L134" s="205" t="n">
        <f aca="false">Amortize!L47</f>
        <v>0.959356186038775</v>
      </c>
      <c r="M134" s="205" t="n">
        <f aca="false">Amortize!M47</f>
        <v>1.23283860001109</v>
      </c>
      <c r="N134" s="205" t="n">
        <f aca="false">Amortize!N47</f>
        <v>1.99129747440816</v>
      </c>
      <c r="O134" s="205" t="n">
        <f aca="false">Amortize!O47</f>
        <v>0.737286975101976</v>
      </c>
      <c r="P134" s="205" t="n">
        <f aca="false">Amortize!P47</f>
        <v>1.12024727602933</v>
      </c>
      <c r="Q134" s="205" t="n">
        <f aca="false">Amortize!Q47</f>
        <v>2.04453726813664</v>
      </c>
      <c r="R13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814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3607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3647</v>
      </c>
      <c r="B135" s="30" t="s">
        <v>1045</v>
      </c>
      <c r="C135" s="204" t="n">
        <f aca="false">Amortize!C48</f>
        <v>4.81837579884481</v>
      </c>
      <c r="D135" s="204" t="n">
        <f aca="false">Amortize!D48</f>
        <v>6.8842958895349</v>
      </c>
      <c r="E135" s="204" t="n">
        <f aca="false">Amortize!E48</f>
        <v>11.8225346702199</v>
      </c>
      <c r="F135" s="204" t="n">
        <f aca="false">Amortize!F48</f>
        <v>1.07558717803451</v>
      </c>
      <c r="G135" s="204" t="n">
        <f aca="false">Amortize!G48</f>
        <v>1.43597874737875</v>
      </c>
      <c r="H135" s="204" t="n">
        <f aca="false">Amortize!H48</f>
        <v>2.32875193600833</v>
      </c>
      <c r="I135" s="204" t="n">
        <f aca="false">Amortize!I48</f>
        <v>0.997284870203028</v>
      </c>
      <c r="J135" s="204" t="n">
        <f aca="false">Amortize!J48</f>
        <v>1.28791163108314</v>
      </c>
      <c r="K135" s="204" t="n">
        <f aca="false">Amortize!K48</f>
        <v>2.19239621840249</v>
      </c>
      <c r="L135" s="204" t="n">
        <f aca="false">Amortize!L48</f>
        <v>0.685107279468222</v>
      </c>
      <c r="M135" s="204" t="n">
        <f aca="false">Amortize!M48</f>
        <v>0.880409916117299</v>
      </c>
      <c r="N135" s="204" t="n">
        <f aca="false">Amortize!N48</f>
        <v>1.4220499280218</v>
      </c>
      <c r="O135" s="204" t="n">
        <f aca="false">Amortize!O48</f>
        <v>0.524853491548195</v>
      </c>
      <c r="P135" s="204" t="n">
        <f aca="false">Amortize!P48</f>
        <v>0.797471966923091</v>
      </c>
      <c r="Q135" s="204" t="n">
        <f aca="false">Amortize!Q48</f>
        <v>1.4554475530149</v>
      </c>
      <c r="R1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814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3610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3648</v>
      </c>
      <c r="B136" s="30" t="s">
        <v>1045</v>
      </c>
      <c r="C136" s="206" t="n">
        <f aca="false">Theory_Rev!C56</f>
        <v>8.37597131767689</v>
      </c>
      <c r="D136" s="206" t="n">
        <f aca="false">Theory_Rev!D56</f>
        <v>11.9672141592289</v>
      </c>
      <c r="E136" s="206" t="n">
        <f aca="false">Theory_Rev!E56</f>
        <v>20.5514835851995</v>
      </c>
      <c r="F136" s="206" t="n">
        <f aca="false">Theory_Rev!F56</f>
        <v>1.890740550451</v>
      </c>
      <c r="G136" s="206" t="n">
        <f aca="false">Theory_Rev!G56</f>
        <v>2.52424050339698</v>
      </c>
      <c r="H136" s="206" t="n">
        <f aca="false">Theory_Rev!H56</f>
        <v>4.09356626209152</v>
      </c>
      <c r="I136" s="206" t="n">
        <f aca="false">Theory_Rev!I56</f>
        <v>1.76284570954953</v>
      </c>
      <c r="J136" s="206" t="n">
        <f aca="false">Theory_Rev!J56</f>
        <v>2.27655571119161</v>
      </c>
      <c r="K136" s="206" t="n">
        <f aca="false">Theory_Rev!K56</f>
        <v>3.87531687630239</v>
      </c>
      <c r="L136" s="206" t="n">
        <f aca="false">Theory_Rev!L56</f>
        <v>1.18776185214537</v>
      </c>
      <c r="M136" s="206" t="n">
        <f aca="false">Theory_Rev!M56</f>
        <v>1.52633508268063</v>
      </c>
      <c r="N136" s="206" t="n">
        <f aca="false">Theory_Rev!N56</f>
        <v>2.46531272150879</v>
      </c>
      <c r="O136" s="206" t="n">
        <f aca="false">Theory_Rev!O56</f>
        <v>0.909184613506693</v>
      </c>
      <c r="P136" s="206" t="n">
        <f aca="false">Theory_Rev!P56</f>
        <v>1.38139206389233</v>
      </c>
      <c r="Q136" s="206" t="n">
        <f aca="false">Theory_Rev!Q56</f>
        <v>2.52108361816848</v>
      </c>
      <c r="R136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3548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3607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3649</v>
      </c>
      <c r="B137" s="30" t="s">
        <v>2262</v>
      </c>
      <c r="C137" s="207" t="n">
        <f aca="false">Theory_Rev!C47</f>
        <v>32.8285826038219</v>
      </c>
      <c r="D137" s="207" t="n">
        <f aca="false">Theory_Rev!D47</f>
        <v>32.8285826038219</v>
      </c>
      <c r="E137" s="207" t="n">
        <f aca="false">Theory_Rev!E47</f>
        <v>32.8285826038219</v>
      </c>
      <c r="F137" s="207" t="n">
        <f aca="false">Theory_Rev!F47</f>
        <v>143.52030717908</v>
      </c>
      <c r="G137" s="207" t="n">
        <f aca="false">Theory_Rev!G47</f>
        <v>143.52030717908</v>
      </c>
      <c r="H137" s="207" t="n">
        <f aca="false">Theory_Rev!H47</f>
        <v>143.52030717908</v>
      </c>
      <c r="I137" s="207" t="n">
        <f aca="false">Theory_Rev!I47</f>
        <v>189.275075427389</v>
      </c>
      <c r="J137" s="207" t="n">
        <f aca="false">Theory_Rev!J47</f>
        <v>189.275075427389</v>
      </c>
      <c r="K137" s="207" t="n">
        <f aca="false">Theory_Rev!K47</f>
        <v>189.275075427389</v>
      </c>
      <c r="L137" s="207" t="n">
        <f aca="false">Theory_Rev!L47</f>
        <v>335.686266761199</v>
      </c>
      <c r="M137" s="207" t="n">
        <f aca="false">Theory_Rev!M47</f>
        <v>335.686266761199</v>
      </c>
      <c r="N137" s="207" t="n">
        <f aca="false">Theory_Rev!N47</f>
        <v>335.686266761199</v>
      </c>
      <c r="O137" s="207" t="n">
        <f aca="false">Theory_Rev!O47</f>
        <v>475.005316946174</v>
      </c>
      <c r="P137" s="207" t="n">
        <f aca="false">Theory_Rev!P47</f>
        <v>475.005316946174</v>
      </c>
      <c r="Q137" s="207" t="n">
        <f aca="false">Theory_Rev!Q47</f>
        <v>475.005316946174</v>
      </c>
      <c r="R13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3548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3613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3650</v>
      </c>
      <c r="B138" s="30" t="s">
        <v>2262</v>
      </c>
      <c r="C138" s="198" t="n">
        <f aca="false">Theory_Rev!C48</f>
        <v>31.6301940795674</v>
      </c>
      <c r="D138" s="198" t="n">
        <f aca="false">Theory_Rev!D48</f>
        <v>31.6301940795674</v>
      </c>
      <c r="E138" s="198" t="n">
        <f aca="false">Theory_Rev!E48</f>
        <v>31.6301940795674</v>
      </c>
      <c r="F138" s="198" t="n">
        <f aca="false">Theory_Rev!F48</f>
        <v>138.281180921437</v>
      </c>
      <c r="G138" s="198" t="n">
        <f aca="false">Theory_Rev!G48</f>
        <v>138.281180921437</v>
      </c>
      <c r="H138" s="198" t="n">
        <f aca="false">Theory_Rev!H48</f>
        <v>138.281180921437</v>
      </c>
      <c r="I138" s="198" t="n">
        <f aca="false">Theory_Rev!I48</f>
        <v>182.365697673955</v>
      </c>
      <c r="J138" s="198" t="n">
        <f aca="false">Theory_Rev!J48</f>
        <v>182.365697673955</v>
      </c>
      <c r="K138" s="198" t="n">
        <f aca="false">Theory_Rev!K48</f>
        <v>182.365697673955</v>
      </c>
      <c r="L138" s="198" t="n">
        <f aca="false">Theory_Rev!L48</f>
        <v>323.432232686951</v>
      </c>
      <c r="M138" s="198" t="n">
        <f aca="false">Theory_Rev!M48</f>
        <v>323.432232686951</v>
      </c>
      <c r="N138" s="198" t="n">
        <f aca="false">Theory_Rev!N48</f>
        <v>323.432232686951</v>
      </c>
      <c r="O138" s="198" t="n">
        <f aca="false">Theory_Rev!O48</f>
        <v>457.665521084201</v>
      </c>
      <c r="P138" s="198" t="n">
        <f aca="false">Theory_Rev!P48</f>
        <v>457.665521084201</v>
      </c>
      <c r="Q138" s="198" t="n">
        <f aca="false">Theory_Rev!Q48</f>
        <v>457.665521084201</v>
      </c>
      <c r="R1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3548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3615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3651</v>
      </c>
    </row>
    <row r="140" customFormat="false" ht="15" hidden="false" customHeight="true" outlineLevel="0" collapsed="false">
      <c r="A140" s="44" t="s">
        <v>3652</v>
      </c>
      <c r="B140" s="30" t="s">
        <v>2262</v>
      </c>
      <c r="C140" s="209" t="n">
        <f aca="false">Theory_Rev!C64</f>
        <v>0.109558036619274</v>
      </c>
      <c r="D140" s="209" t="n">
        <f aca="false">Theory_Rev!D64</f>
        <v>0.109558036619274</v>
      </c>
      <c r="E140" s="209" t="n">
        <f aca="false">Theory_Rev!E64</f>
        <v>0.109558036619274</v>
      </c>
      <c r="F140" s="209" t="n">
        <f aca="false">Theory_Rev!F64</f>
        <v>0.478153408787978</v>
      </c>
      <c r="G140" s="209" t="n">
        <f aca="false">Theory_Rev!G64</f>
        <v>0.478153408787978</v>
      </c>
      <c r="H140" s="209" t="n">
        <f aca="false">Theory_Rev!H64</f>
        <v>0.478153408787978</v>
      </c>
      <c r="I140" s="209" t="n">
        <f aca="false">Theory_Rev!I64</f>
        <v>0.657565003455634</v>
      </c>
      <c r="J140" s="209" t="n">
        <f aca="false">Theory_Rev!J64</f>
        <v>0.657565003455634</v>
      </c>
      <c r="K140" s="209" t="n">
        <f aca="false">Theory_Rev!K64</f>
        <v>0.657565003455634</v>
      </c>
      <c r="L140" s="209" t="n">
        <f aca="false">Theory_Rev!L64</f>
        <v>1.08135801601782</v>
      </c>
      <c r="M140" s="209" t="n">
        <f aca="false">Theory_Rev!M64</f>
        <v>1.08135801601782</v>
      </c>
      <c r="N140" s="209" t="n">
        <f aca="false">Theory_Rev!N64</f>
        <v>1.08135801601782</v>
      </c>
      <c r="O140" s="209" t="n">
        <f aca="false">Theory_Rev!O64</f>
        <v>1.50172339469163</v>
      </c>
      <c r="P140" s="209" t="n">
        <f aca="false">Theory_Rev!P64</f>
        <v>1.50172339469163</v>
      </c>
      <c r="Q140" s="209" t="n">
        <f aca="false">Theory_Rev!Q64</f>
        <v>1.50172339469163</v>
      </c>
      <c r="R140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3548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3653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3654</v>
      </c>
      <c r="B141" s="30" t="s">
        <v>2262</v>
      </c>
      <c r="C141" s="209" t="n">
        <f aca="false">Theory_Rev!C65</f>
        <v>2.46505582393367</v>
      </c>
      <c r="D141" s="209" t="n">
        <f aca="false">Theory_Rev!D65</f>
        <v>2.46505582393367</v>
      </c>
      <c r="E141" s="209" t="n">
        <f aca="false">Theory_Rev!E65</f>
        <v>2.46505582393367</v>
      </c>
      <c r="F141" s="209" t="n">
        <f aca="false">Theory_Rev!F65</f>
        <v>10.7584516977295</v>
      </c>
      <c r="G141" s="209" t="n">
        <f aca="false">Theory_Rev!G65</f>
        <v>10.7584516977295</v>
      </c>
      <c r="H141" s="209" t="n">
        <f aca="false">Theory_Rev!H65</f>
        <v>10.7584516977295</v>
      </c>
      <c r="I141" s="209" t="n">
        <f aca="false">Theory_Rev!I65</f>
        <v>14.7952125777518</v>
      </c>
      <c r="J141" s="209" t="n">
        <f aca="false">Theory_Rev!J65</f>
        <v>14.7952125777518</v>
      </c>
      <c r="K141" s="209" t="n">
        <f aca="false">Theory_Rev!K65</f>
        <v>14.7952125777518</v>
      </c>
      <c r="L141" s="209" t="n">
        <f aca="false">Theory_Rev!L65</f>
        <v>24.330555360401</v>
      </c>
      <c r="M141" s="209" t="n">
        <f aca="false">Theory_Rev!M65</f>
        <v>24.330555360401</v>
      </c>
      <c r="N141" s="209" t="n">
        <f aca="false">Theory_Rev!N65</f>
        <v>24.330555360401</v>
      </c>
      <c r="O141" s="209" t="n">
        <f aca="false">Theory_Rev!O65</f>
        <v>33.7887763805617</v>
      </c>
      <c r="P141" s="209" t="n">
        <f aca="false">Theory_Rev!P65</f>
        <v>33.7887763805617</v>
      </c>
      <c r="Q141" s="209" t="n">
        <f aca="false">Theory_Rev!Q65</f>
        <v>33.7887763805617</v>
      </c>
      <c r="R141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3548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3653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3655</v>
      </c>
      <c r="B142" s="30" t="s">
        <v>2262</v>
      </c>
      <c r="C142" s="209" t="n">
        <f aca="false">Theory_Rev!C66</f>
        <v>4.10842637322278</v>
      </c>
      <c r="D142" s="209" t="n">
        <f aca="false">Theory_Rev!D66</f>
        <v>4.10842637322278</v>
      </c>
      <c r="E142" s="209" t="n">
        <f aca="false">Theory_Rev!E66</f>
        <v>4.10842637322278</v>
      </c>
      <c r="F142" s="209" t="n">
        <f aca="false">Theory_Rev!F66</f>
        <v>17.9307528295491</v>
      </c>
      <c r="G142" s="209" t="n">
        <f aca="false">Theory_Rev!G66</f>
        <v>17.9307528295491</v>
      </c>
      <c r="H142" s="209" t="n">
        <f aca="false">Theory_Rev!H66</f>
        <v>17.9307528295491</v>
      </c>
      <c r="I142" s="209" t="n">
        <f aca="false">Theory_Rev!I66</f>
        <v>24.6586876295863</v>
      </c>
      <c r="J142" s="209" t="n">
        <f aca="false">Theory_Rev!J66</f>
        <v>24.6586876295863</v>
      </c>
      <c r="K142" s="209" t="n">
        <f aca="false">Theory_Rev!K66</f>
        <v>24.6586876295863</v>
      </c>
      <c r="L142" s="209" t="n">
        <f aca="false">Theory_Rev!L66</f>
        <v>40.5509256006683</v>
      </c>
      <c r="M142" s="209" t="n">
        <f aca="false">Theory_Rev!M66</f>
        <v>40.5509256006683</v>
      </c>
      <c r="N142" s="209" t="n">
        <f aca="false">Theory_Rev!N66</f>
        <v>40.5509256006683</v>
      </c>
      <c r="O142" s="209" t="n">
        <f aca="false">Theory_Rev!O66</f>
        <v>56.3146273009361</v>
      </c>
      <c r="P142" s="209" t="n">
        <f aca="false">Theory_Rev!P66</f>
        <v>56.3146273009361</v>
      </c>
      <c r="Q142" s="209" t="n">
        <f aca="false">Theory_Rev!Q66</f>
        <v>56.3146273009361</v>
      </c>
      <c r="R142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3548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3653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3656</v>
      </c>
      <c r="B143" s="30" t="s">
        <v>2262</v>
      </c>
      <c r="C143" s="207" t="n">
        <f aca="false">Theory_Rev!C67</f>
        <v>6.68304023377571</v>
      </c>
      <c r="D143" s="207" t="n">
        <f aca="false">Theory_Rev!D67</f>
        <v>6.68304023377571</v>
      </c>
      <c r="E143" s="207" t="n">
        <f aca="false">Theory_Rev!E67</f>
        <v>6.68304023377571</v>
      </c>
      <c r="F143" s="207" t="n">
        <f aca="false">Theory_Rev!F67</f>
        <v>29.1673579360666</v>
      </c>
      <c r="G143" s="207" t="n">
        <f aca="false">Theory_Rev!G67</f>
        <v>29.1673579360666</v>
      </c>
      <c r="H143" s="207" t="n">
        <f aca="false">Theory_Rev!H67</f>
        <v>29.1673579360666</v>
      </c>
      <c r="I143" s="207" t="n">
        <f aca="false">Theory_Rev!I67</f>
        <v>40.1114652107936</v>
      </c>
      <c r="J143" s="207" t="n">
        <f aca="false">Theory_Rev!J67</f>
        <v>40.1114652107936</v>
      </c>
      <c r="K143" s="207" t="n">
        <f aca="false">Theory_Rev!K67</f>
        <v>40.1114652107936</v>
      </c>
      <c r="L143" s="207" t="n">
        <f aca="false">Theory_Rev!L67</f>
        <v>65.9628389770872</v>
      </c>
      <c r="M143" s="207" t="n">
        <f aca="false">Theory_Rev!M67</f>
        <v>65.9628389770872</v>
      </c>
      <c r="N143" s="207" t="n">
        <f aca="false">Theory_Rev!N67</f>
        <v>65.9628389770872</v>
      </c>
      <c r="O143" s="207" t="n">
        <f aca="false">Theory_Rev!O67</f>
        <v>91.6051270761894</v>
      </c>
      <c r="P143" s="207" t="n">
        <f aca="false">Theory_Rev!P67</f>
        <v>91.6051270761894</v>
      </c>
      <c r="Q143" s="207" t="n">
        <f aca="false">Theory_Rev!Q67</f>
        <v>91.6051270761894</v>
      </c>
      <c r="R1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3548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3653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3657</v>
      </c>
      <c r="B144" s="30" t="s">
        <v>2262</v>
      </c>
      <c r="C144" s="209" t="n">
        <f aca="false">Theory_Rev!C68</f>
        <v>0.109558036619274</v>
      </c>
      <c r="D144" s="209" t="n">
        <f aca="false">Theory_Rev!D68</f>
        <v>0.109558036619274</v>
      </c>
      <c r="E144" s="209" t="n">
        <f aca="false">Theory_Rev!E68</f>
        <v>0.109558036619274</v>
      </c>
      <c r="F144" s="209" t="n">
        <f aca="false">Theory_Rev!F68</f>
        <v>0.478153408787977</v>
      </c>
      <c r="G144" s="209" t="n">
        <f aca="false">Theory_Rev!G68</f>
        <v>0.478153408787977</v>
      </c>
      <c r="H144" s="209" t="n">
        <f aca="false">Theory_Rev!H68</f>
        <v>0.478153408787977</v>
      </c>
      <c r="I144" s="209" t="n">
        <f aca="false">Theory_Rev!I68</f>
        <v>0.657565003455634</v>
      </c>
      <c r="J144" s="209" t="n">
        <f aca="false">Theory_Rev!J68</f>
        <v>0.657565003455634</v>
      </c>
      <c r="K144" s="209" t="n">
        <f aca="false">Theory_Rev!K68</f>
        <v>0.657565003455634</v>
      </c>
      <c r="L144" s="209" t="n">
        <f aca="false">Theory_Rev!L68</f>
        <v>1.08135801601782</v>
      </c>
      <c r="M144" s="209" t="n">
        <f aca="false">Theory_Rev!M68</f>
        <v>1.08135801601782</v>
      </c>
      <c r="N144" s="209" t="n">
        <f aca="false">Theory_Rev!N68</f>
        <v>1.08135801601782</v>
      </c>
      <c r="O144" s="209" t="n">
        <f aca="false">Theory_Rev!O68</f>
        <v>1.50172339469163</v>
      </c>
      <c r="P144" s="209" t="n">
        <f aca="false">Theory_Rev!P68</f>
        <v>1.50172339469163</v>
      </c>
      <c r="Q144" s="209" t="n">
        <f aca="false">Theory_Rev!Q68</f>
        <v>1.50172339469163</v>
      </c>
      <c r="R1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3548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3658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3659</v>
      </c>
      <c r="B145" s="30" t="s">
        <v>2262</v>
      </c>
      <c r="C145" s="209" t="n">
        <f aca="false">Theory_Rev!C69</f>
        <v>2.46505582393367</v>
      </c>
      <c r="D145" s="209" t="n">
        <f aca="false">Theory_Rev!D69</f>
        <v>2.46505582393367</v>
      </c>
      <c r="E145" s="209" t="n">
        <f aca="false">Theory_Rev!E69</f>
        <v>2.46505582393367</v>
      </c>
      <c r="F145" s="209" t="n">
        <f aca="false">Theory_Rev!F69</f>
        <v>10.7584516977295</v>
      </c>
      <c r="G145" s="209" t="n">
        <f aca="false">Theory_Rev!G69</f>
        <v>10.7584516977295</v>
      </c>
      <c r="H145" s="209" t="n">
        <f aca="false">Theory_Rev!H69</f>
        <v>10.7584516977295</v>
      </c>
      <c r="I145" s="209" t="n">
        <f aca="false">Theory_Rev!I69</f>
        <v>14.7952125777518</v>
      </c>
      <c r="J145" s="209" t="n">
        <f aca="false">Theory_Rev!J69</f>
        <v>14.7952125777518</v>
      </c>
      <c r="K145" s="209" t="n">
        <f aca="false">Theory_Rev!K69</f>
        <v>14.7952125777518</v>
      </c>
      <c r="L145" s="209" t="n">
        <f aca="false">Theory_Rev!L69</f>
        <v>24.330555360401</v>
      </c>
      <c r="M145" s="209" t="n">
        <f aca="false">Theory_Rev!M69</f>
        <v>24.330555360401</v>
      </c>
      <c r="N145" s="209" t="n">
        <f aca="false">Theory_Rev!N69</f>
        <v>24.330555360401</v>
      </c>
      <c r="O145" s="209" t="n">
        <f aca="false">Theory_Rev!O69</f>
        <v>33.7887763805617</v>
      </c>
      <c r="P145" s="209" t="n">
        <f aca="false">Theory_Rev!P69</f>
        <v>33.7887763805617</v>
      </c>
      <c r="Q145" s="209" t="n">
        <f aca="false">Theory_Rev!Q69</f>
        <v>33.7887763805617</v>
      </c>
      <c r="R145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3548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3658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3660</v>
      </c>
      <c r="B146" s="30" t="s">
        <v>2262</v>
      </c>
      <c r="C146" s="209" t="n">
        <f aca="false">Theory_Rev!C70</f>
        <v>3.95845063172239</v>
      </c>
      <c r="D146" s="209" t="n">
        <f aca="false">Theory_Rev!D70</f>
        <v>3.95845063172239</v>
      </c>
      <c r="E146" s="209" t="n">
        <f aca="false">Theory_Rev!E70</f>
        <v>3.95845063172239</v>
      </c>
      <c r="F146" s="209" t="n">
        <f aca="false">Theory_Rev!F70</f>
        <v>17.2762010116563</v>
      </c>
      <c r="G146" s="209" t="n">
        <f aca="false">Theory_Rev!G70</f>
        <v>17.2762010116563</v>
      </c>
      <c r="H146" s="209" t="n">
        <f aca="false">Theory_Rev!H70</f>
        <v>17.2762010116563</v>
      </c>
      <c r="I146" s="209" t="n">
        <f aca="false">Theory_Rev!I70</f>
        <v>23.7585364218691</v>
      </c>
      <c r="J146" s="209" t="n">
        <f aca="false">Theory_Rev!J70</f>
        <v>23.7585364218691</v>
      </c>
      <c r="K146" s="209" t="n">
        <f aca="false">Theory_Rev!K70</f>
        <v>23.7585364218691</v>
      </c>
      <c r="L146" s="209" t="n">
        <f aca="false">Theory_Rev!L70</f>
        <v>39.0706373873696</v>
      </c>
      <c r="M146" s="209" t="n">
        <f aca="false">Theory_Rev!M70</f>
        <v>39.0706373873696</v>
      </c>
      <c r="N146" s="209" t="n">
        <f aca="false">Theory_Rev!N70</f>
        <v>39.0706373873696</v>
      </c>
      <c r="O146" s="209" t="n">
        <f aca="false">Theory_Rev!O70</f>
        <v>54.2588942246851</v>
      </c>
      <c r="P146" s="209" t="n">
        <f aca="false">Theory_Rev!P70</f>
        <v>54.2588942246851</v>
      </c>
      <c r="Q146" s="209" t="n">
        <f aca="false">Theory_Rev!Q70</f>
        <v>54.2588942246851</v>
      </c>
      <c r="R146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3548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3658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3661</v>
      </c>
      <c r="B147" s="30" t="s">
        <v>2262</v>
      </c>
      <c r="C147" s="207" t="n">
        <f aca="false">Theory_Rev!C71</f>
        <v>6.53306449227533</v>
      </c>
      <c r="D147" s="207" t="n">
        <f aca="false">Theory_Rev!D71</f>
        <v>6.53306449227533</v>
      </c>
      <c r="E147" s="207" t="n">
        <f aca="false">Theory_Rev!E71</f>
        <v>6.53306449227533</v>
      </c>
      <c r="F147" s="207" t="n">
        <f aca="false">Theory_Rev!F71</f>
        <v>28.5128061181738</v>
      </c>
      <c r="G147" s="207" t="n">
        <f aca="false">Theory_Rev!G71</f>
        <v>28.5128061181738</v>
      </c>
      <c r="H147" s="207" t="n">
        <f aca="false">Theory_Rev!H71</f>
        <v>28.5128061181738</v>
      </c>
      <c r="I147" s="207" t="n">
        <f aca="false">Theory_Rev!I71</f>
        <v>39.2113140030764</v>
      </c>
      <c r="J147" s="207" t="n">
        <f aca="false">Theory_Rev!J71</f>
        <v>39.2113140030764</v>
      </c>
      <c r="K147" s="207" t="n">
        <f aca="false">Theory_Rev!K71</f>
        <v>39.2113140030764</v>
      </c>
      <c r="L147" s="207" t="n">
        <f aca="false">Theory_Rev!L71</f>
        <v>64.4825507637884</v>
      </c>
      <c r="M147" s="207" t="n">
        <f aca="false">Theory_Rev!M71</f>
        <v>64.4825507637884</v>
      </c>
      <c r="N147" s="207" t="n">
        <f aca="false">Theory_Rev!N71</f>
        <v>64.4825507637884</v>
      </c>
      <c r="O147" s="207" t="n">
        <f aca="false">Theory_Rev!O71</f>
        <v>89.5493939999384</v>
      </c>
      <c r="P147" s="207" t="n">
        <f aca="false">Theory_Rev!P71</f>
        <v>89.5493939999384</v>
      </c>
      <c r="Q147" s="207" t="n">
        <f aca="false">Theory_Rev!Q71</f>
        <v>89.5493939999384</v>
      </c>
      <c r="R147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3548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3658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3662</v>
      </c>
      <c r="B148" s="30" t="s">
        <v>131</v>
      </c>
      <c r="C148" s="210" t="n">
        <f aca="false">B4_Serve</f>
        <v>0.41</v>
      </c>
      <c r="R148" s="187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814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3663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3664</v>
      </c>
      <c r="B149" s="30" t="s">
        <v>131</v>
      </c>
      <c r="C149" s="210" t="n">
        <f aca="false">B4_Free</f>
        <v>0.46</v>
      </c>
      <c r="R149" s="187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814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3665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3666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3667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3668</v>
      </c>
      <c r="S152" s="30" t="s">
        <v>814</v>
      </c>
      <c r="T152" s="30" t="s">
        <v>814</v>
      </c>
      <c r="U152" s="30" t="s">
        <v>814</v>
      </c>
    </row>
    <row r="153" customFormat="false" ht="15" hidden="false" customHeight="true" outlineLevel="0" collapsed="false">
      <c r="A153" s="30" t="s">
        <v>3669</v>
      </c>
      <c r="B153" s="30" t="s">
        <v>136</v>
      </c>
      <c r="C153" s="211" t="n">
        <f aca="false">B5_W</f>
        <v>0</v>
      </c>
      <c r="R153" s="187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814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3670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3671</v>
      </c>
      <c r="B154" s="44"/>
      <c r="C154" s="44" t="str">
        <f aca="false">B5_ProfileName</f>
        <v>供應商原生增強（保留推理狀態＋上下文壓縮）</v>
      </c>
      <c r="R154" s="187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814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3585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3672</v>
      </c>
      <c r="B155" s="30" t="s">
        <v>1455</v>
      </c>
      <c r="C155" s="211" t="n">
        <f aca="false">INDEX(B5_TaskLen,1,1)</f>
        <v>0.02</v>
      </c>
      <c r="D155" s="211" t="n">
        <f aca="false">INDEX(B5_TaskLen,1,2)</f>
        <v>0.1</v>
      </c>
      <c r="E155" s="211" t="n">
        <f aca="false">INDEX(B5_TaskLen,1,3)</f>
        <v>0.5</v>
      </c>
      <c r="F155" s="211" t="n">
        <f aca="false">INDEX(B5_TaskLen,1,4)</f>
        <v>2</v>
      </c>
      <c r="G155" s="211" t="n">
        <f aca="false">INDEX(B5_TaskLen,1,5)</f>
        <v>8</v>
      </c>
      <c r="R155" s="187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814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3585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3673</v>
      </c>
      <c r="B156" s="30" t="s">
        <v>337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814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3674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3675</v>
      </c>
      <c r="B157" s="30" t="s">
        <v>337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814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3674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3676</v>
      </c>
      <c r="B158" s="30" t="s">
        <v>337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7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814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3677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3678</v>
      </c>
      <c r="B159" s="30" t="s">
        <v>337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7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814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3679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3680</v>
      </c>
      <c r="B160" s="30" t="s">
        <v>136</v>
      </c>
      <c r="C160" s="195" t="n">
        <f aca="false">Harness!C45</f>
        <v>1</v>
      </c>
      <c r="D160" s="195" t="n">
        <f aca="false">Harness!D45</f>
        <v>1</v>
      </c>
      <c r="E160" s="195" t="n">
        <f aca="false">Harness!E45</f>
        <v>0.588771014492754</v>
      </c>
      <c r="F160" s="195" t="n">
        <f aca="false">Harness!F45</f>
        <v>0.588771014492754</v>
      </c>
      <c r="G160" s="195" t="n">
        <f aca="false">Harness!G45</f>
        <v>0.492530120481928</v>
      </c>
      <c r="R160" s="187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814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3681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306</v>
      </c>
    </row>
    <row r="162" customFormat="false" ht="15" hidden="false" customHeight="true" outlineLevel="0" collapsed="false">
      <c r="A162" s="44" t="s">
        <v>3682</v>
      </c>
      <c r="B162" s="30" t="s">
        <v>131</v>
      </c>
      <c r="C162" s="199" t="n">
        <f aca="false">Harness!C57</f>
        <v>0.962243725044712</v>
      </c>
      <c r="D162" s="199" t="n">
        <f aca="false">Harness!D57</f>
        <v>0.884017511243649</v>
      </c>
      <c r="E162" s="199" t="n">
        <f aca="false">Harness!E57</f>
        <v>0.695076124968439</v>
      </c>
      <c r="F162" s="199" t="n">
        <f aca="false">Harness!F57</f>
        <v>0.446267899285204</v>
      </c>
      <c r="G162" s="199" t="n">
        <f aca="false">Harness!G57</f>
        <v>0.221752565013566</v>
      </c>
      <c r="R162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814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3683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3684</v>
      </c>
      <c r="B163" s="30" t="s">
        <v>131</v>
      </c>
      <c r="C163" s="199" t="n">
        <f aca="false">Harness!C58</f>
        <v>0.962243725044712</v>
      </c>
      <c r="D163" s="199" t="n">
        <f aca="false">Harness!D58</f>
        <v>0.884017511243649</v>
      </c>
      <c r="E163" s="199" t="n">
        <f aca="false">Harness!E58</f>
        <v>0.723262011773013</v>
      </c>
      <c r="F163" s="199" t="n">
        <f aca="false">Harness!F58</f>
        <v>0.575444203093429</v>
      </c>
      <c r="G163" s="199" t="n">
        <f aca="false">Harness!G58</f>
        <v>0.323962245896112</v>
      </c>
      <c r="R163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814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3685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3686</v>
      </c>
      <c r="B164" s="30" t="s">
        <v>2517</v>
      </c>
      <c r="C164" s="212" t="n">
        <f aca="false">Harness!C88</f>
        <v>8.8899077896421E-005</v>
      </c>
      <c r="D164" s="212" t="n">
        <f aca="false">Harness!D88</f>
        <v>0.000627888436452441</v>
      </c>
      <c r="E164" s="212" t="n">
        <f aca="false">Harness!E88</f>
        <v>0.000588020351383176</v>
      </c>
      <c r="F164" s="212" t="n">
        <f aca="false">Harness!F88</f>
        <v>0.00366343990142828</v>
      </c>
      <c r="G164" s="212" t="n">
        <f aca="false">Harness!G88</f>
        <v>0.027571077499982</v>
      </c>
      <c r="R16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3548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3687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3688</v>
      </c>
      <c r="B165" s="30" t="s">
        <v>2517</v>
      </c>
      <c r="C165" s="213" t="n">
        <f aca="false">Harness!C97</f>
        <v>0.000114248703667037</v>
      </c>
      <c r="D165" s="213" t="n">
        <f aca="false">Harness!D97</f>
        <v>0.000810841077890223</v>
      </c>
      <c r="E165" s="213" t="n">
        <f aca="false">Harness!E97</f>
        <v>0.000754882105708299</v>
      </c>
      <c r="F165" s="213" t="n">
        <f aca="false">Harness!F97</f>
        <v>0.00470300937785723</v>
      </c>
      <c r="G165" s="213" t="n">
        <f aca="false">Harness!G97</f>
        <v>0.0349973127558091</v>
      </c>
      <c r="R16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814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3689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3690</v>
      </c>
      <c r="B166" s="30" t="s">
        <v>2517</v>
      </c>
      <c r="C166" s="213" t="n">
        <f aca="false">Harness!C126</f>
        <v>0.000340869980715914</v>
      </c>
      <c r="D166" s="213" t="n">
        <f aca="false">Harness!D126</f>
        <v>0.00181896849275965</v>
      </c>
      <c r="E166" s="213" t="n">
        <f aca="false">Harness!E126</f>
        <v>0.00237971056778149</v>
      </c>
      <c r="F166" s="213" t="n">
        <f aca="false">Harness!F126</f>
        <v>0.0148258927218325</v>
      </c>
      <c r="G166" s="213" t="n">
        <f aca="false">Harness!G126</f>
        <v>0.171997108568582</v>
      </c>
      <c r="R166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814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3691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3692</v>
      </c>
      <c r="B167" s="30" t="s">
        <v>136</v>
      </c>
      <c r="C167" s="195" t="n">
        <f aca="false">Harness!C136</f>
        <v>1</v>
      </c>
      <c r="D167" s="195" t="n">
        <f aca="false">Harness!D136</f>
        <v>1</v>
      </c>
      <c r="E167" s="195" t="n">
        <f aca="false">Harness!E136</f>
        <v>0.591852640323466</v>
      </c>
      <c r="F167" s="195" t="n">
        <f aca="false">Harness!F136</f>
        <v>0.477605481152274</v>
      </c>
      <c r="G167" s="195" t="n">
        <f aca="false">Harness!G136</f>
        <v>0.414018377875692</v>
      </c>
      <c r="R16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814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3687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307</v>
      </c>
    </row>
    <row r="169" customFormat="false" ht="15" hidden="false" customHeight="true" outlineLevel="0" collapsed="false">
      <c r="A169" s="44" t="s">
        <v>3693</v>
      </c>
      <c r="B169" s="30" t="s">
        <v>131</v>
      </c>
      <c r="C169" s="199" t="n">
        <f aca="false">Harness!C60</f>
        <v>0.988943278022254</v>
      </c>
      <c r="D169" s="199" t="n">
        <f aca="false">Harness!D60</f>
        <v>0.963963460360214</v>
      </c>
      <c r="E169" s="199" t="n">
        <f aca="false">Harness!E60</f>
        <v>0.888888888888889</v>
      </c>
      <c r="F169" s="199" t="n">
        <f aca="false">Harness!F60</f>
        <v>0.738796125036259</v>
      </c>
      <c r="G169" s="199" t="n">
        <f aca="false">Harness!G60</f>
        <v>0.5</v>
      </c>
      <c r="R169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814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3683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3694</v>
      </c>
      <c r="B170" s="30" t="s">
        <v>131</v>
      </c>
      <c r="C170" s="199" t="n">
        <f aca="false">Harness!C61</f>
        <v>0.988943278022254</v>
      </c>
      <c r="D170" s="199" t="n">
        <f aca="false">Harness!D61</f>
        <v>0.963963460360214</v>
      </c>
      <c r="E170" s="199" t="n">
        <f aca="false">Harness!E61</f>
        <v>0.901693340131513</v>
      </c>
      <c r="F170" s="199" t="n">
        <f aca="false">Harness!F61</f>
        <v>0.826293243415818</v>
      </c>
      <c r="G170" s="199" t="n">
        <f aca="false">Harness!G61</f>
        <v>0.627115119175411</v>
      </c>
      <c r="R170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814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3685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3695</v>
      </c>
      <c r="B171" s="30" t="s">
        <v>2517</v>
      </c>
      <c r="C171" s="212" t="n">
        <f aca="false">Harness!C91</f>
        <v>0.000282271466750481</v>
      </c>
      <c r="D171" s="212" t="n">
        <f aca="false">Harness!D91</f>
        <v>0.00186329714942528</v>
      </c>
      <c r="E171" s="212" t="n">
        <f aca="false">Harness!E91</f>
        <v>0.00149769640054521</v>
      </c>
      <c r="F171" s="212" t="n">
        <f aca="false">Harness!F91</f>
        <v>0.00720786503479934</v>
      </c>
      <c r="G171" s="212" t="n">
        <f aca="false">Harness!G91</f>
        <v>0.0399390829605138</v>
      </c>
      <c r="R17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3548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3687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3696</v>
      </c>
      <c r="B172" s="30" t="s">
        <v>2517</v>
      </c>
      <c r="C172" s="213" t="n">
        <f aca="false">Harness!C100</f>
        <v>0.000378316172579921</v>
      </c>
      <c r="D172" s="213" t="n">
        <f aca="false">Harness!D100</f>
        <v>0.00252446526061555</v>
      </c>
      <c r="E172" s="213" t="n">
        <f aca="false">Harness!E100</f>
        <v>0.00200720272080044</v>
      </c>
      <c r="F172" s="213" t="n">
        <f aca="false">Harness!F100</f>
        <v>0.00965993261634659</v>
      </c>
      <c r="G172" s="213" t="n">
        <f aca="false">Harness!G100</f>
        <v>0.0527516276769073</v>
      </c>
      <c r="R17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814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3689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3697</v>
      </c>
      <c r="B173" s="30" t="s">
        <v>2517</v>
      </c>
      <c r="C173" s="213" t="n">
        <f aca="false">Harness!C129</f>
        <v>0.00663334302966199</v>
      </c>
      <c r="D173" s="213" t="n">
        <f aca="false">Harness!D129</f>
        <v>0.0333622604201019</v>
      </c>
      <c r="E173" s="213" t="n">
        <f aca="false">Harness!E129</f>
        <v>0.0372168</v>
      </c>
      <c r="F173" s="213" t="n">
        <f aca="false">Harness!F129</f>
        <v>0.179110847385002</v>
      </c>
      <c r="G173" s="213" t="n">
        <f aca="false">Harness!G129</f>
        <v>1.525632</v>
      </c>
      <c r="R173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814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3691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3698</v>
      </c>
      <c r="B174" s="30" t="s">
        <v>136</v>
      </c>
      <c r="C174" s="195" t="n">
        <f aca="false">Harness!C137</f>
        <v>1</v>
      </c>
      <c r="D174" s="195" t="n">
        <f aca="false">Harness!D137</f>
        <v>1</v>
      </c>
      <c r="E174" s="195" t="n">
        <f aca="false">Harness!E137</f>
        <v>0.606334408966066</v>
      </c>
      <c r="F174" s="195" t="n">
        <f aca="false">Harness!F137</f>
        <v>0.549938350367623</v>
      </c>
      <c r="G174" s="195" t="n">
        <f aca="false">Harness!G137</f>
        <v>0.478078141949835</v>
      </c>
      <c r="R174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814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3687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308</v>
      </c>
    </row>
    <row r="176" customFormat="false" ht="15" hidden="false" customHeight="true" outlineLevel="0" collapsed="false">
      <c r="A176" s="44" t="s">
        <v>3699</v>
      </c>
      <c r="B176" s="30" t="s">
        <v>131</v>
      </c>
      <c r="C176" s="199" t="n">
        <f aca="false">Harness!C63</f>
        <v>0.993396032445753</v>
      </c>
      <c r="D176" s="199" t="n">
        <f aca="false">Harness!D63</f>
        <v>0.978254868861662</v>
      </c>
      <c r="E176" s="199" t="n">
        <f aca="false">Harness!E63</f>
        <v>0.930816639357101</v>
      </c>
      <c r="F176" s="199" t="n">
        <f aca="false">Harness!F63</f>
        <v>0.826293243415818</v>
      </c>
      <c r="G176" s="199" t="n">
        <f aca="false">Harness!G63</f>
        <v>0.627115119175411</v>
      </c>
      <c r="R176" s="187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814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3683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3700</v>
      </c>
      <c r="B177" s="30" t="s">
        <v>131</v>
      </c>
      <c r="C177" s="199" t="n">
        <f aca="false">Harness!C64</f>
        <v>0.993396032445753</v>
      </c>
      <c r="D177" s="199" t="n">
        <f aca="false">Harness!D64</f>
        <v>0.978254868861662</v>
      </c>
      <c r="E177" s="199" t="n">
        <f aca="false">Harness!E64</f>
        <v>0.939120259663704</v>
      </c>
      <c r="F177" s="199" t="n">
        <f aca="false">Harness!F64</f>
        <v>0.888888888888889</v>
      </c>
      <c r="G177" s="199" t="n">
        <f aca="false">Harness!G64</f>
        <v>0.738796125036259</v>
      </c>
      <c r="R177" s="187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814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3685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3701</v>
      </c>
      <c r="B178" s="30" t="s">
        <v>2517</v>
      </c>
      <c r="C178" s="212" t="n">
        <f aca="false">Harness!C94</f>
        <v>0.00129917760034516</v>
      </c>
      <c r="D178" s="212" t="n">
        <f aca="false">Harness!D94</f>
        <v>0.00884075209631596</v>
      </c>
      <c r="E178" s="212" t="n">
        <f aca="false">Harness!E94</f>
        <v>0.00664194467737183</v>
      </c>
      <c r="F178" s="212" t="n">
        <f aca="false">Harness!F94</f>
        <v>0.0299285159241019</v>
      </c>
      <c r="G178" s="212" t="n">
        <f aca="false">Harness!G94</f>
        <v>0.142811041402312</v>
      </c>
      <c r="R178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3548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3687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3702</v>
      </c>
      <c r="B179" s="30" t="s">
        <v>2517</v>
      </c>
      <c r="C179" s="213" t="n">
        <f aca="false">Harness!C103</f>
        <v>0.00205965174823083</v>
      </c>
      <c r="D179" s="213" t="n">
        <f aca="false">Harness!D103</f>
        <v>0.0143361394890655</v>
      </c>
      <c r="E179" s="213" t="n">
        <f aca="false">Harness!E103</f>
        <v>0.0105201674316699</v>
      </c>
      <c r="F179" s="213" t="n">
        <f aca="false">Harness!F103</f>
        <v>0.0474037369771555</v>
      </c>
      <c r="G179" s="213" t="n">
        <f aca="false">Harness!G103</f>
        <v>0.21795007078719</v>
      </c>
      <c r="R179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814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3689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3703</v>
      </c>
      <c r="B180" s="30" t="s">
        <v>2517</v>
      </c>
      <c r="C180" s="213" t="n">
        <f aca="false">Harness!C132</f>
        <v>0.0330180501317747</v>
      </c>
      <c r="D180" s="213" t="n">
        <f aca="false">Harness!D132</f>
        <v>0.164374341614178</v>
      </c>
      <c r="E180" s="213" t="n">
        <f aca="false">Harness!E132</f>
        <v>0.177702023154898</v>
      </c>
      <c r="F180" s="213" t="n">
        <f aca="false">Harness!F132</f>
        <v>0.800722994254286</v>
      </c>
      <c r="G180" s="213" t="n">
        <f aca="false">Harness!G132</f>
        <v>6.08194553659479</v>
      </c>
      <c r="R180" s="187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814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3691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3704</v>
      </c>
      <c r="B181" s="30" t="s">
        <v>136</v>
      </c>
      <c r="C181" s="195" t="n">
        <f aca="false">Harness!C138</f>
        <v>1</v>
      </c>
      <c r="D181" s="195" t="n">
        <f aca="false">Harness!D138</f>
        <v>1</v>
      </c>
      <c r="E181" s="195" t="n">
        <f aca="false">Harness!E138</f>
        <v>0.609544423277789</v>
      </c>
      <c r="F181" s="195" t="n">
        <f aca="false">Harness!F138</f>
        <v>0.571674943858998</v>
      </c>
      <c r="G181" s="195" t="n">
        <f aca="false">Harness!G138</f>
        <v>0.519237863316496</v>
      </c>
      <c r="R18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814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3687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3705</v>
      </c>
    </row>
    <row r="183" customFormat="false" ht="15" hidden="false" customHeight="true" outlineLevel="0" collapsed="false">
      <c r="A183" s="30" t="s">
        <v>3706</v>
      </c>
      <c r="B183" s="30" t="s">
        <v>2517</v>
      </c>
      <c r="C183" s="213" t="n">
        <f aca="false">Harness!C68</f>
        <v>8.55425798680921E-005</v>
      </c>
      <c r="D183" s="213" t="n">
        <f aca="false">Harness!D68</f>
        <v>0.000555064372931353</v>
      </c>
      <c r="E183" s="213" t="n">
        <f aca="false">Harness!E68</f>
        <v>0.000408718907241998</v>
      </c>
      <c r="F183" s="213" t="n">
        <f aca="false">Harness!F68</f>
        <v>0.00163487562896799</v>
      </c>
      <c r="G183" s="213" t="n">
        <f aca="false">Harness!G68</f>
        <v>0.00611395715580883</v>
      </c>
      <c r="R18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3548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3707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3708</v>
      </c>
      <c r="B184" s="30" t="s">
        <v>1455</v>
      </c>
      <c r="C184" s="195" t="n">
        <f aca="false">Harness!C160</f>
        <v>1.5</v>
      </c>
      <c r="D184" s="195" t="n">
        <f aca="false">Harness!D160</f>
        <v>1.5</v>
      </c>
      <c r="E184" s="195" t="n">
        <f aca="false">Harness!E160</f>
        <v>1.5</v>
      </c>
      <c r="F184" s="195" t="n">
        <f aca="false">Harness!F160</f>
        <v>1.5</v>
      </c>
      <c r="G184" s="195" t="n">
        <f aca="false">Harness!G160</f>
        <v>1.5</v>
      </c>
      <c r="R184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814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3685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3709</v>
      </c>
      <c r="B185" s="30" t="s">
        <v>2517</v>
      </c>
      <c r="C185" s="213" t="n">
        <f aca="false">Harness!C71</f>
        <v>0.000279150469620371</v>
      </c>
      <c r="D185" s="213" t="n">
        <f aca="false">Harness!D71</f>
        <v>0.00179615036783932</v>
      </c>
      <c r="E185" s="213" t="n">
        <f aca="false">Harness!E71</f>
        <v>0.00133128568937352</v>
      </c>
      <c r="F185" s="213" t="n">
        <f aca="false">Harness!F71</f>
        <v>0.00532514275749409</v>
      </c>
      <c r="G185" s="213" t="n">
        <f aca="false">Harness!G71</f>
        <v>0.0199695414802569</v>
      </c>
      <c r="R185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3548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3707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3710</v>
      </c>
      <c r="B186" s="30" t="s">
        <v>1455</v>
      </c>
      <c r="C186" s="195" t="n">
        <f aca="false">Harness!C161</f>
        <v>8</v>
      </c>
      <c r="D186" s="195" t="n">
        <f aca="false">Harness!D161</f>
        <v>8</v>
      </c>
      <c r="E186" s="195" t="n">
        <f aca="false">Harness!E161</f>
        <v>8</v>
      </c>
      <c r="F186" s="195" t="n">
        <f aca="false">Harness!F161</f>
        <v>8</v>
      </c>
      <c r="G186" s="195" t="n">
        <f aca="false">Harness!G161</f>
        <v>8</v>
      </c>
      <c r="R186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814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3685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3711</v>
      </c>
      <c r="B187" s="30" t="s">
        <v>2517</v>
      </c>
      <c r="C187" s="213" t="n">
        <f aca="false">Harness!C74</f>
        <v>0.00129059787362528</v>
      </c>
      <c r="D187" s="213" t="n">
        <f aca="false">Harness!D74</f>
        <v>0.00864850878262003</v>
      </c>
      <c r="E187" s="213" t="n">
        <f aca="false">Harness!E74</f>
        <v>0.00618243262338703</v>
      </c>
      <c r="F187" s="213" t="n">
        <f aca="false">Harness!F74</f>
        <v>0.0247297304935481</v>
      </c>
      <c r="G187" s="213" t="n">
        <f aca="false">Harness!G74</f>
        <v>0.0895589632485757</v>
      </c>
      <c r="R187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3548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3707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3712</v>
      </c>
      <c r="B188" s="30" t="s">
        <v>1455</v>
      </c>
      <c r="C188" s="195" t="n">
        <f aca="false">Harness!C162</f>
        <v>16</v>
      </c>
      <c r="D188" s="195" t="n">
        <f aca="false">Harness!D162</f>
        <v>16</v>
      </c>
      <c r="E188" s="195" t="n">
        <f aca="false">Harness!E162</f>
        <v>16</v>
      </c>
      <c r="F188" s="195" t="n">
        <f aca="false">Harness!F162</f>
        <v>16</v>
      </c>
      <c r="G188" s="195" t="n">
        <f aca="false">Harness!G162</f>
        <v>16</v>
      </c>
      <c r="R188" s="187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814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3685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3713</v>
      </c>
      <c r="B189" s="30" t="s">
        <v>131</v>
      </c>
      <c r="C189" s="210" t="n">
        <f aca="false">B5_PFloor</f>
        <v>0.5</v>
      </c>
      <c r="R189" s="187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814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3585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3714</v>
      </c>
      <c r="B190" s="30" t="s">
        <v>2517</v>
      </c>
      <c r="C190" s="212" t="n">
        <f aca="false">Harness!C151</f>
        <v>8.8899077896421E-005</v>
      </c>
      <c r="D190" s="212" t="n">
        <f aca="false">Harness!D151</f>
        <v>0.000627888436452441</v>
      </c>
      <c r="E190" s="212" t="n">
        <f aca="false">Harness!E151</f>
        <v>0.000348021397530065</v>
      </c>
      <c r="F190" s="212" t="n">
        <f aca="false">Harness!F151</f>
        <v>0.00174967897679409</v>
      </c>
      <c r="G190" s="212" t="n">
        <f aca="false">Harness!G151</f>
        <v>0.0190940025729427</v>
      </c>
      <c r="R190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814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3715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3716</v>
      </c>
      <c r="B191" s="44"/>
      <c r="C191" s="187" t="str">
        <f aca="false">Harness!C152</f>
        <v>Luna｜標準</v>
      </c>
      <c r="D191" s="187" t="str">
        <f aca="false">Harness!D152</f>
        <v>Luna｜標準</v>
      </c>
      <c r="E191" s="187" t="str">
        <f aca="false">Harness!E152</f>
        <v>Luna｜選定</v>
      </c>
      <c r="F191" s="187" t="str">
        <f aca="false">Harness!F152</f>
        <v>Luna｜選定</v>
      </c>
      <c r="G191" s="187" t="str">
        <f aca="false">Harness!G152</f>
        <v>Sol｜選定</v>
      </c>
      <c r="R191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814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3715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3717</v>
      </c>
      <c r="B192" s="30" t="s">
        <v>131</v>
      </c>
      <c r="C192" s="199" t="n">
        <f aca="false">Harness!C153</f>
        <v>0.962243725044712</v>
      </c>
      <c r="D192" s="199" t="n">
        <f aca="false">Harness!D153</f>
        <v>0.884017511243649</v>
      </c>
      <c r="E192" s="199" t="n">
        <f aca="false">Harness!E153</f>
        <v>0.723262011773013</v>
      </c>
      <c r="F192" s="199" t="n">
        <f aca="false">Harness!F153</f>
        <v>0.575444203093429</v>
      </c>
      <c r="G192" s="199" t="n">
        <f aca="false">Harness!G153</f>
        <v>0.627115119175411</v>
      </c>
      <c r="R192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814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3715</v>
      </c>
      <c r="X192" s="32" t="n">
        <f aca="false">IF(ISNUMBER(FIND("上限",S192)),1,0)</f>
        <v>0</v>
      </c>
      <c r="Y192" s="32" t="n">
        <v>0</v>
      </c>
    </row>
    <row r="193" customFormat="false" ht="15" hidden="false" customHeight="false" outlineLevel="0" collapsed="false">
      <c r="A193" s="62" t="s">
        <v>3718</v>
      </c>
      <c r="B193" s="61" t="s">
        <v>2187</v>
      </c>
      <c r="C193" s="105" t="n">
        <f aca="false">IF(ISNUMBER(C190),1,0)</f>
        <v>1</v>
      </c>
      <c r="D193" s="105" t="n">
        <f aca="false">IF(ISNUMBER(D190),1,0)</f>
        <v>1</v>
      </c>
      <c r="E193" s="105" t="n">
        <f aca="false">IF(ISNUMBER(E190),1,0)</f>
        <v>1</v>
      </c>
      <c r="F193" s="105" t="n">
        <f aca="false">IF(ISNUMBER(F190),1,0)</f>
        <v>1</v>
      </c>
      <c r="G193" s="105" t="n">
        <f aca="false">IF(ISNUMBER(G190),1,0)</f>
        <v>1</v>
      </c>
      <c r="R193" s="187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3" s="44" t="str">
        <f aca="false">IF(R193="—","—",IF(R193="A","基準輸入",IF(R193="B","情境、相對比較、反轉門檻","探索")))</f>
        <v>情境、相對比較、反轉門檻</v>
      </c>
      <c r="T193" s="30" t="s">
        <v>814</v>
      </c>
      <c r="U193" s="44" t="str">
        <f aca="false">IF(V193=0,"—",LEFT(TEXT(V193,"0"),4)&amp;"-"&amp;MID(TEXT(V193,"0"),5,2)&amp;"-"&amp;RIGHT(TEXT(V193,"0"),2))</f>
        <v>2026-10-05</v>
      </c>
      <c r="V19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3" s="21" t="s">
        <v>3715</v>
      </c>
    </row>
    <row r="194" customFormat="false" ht="15" hidden="false" customHeight="true" outlineLevel="0" collapsed="false">
      <c r="A194" s="43" t="s">
        <v>3719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3720</v>
      </c>
      <c r="B195" s="30" t="s">
        <v>131</v>
      </c>
      <c r="C195" s="214" t="n">
        <f aca="false">AL_Q1</f>
        <v>0.184322317309608</v>
      </c>
      <c r="R195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3548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3721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3722</v>
      </c>
      <c r="B196" s="30" t="s">
        <v>131</v>
      </c>
      <c r="C196" s="215" t="n">
        <f aca="false">AL_Q1R2</f>
        <v>0.563029812844433</v>
      </c>
      <c r="R196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3548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3721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3723</v>
      </c>
      <c r="B197" s="30" t="s">
        <v>131</v>
      </c>
      <c r="C197" s="214" t="n">
        <f aca="false">AL_Q2</f>
        <v>0.184983490208217</v>
      </c>
      <c r="R197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3548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3721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3724</v>
      </c>
      <c r="B198" s="30" t="s">
        <v>121</v>
      </c>
      <c r="C198" s="216" t="n">
        <f aca="false">IF(AL_ServeGW="整代不可達","整代不可達",AL_ServeGWSpend)</f>
        <v>0.89809617101894</v>
      </c>
      <c r="R19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3548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3725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3726</v>
      </c>
      <c r="B199" s="30" t="s">
        <v>2812</v>
      </c>
      <c r="C199" s="216" t="n">
        <f aca="false">AL_RDGW</f>
        <v>0.202946790039775</v>
      </c>
      <c r="R199" s="187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814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3727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3728</v>
      </c>
      <c r="B200" s="30" t="s">
        <v>998</v>
      </c>
      <c r="C200" s="56" t="n">
        <f aca="false">AL_D</f>
        <v>6015200000</v>
      </c>
      <c r="R200" s="187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814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3729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3730</v>
      </c>
      <c r="B201" s="44" t="s">
        <v>374</v>
      </c>
      <c r="C201" s="211" t="n">
        <f aca="false">AL_ImpliedNk</f>
        <v>11.36020687772</v>
      </c>
      <c r="R201" s="187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3548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3731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3732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3733</v>
      </c>
      <c r="B204" s="30" t="s">
        <v>1045</v>
      </c>
      <c r="C204" s="196" t="n">
        <f aca="false">Theory_Rev_Prod!C18</f>
        <v>0.201294741428264</v>
      </c>
      <c r="D204" s="196" t="n">
        <f aca="false">Theory_Rev_Prod!D18</f>
        <v>0.287605276322433</v>
      </c>
      <c r="E204" s="196" t="n">
        <f aca="false">Theory_Rev_Prod!E18</f>
        <v>0.493916271852604</v>
      </c>
      <c r="F204" s="196" t="n">
        <f aca="false">Theory_Rev_Prod!F18</f>
        <v>0.0316179029806012</v>
      </c>
      <c r="G204" s="196" t="n">
        <f aca="false">Theory_Rev_Prod!G18</f>
        <v>0.0422129203657971</v>
      </c>
      <c r="H204" s="196" t="n">
        <f aca="false">Theory_Rev_Prod!H18</f>
        <v>0.0684592264927087</v>
      </c>
      <c r="I204" s="196" t="n">
        <f aca="false">Theory_Rev_Prod!I18</f>
        <v>0.0288026153594239</v>
      </c>
      <c r="J204" s="196" t="n">
        <f aca="false">Theory_Rev_Prod!J18</f>
        <v>0.0371970862919076</v>
      </c>
      <c r="K204" s="196" t="n">
        <f aca="false">Theory_Rev_Prod!K18</f>
        <v>0.0633222426750938</v>
      </c>
      <c r="L204" s="196" t="n">
        <f aca="false">Theory_Rev_Prod!L18</f>
        <v>0.0209826194864454</v>
      </c>
      <c r="M204" s="196" t="n">
        <f aca="false">Theory_Rev_Prod!M18</f>
        <v>0.0269649852193189</v>
      </c>
      <c r="N204" s="196" t="n">
        <f aca="false">Theory_Rev_Prod!N18</f>
        <v>0.0435561009480476</v>
      </c>
      <c r="O204" s="196" t="n">
        <f aca="false">Theory_Rev_Prod!O18</f>
        <v>0.0159209733995654</v>
      </c>
      <c r="P204" s="196" t="n">
        <f aca="false">Theory_Rev_Prod!P18</f>
        <v>0.024192065175611</v>
      </c>
      <c r="Q204" s="196" t="n">
        <f aca="false">Theory_Rev_Prod!Q18</f>
        <v>0.0441546757487897</v>
      </c>
      <c r="R204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3734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3735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3736</v>
      </c>
      <c r="B205" s="30" t="s">
        <v>1045</v>
      </c>
      <c r="C205" s="196" t="n">
        <f aca="false">Theory_Rev_Prod!C36</f>
        <v>0.592104750515731</v>
      </c>
      <c r="D205" s="196" t="n">
        <f aca="false">Theory_Rev_Prod!D36</f>
        <v>0.845992662642524</v>
      </c>
      <c r="E205" s="196" t="n">
        <f aca="false">Theory_Rev_Prod!E36</f>
        <v>1.45286954005015</v>
      </c>
      <c r="F205" s="196" t="n">
        <f aca="false">Theory_Rev_Prod!F36</f>
        <v>0.1037019329333</v>
      </c>
      <c r="G205" s="196" t="n">
        <f aca="false">Theory_Rev_Prod!G36</f>
        <v>0.138458743671178</v>
      </c>
      <c r="H205" s="196" t="n">
        <f aca="false">Theory_Rev_Prod!H36</f>
        <v>0.224559394708913</v>
      </c>
      <c r="I205" s="196" t="n">
        <f aca="false">Theory_Rev_Prod!I36</f>
        <v>0.0933186786593271</v>
      </c>
      <c r="J205" s="196" t="n">
        <f aca="false">Theory_Rev_Prod!J36</f>
        <v>0.120521993573679</v>
      </c>
      <c r="K205" s="196" t="n">
        <f aca="false">Theory_Rev_Prod!K36</f>
        <v>0.205183774166472</v>
      </c>
      <c r="L205" s="196" t="n">
        <f aca="false">Theory_Rev_Prod!L36</f>
        <v>0.0659173053800908</v>
      </c>
      <c r="M205" s="196" t="n">
        <f aca="false">Theory_Rev_Prod!M36</f>
        <v>0.0847163470205577</v>
      </c>
      <c r="N205" s="196" t="n">
        <f aca="false">Theory_Rev_Prod!N36</f>
        <v>0.136852423177233</v>
      </c>
      <c r="O205" s="196" t="n">
        <f aca="false">Theory_Rev_Prod!O36</f>
        <v>0.0499064918263528</v>
      </c>
      <c r="P205" s="196" t="n">
        <f aca="false">Theory_Rev_Prod!P36</f>
        <v>0.0758430359079122</v>
      </c>
      <c r="Q205" s="196" t="n">
        <f aca="false">Theory_Rev_Prod!Q36</f>
        <v>0.138441921657647</v>
      </c>
      <c r="R205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3734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3735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3737</v>
      </c>
      <c r="B206" s="30" t="s">
        <v>1045</v>
      </c>
      <c r="C206" s="196" t="n">
        <f aca="false">Theory_Rev_Prod!C54</f>
        <v>6.39656108567329</v>
      </c>
      <c r="D206" s="196" t="n">
        <f aca="false">Theory_Rev_Prod!D54</f>
        <v>9.13931058711618</v>
      </c>
      <c r="E206" s="196" t="n">
        <f aca="false">Theory_Rev_Prod!E54</f>
        <v>15.6953976375139</v>
      </c>
      <c r="F206" s="196" t="n">
        <f aca="false">Theory_Rev_Prod!F54</f>
        <v>0.768239561562932</v>
      </c>
      <c r="G206" s="196" t="n">
        <f aca="false">Theory_Rev_Prod!G54</f>
        <v>1.02568658738703</v>
      </c>
      <c r="H206" s="196" t="n">
        <f aca="false">Theory_Rev_Prod!H54</f>
        <v>1.66344235555438</v>
      </c>
      <c r="I206" s="196" t="n">
        <f aca="false">Theory_Rev_Prod!I54</f>
        <v>0.780177660507834</v>
      </c>
      <c r="J206" s="196" t="n">
        <f aca="false">Theory_Rev_Prod!J54</f>
        <v>1.00757951160175</v>
      </c>
      <c r="K206" s="196" t="n">
        <f aca="false">Theory_Rev_Prod!K54</f>
        <v>1.71529640876383</v>
      </c>
      <c r="L206" s="196" t="n">
        <f aca="false">Theory_Rev_Prod!L54</f>
        <v>0.420721519561101</v>
      </c>
      <c r="M206" s="196" t="n">
        <f aca="false">Theory_Rev_Prod!M54</f>
        <v>0.540671932390196</v>
      </c>
      <c r="N206" s="196" t="n">
        <f aca="false">Theory_Rev_Prod!N54</f>
        <v>0.873334840313147</v>
      </c>
      <c r="O206" s="196" t="n">
        <f aca="false">Theory_Rev_Prod!O54</f>
        <v>0.283299527686788</v>
      </c>
      <c r="P206" s="196" t="n">
        <f aca="false">Theory_Rev_Prod!P54</f>
        <v>0.43046038459131</v>
      </c>
      <c r="Q206" s="196" t="n">
        <f aca="false">Theory_Rev_Prod!Q54</f>
        <v>0.785638994325553</v>
      </c>
      <c r="R206" s="187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3734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3735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3738</v>
      </c>
      <c r="B207" s="30" t="s">
        <v>2262</v>
      </c>
      <c r="C207" s="207" t="n">
        <f aca="false">Theory_Rev_Prod!C11</f>
        <v>4.16601653965016</v>
      </c>
      <c r="D207" s="207" t="n">
        <f aca="false">Theory_Rev_Prod!D11</f>
        <v>4.16601653965016</v>
      </c>
      <c r="E207" s="207" t="n">
        <f aca="false">Theory_Rev_Prod!E11</f>
        <v>4.16601653965016</v>
      </c>
      <c r="F207" s="207" t="n">
        <f aca="false">Theory_Rev_Prod!F11</f>
        <v>19.2981660478862</v>
      </c>
      <c r="G207" s="207" t="n">
        <f aca="false">Theory_Rev_Prod!G11</f>
        <v>19.2981660478862</v>
      </c>
      <c r="H207" s="207" t="n">
        <f aca="false">Theory_Rev_Prod!H11</f>
        <v>19.2981660478862</v>
      </c>
      <c r="I207" s="207" t="n">
        <f aca="false">Theory_Rev_Prod!I11</f>
        <v>28.0957372251188</v>
      </c>
      <c r="J207" s="207" t="n">
        <f aca="false">Theory_Rev_Prod!J11</f>
        <v>28.0957372251188</v>
      </c>
      <c r="K207" s="207" t="n">
        <f aca="false">Theory_Rev_Prod!K11</f>
        <v>28.0957372251188</v>
      </c>
      <c r="L207" s="207" t="n">
        <f aca="false">Theory_Rev_Prod!L11</f>
        <v>40.6269205958863</v>
      </c>
      <c r="M207" s="207" t="n">
        <f aca="false">Theory_Rev_Prod!M11</f>
        <v>40.6269205958863</v>
      </c>
      <c r="N207" s="207" t="n">
        <f aca="false">Theory_Rev_Prod!N11</f>
        <v>40.6269205958863</v>
      </c>
      <c r="O207" s="207" t="n">
        <f aca="false">Theory_Rev_Prod!O11</f>
        <v>54.7307309163427</v>
      </c>
      <c r="P207" s="207" t="n">
        <f aca="false">Theory_Rev_Prod!P11</f>
        <v>54.7307309163427</v>
      </c>
      <c r="Q207" s="207" t="n">
        <f aca="false">Theory_Rev_Prod!Q11</f>
        <v>54.7307309163427</v>
      </c>
      <c r="R207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3734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3739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3740</v>
      </c>
      <c r="B208" s="30" t="s">
        <v>2262</v>
      </c>
      <c r="C208" s="207" t="n">
        <f aca="false">Theory_Rev_Prod!C29</f>
        <v>25.8351210172715</v>
      </c>
      <c r="D208" s="207" t="n">
        <f aca="false">Theory_Rev_Prod!D29</f>
        <v>25.8351210172715</v>
      </c>
      <c r="E208" s="207" t="n">
        <f aca="false">Theory_Rev_Prod!E29</f>
        <v>25.8351210172715</v>
      </c>
      <c r="F208" s="207" t="n">
        <f aca="false">Theory_Rev_Prod!F29</f>
        <v>115.189801090007</v>
      </c>
      <c r="G208" s="207" t="n">
        <f aca="false">Theory_Rev_Prod!G29</f>
        <v>115.189801090007</v>
      </c>
      <c r="H208" s="207" t="n">
        <f aca="false">Theory_Rev_Prod!H29</f>
        <v>115.189801090007</v>
      </c>
      <c r="I208" s="207" t="n">
        <f aca="false">Theory_Rev_Prod!I29</f>
        <v>167.702069430222</v>
      </c>
      <c r="J208" s="207" t="n">
        <f aca="false">Theory_Rev_Prod!J29</f>
        <v>167.702069430222</v>
      </c>
      <c r="K208" s="207" t="n">
        <f aca="false">Theory_Rev_Prod!K29</f>
        <v>167.702069430222</v>
      </c>
      <c r="L208" s="207" t="n">
        <f aca="false">Theory_Rev_Prod!L29</f>
        <v>252.853670235275</v>
      </c>
      <c r="M208" s="207" t="n">
        <f aca="false">Theory_Rev_Prod!M29</f>
        <v>252.853670235275</v>
      </c>
      <c r="N208" s="207" t="n">
        <f aca="false">Theory_Rev_Prod!N29</f>
        <v>252.853670235275</v>
      </c>
      <c r="O208" s="207" t="n">
        <f aca="false">Theory_Rev_Prod!O29</f>
        <v>344.651879941955</v>
      </c>
      <c r="P208" s="207" t="n">
        <f aca="false">Theory_Rev_Prod!P29</f>
        <v>344.651879941955</v>
      </c>
      <c r="Q208" s="207" t="n">
        <f aca="false">Theory_Rev_Prod!Q29</f>
        <v>344.651879941955</v>
      </c>
      <c r="R208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3734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3739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3741</v>
      </c>
      <c r="B209" s="30" t="s">
        <v>2262</v>
      </c>
      <c r="C209" s="207" t="n">
        <f aca="false">Theory_Rev_Prod!C47</f>
        <v>23.7314208542587</v>
      </c>
      <c r="D209" s="207" t="n">
        <f aca="false">Theory_Rev_Prod!D47</f>
        <v>23.7314208542587</v>
      </c>
      <c r="E209" s="207" t="n">
        <f aca="false">Theory_Rev_Prod!E47</f>
        <v>23.7314208542587</v>
      </c>
      <c r="F209" s="207" t="n">
        <f aca="false">Theory_Rev_Prod!F47</f>
        <v>112.606466107701</v>
      </c>
      <c r="G209" s="207" t="n">
        <f aca="false">Theory_Rev_Prod!G47</f>
        <v>112.606466107701</v>
      </c>
      <c r="H209" s="207" t="n">
        <f aca="false">Theory_Rev_Prod!H47</f>
        <v>112.606466107701</v>
      </c>
      <c r="I209" s="207" t="n">
        <f aca="false">Theory_Rev_Prod!I47</f>
        <v>146.896191352993</v>
      </c>
      <c r="J209" s="207" t="n">
        <f aca="false">Theory_Rev_Prod!J47</f>
        <v>146.896191352993</v>
      </c>
      <c r="K209" s="207" t="n">
        <f aca="false">Theory_Rev_Prod!K47</f>
        <v>146.896191352993</v>
      </c>
      <c r="L209" s="207" t="n">
        <f aca="false">Theory_Rev_Prod!L47</f>
        <v>266.938542515567</v>
      </c>
      <c r="M209" s="207" t="n">
        <f aca="false">Theory_Rev_Prod!M47</f>
        <v>266.938542515567</v>
      </c>
      <c r="N209" s="207" t="n">
        <f aca="false">Theory_Rev_Prod!N47</f>
        <v>266.938542515567</v>
      </c>
      <c r="O209" s="207" t="n">
        <f aca="false">Theory_Rev_Prod!O47</f>
        <v>379.622499261887</v>
      </c>
      <c r="P209" s="207" t="n">
        <f aca="false">Theory_Rev_Prod!P47</f>
        <v>379.622499261887</v>
      </c>
      <c r="Q209" s="207" t="n">
        <f aca="false">Theory_Rev_Prod!Q47</f>
        <v>379.622499261887</v>
      </c>
      <c r="R209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3734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3739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3742</v>
      </c>
      <c r="B210" s="30" t="s">
        <v>2262</v>
      </c>
      <c r="C210" s="207" t="n">
        <f aca="false">Theory_Rev_Prod!C67</f>
        <v>5.01848956376868</v>
      </c>
      <c r="D210" s="207" t="n">
        <f aca="false">Theory_Rev_Prod!D67</f>
        <v>5.01848956376868</v>
      </c>
      <c r="E210" s="207" t="n">
        <f aca="false">Theory_Rev_Prod!E67</f>
        <v>5.01848956376868</v>
      </c>
      <c r="F210" s="207" t="n">
        <f aca="false">Theory_Rev_Prod!F67</f>
        <v>23.2784953027427</v>
      </c>
      <c r="G210" s="207" t="n">
        <f aca="false">Theory_Rev_Prod!G67</f>
        <v>23.2784953027427</v>
      </c>
      <c r="H210" s="207" t="n">
        <f aca="false">Theory_Rev_Prod!H67</f>
        <v>23.2784953027427</v>
      </c>
      <c r="I210" s="207" t="n">
        <f aca="false">Theory_Rev_Prod!I67</f>
        <v>31.7743161074204</v>
      </c>
      <c r="J210" s="207" t="n">
        <f aca="false">Theory_Rev_Prod!J67</f>
        <v>31.7743161074204</v>
      </c>
      <c r="K210" s="207" t="n">
        <f aca="false">Theory_Rev_Prod!K67</f>
        <v>31.7743161074204</v>
      </c>
      <c r="L210" s="207" t="n">
        <f aca="false">Theory_Rev_Prod!L67</f>
        <v>53.1540686485926</v>
      </c>
      <c r="M210" s="207" t="n">
        <f aca="false">Theory_Rev_Prod!M67</f>
        <v>53.1540686485926</v>
      </c>
      <c r="N210" s="207" t="n">
        <f aca="false">Theory_Rev_Prod!N67</f>
        <v>53.1540686485926</v>
      </c>
      <c r="O210" s="207" t="n">
        <f aca="false">Theory_Rev_Prod!O67</f>
        <v>74.0683951910804</v>
      </c>
      <c r="P210" s="207" t="n">
        <f aca="false">Theory_Rev_Prod!P67</f>
        <v>74.0683951910804</v>
      </c>
      <c r="Q210" s="207" t="n">
        <f aca="false">Theory_Rev_Prod!Q67</f>
        <v>74.0683951910804</v>
      </c>
      <c r="R21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3734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3743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3744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3745</v>
      </c>
      <c r="B213" s="30" t="s">
        <v>2262</v>
      </c>
      <c r="C213" s="207" t="n">
        <f aca="false">Theory_Rev!C90</f>
        <v>4.16601653965016</v>
      </c>
      <c r="D213" s="207" t="n">
        <f aca="false">Theory_Rev!D90</f>
        <v>4.16601653965016</v>
      </c>
      <c r="E213" s="207" t="n">
        <f aca="false">Theory_Rev!E90</f>
        <v>4.16601653965016</v>
      </c>
      <c r="F213" s="207" t="n">
        <f aca="false">Theory_Rev!F90</f>
        <v>19.2981660478862</v>
      </c>
      <c r="G213" s="207" t="n">
        <f aca="false">Theory_Rev!G90</f>
        <v>19.2981660478862</v>
      </c>
      <c r="H213" s="207" t="n">
        <f aca="false">Theory_Rev!H90</f>
        <v>19.2981660478862</v>
      </c>
      <c r="I213" s="207" t="n">
        <f aca="false">Theory_Rev!I90</f>
        <v>28.0957372251188</v>
      </c>
      <c r="J213" s="207" t="n">
        <f aca="false">Theory_Rev!J90</f>
        <v>28.0957372251188</v>
      </c>
      <c r="K213" s="207" t="n">
        <f aca="false">Theory_Rev!K90</f>
        <v>28.0957372251188</v>
      </c>
      <c r="L213" s="207" t="n">
        <f aca="false">Theory_Rev!L90</f>
        <v>40.6269205958863</v>
      </c>
      <c r="M213" s="207" t="n">
        <f aca="false">Theory_Rev!M90</f>
        <v>40.6269205958863</v>
      </c>
      <c r="N213" s="207" t="n">
        <f aca="false">Theory_Rev!N90</f>
        <v>40.6269205958863</v>
      </c>
      <c r="O213" s="207" t="n">
        <f aca="false">Theory_Rev!O90</f>
        <v>54.7307309163427</v>
      </c>
      <c r="P213" s="207" t="n">
        <f aca="false">Theory_Rev!P90</f>
        <v>54.7307309163427</v>
      </c>
      <c r="Q213" s="207" t="n">
        <f aca="false">Theory_Rev!Q90</f>
        <v>54.7307309163427</v>
      </c>
      <c r="R213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3746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3747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3748</v>
      </c>
      <c r="B214" s="30" t="s">
        <v>2262</v>
      </c>
      <c r="C214" s="207" t="n">
        <f aca="false">Theory_Rev!C91</f>
        <v>25.8351210172715</v>
      </c>
      <c r="D214" s="207" t="n">
        <f aca="false">Theory_Rev!D91</f>
        <v>25.8351210172715</v>
      </c>
      <c r="E214" s="207" t="n">
        <f aca="false">Theory_Rev!E91</f>
        <v>25.8351210172715</v>
      </c>
      <c r="F214" s="207" t="n">
        <f aca="false">Theory_Rev!F91</f>
        <v>115.189801090007</v>
      </c>
      <c r="G214" s="207" t="n">
        <f aca="false">Theory_Rev!G91</f>
        <v>115.189801090007</v>
      </c>
      <c r="H214" s="207" t="n">
        <f aca="false">Theory_Rev!H91</f>
        <v>115.189801090007</v>
      </c>
      <c r="I214" s="207" t="n">
        <f aca="false">Theory_Rev!I91</f>
        <v>167.702069430222</v>
      </c>
      <c r="J214" s="207" t="n">
        <f aca="false">Theory_Rev!J91</f>
        <v>167.702069430222</v>
      </c>
      <c r="K214" s="207" t="n">
        <f aca="false">Theory_Rev!K91</f>
        <v>167.702069430222</v>
      </c>
      <c r="L214" s="207" t="n">
        <f aca="false">Theory_Rev!L91</f>
        <v>252.853670235275</v>
      </c>
      <c r="M214" s="207" t="n">
        <f aca="false">Theory_Rev!M91</f>
        <v>252.853670235275</v>
      </c>
      <c r="N214" s="207" t="n">
        <f aca="false">Theory_Rev!N91</f>
        <v>252.853670235275</v>
      </c>
      <c r="O214" s="207" t="n">
        <f aca="false">Theory_Rev!O91</f>
        <v>344.651879941955</v>
      </c>
      <c r="P214" s="207" t="n">
        <f aca="false">Theory_Rev!P91</f>
        <v>344.651879941955</v>
      </c>
      <c r="Q214" s="207" t="n">
        <f aca="false">Theory_Rev!Q91</f>
        <v>344.651879941955</v>
      </c>
      <c r="R214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3746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3747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3749</v>
      </c>
      <c r="B215" s="30" t="s">
        <v>2262</v>
      </c>
      <c r="C215" s="207" t="n">
        <f aca="false">Theory_Rev!C92</f>
        <v>23.7314208542587</v>
      </c>
      <c r="D215" s="207" t="n">
        <f aca="false">Theory_Rev!D92</f>
        <v>23.7314208542587</v>
      </c>
      <c r="E215" s="207" t="n">
        <f aca="false">Theory_Rev!E92</f>
        <v>23.7314208542587</v>
      </c>
      <c r="F215" s="207" t="n">
        <f aca="false">Theory_Rev!F92</f>
        <v>112.606466107701</v>
      </c>
      <c r="G215" s="207" t="n">
        <f aca="false">Theory_Rev!G92</f>
        <v>112.606466107701</v>
      </c>
      <c r="H215" s="207" t="n">
        <f aca="false">Theory_Rev!H92</f>
        <v>112.606466107701</v>
      </c>
      <c r="I215" s="207" t="n">
        <f aca="false">Theory_Rev!I92</f>
        <v>146.896191352993</v>
      </c>
      <c r="J215" s="207" t="n">
        <f aca="false">Theory_Rev!J92</f>
        <v>146.896191352993</v>
      </c>
      <c r="K215" s="207" t="n">
        <f aca="false">Theory_Rev!K92</f>
        <v>146.896191352993</v>
      </c>
      <c r="L215" s="207" t="n">
        <f aca="false">Theory_Rev!L92</f>
        <v>266.938542515567</v>
      </c>
      <c r="M215" s="207" t="n">
        <f aca="false">Theory_Rev!M92</f>
        <v>266.938542515567</v>
      </c>
      <c r="N215" s="207" t="n">
        <f aca="false">Theory_Rev!N92</f>
        <v>266.938542515567</v>
      </c>
      <c r="O215" s="207" t="n">
        <f aca="false">Theory_Rev!O92</f>
        <v>379.622499261887</v>
      </c>
      <c r="P215" s="207" t="n">
        <f aca="false">Theory_Rev!P92</f>
        <v>379.622499261887</v>
      </c>
      <c r="Q215" s="207" t="n">
        <f aca="false">Theory_Rev!Q92</f>
        <v>379.622499261887</v>
      </c>
      <c r="R21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3746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3747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3750</v>
      </c>
      <c r="B216" s="30" t="s">
        <v>2262</v>
      </c>
      <c r="C216" s="207" t="n">
        <f aca="false">Theory_Rev!C93</f>
        <v>5.01848956376868</v>
      </c>
      <c r="D216" s="207" t="n">
        <f aca="false">Theory_Rev!D93</f>
        <v>5.01848956376868</v>
      </c>
      <c r="E216" s="207" t="n">
        <f aca="false">Theory_Rev!E93</f>
        <v>5.01848956376868</v>
      </c>
      <c r="F216" s="207" t="n">
        <f aca="false">Theory_Rev!F93</f>
        <v>23.2784953027427</v>
      </c>
      <c r="G216" s="207" t="n">
        <f aca="false">Theory_Rev!G93</f>
        <v>23.2784953027427</v>
      </c>
      <c r="H216" s="207" t="n">
        <f aca="false">Theory_Rev!H93</f>
        <v>23.2784953027427</v>
      </c>
      <c r="I216" s="207" t="n">
        <f aca="false">Theory_Rev!I93</f>
        <v>31.7743161074204</v>
      </c>
      <c r="J216" s="207" t="n">
        <f aca="false">Theory_Rev!J93</f>
        <v>31.7743161074204</v>
      </c>
      <c r="K216" s="207" t="n">
        <f aca="false">Theory_Rev!K93</f>
        <v>31.7743161074204</v>
      </c>
      <c r="L216" s="207" t="n">
        <f aca="false">Theory_Rev!L93</f>
        <v>53.1540686485926</v>
      </c>
      <c r="M216" s="207" t="n">
        <f aca="false">Theory_Rev!M93</f>
        <v>53.1540686485926</v>
      </c>
      <c r="N216" s="207" t="n">
        <f aca="false">Theory_Rev!N93</f>
        <v>53.1540686485926</v>
      </c>
      <c r="O216" s="207" t="n">
        <f aca="false">Theory_Rev!O93</f>
        <v>74.0683951910804</v>
      </c>
      <c r="P216" s="207" t="n">
        <f aca="false">Theory_Rev!P93</f>
        <v>74.0683951910804</v>
      </c>
      <c r="Q216" s="207" t="n">
        <f aca="false">Theory_Rev!Q93</f>
        <v>74.0683951910804</v>
      </c>
      <c r="R21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3746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3751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3752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3753</v>
      </c>
      <c r="B219" s="44" t="s">
        <v>167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7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814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3754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3755</v>
      </c>
      <c r="B220" s="30" t="s">
        <v>2262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7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814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3756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3757</v>
      </c>
      <c r="B221" s="30" t="s">
        <v>2262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7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814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3758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3759</v>
      </c>
      <c r="B222" s="30" t="s">
        <v>131</v>
      </c>
      <c r="C222" s="199" t="n">
        <f aca="false">DC_Cost!C41</f>
        <v>0.7</v>
      </c>
      <c r="D222" s="199" t="n">
        <f aca="false">DC_Cost!D41</f>
        <v>0.8</v>
      </c>
      <c r="E222" s="199" t="n">
        <f aca="false">DC_Cost!E41</f>
        <v>0.9</v>
      </c>
      <c r="F222" s="199" t="n">
        <f aca="false">DC_Cost!F41</f>
        <v>0.7</v>
      </c>
      <c r="G222" s="199" t="n">
        <f aca="false">DC_Cost!G41</f>
        <v>0.8</v>
      </c>
      <c r="H222" s="199" t="n">
        <f aca="false">DC_Cost!H41</f>
        <v>0.9</v>
      </c>
      <c r="I222" s="199" t="n">
        <f aca="false">DC_Cost!I41</f>
        <v>0.7</v>
      </c>
      <c r="J222" s="199" t="n">
        <f aca="false">DC_Cost!J41</f>
        <v>0.8</v>
      </c>
      <c r="K222" s="199" t="n">
        <f aca="false">DC_Cost!K41</f>
        <v>0.9</v>
      </c>
      <c r="L222" s="199" t="n">
        <f aca="false">DC_Cost!L41</f>
        <v>0.7</v>
      </c>
      <c r="M222" s="199" t="n">
        <f aca="false">DC_Cost!M41</f>
        <v>0.8</v>
      </c>
      <c r="N222" s="199" t="n">
        <f aca="false">DC_Cost!N41</f>
        <v>0.9</v>
      </c>
      <c r="O222" s="199" t="n">
        <f aca="false">DC_Cost!O41</f>
        <v>0.7</v>
      </c>
      <c r="P222" s="199" t="n">
        <f aca="false">DC_Cost!P41</f>
        <v>0.8</v>
      </c>
      <c r="Q222" s="199" t="n">
        <f aca="false">DC_Cost!Q41</f>
        <v>0.9</v>
      </c>
      <c r="R222" s="187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814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3760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3761</v>
      </c>
      <c r="B223" s="30" t="s">
        <v>142</v>
      </c>
      <c r="C223" s="217" t="n">
        <f aca="false">DC_Cost!C42</f>
        <v>0.06</v>
      </c>
      <c r="D223" s="217" t="n">
        <f aca="false">DC_Cost!D42</f>
        <v>0.08</v>
      </c>
      <c r="E223" s="217" t="n">
        <f aca="false">DC_Cost!E42</f>
        <v>0.1</v>
      </c>
      <c r="F223" s="217" t="n">
        <f aca="false">DC_Cost!F42</f>
        <v>0.06</v>
      </c>
      <c r="G223" s="217" t="n">
        <f aca="false">DC_Cost!G42</f>
        <v>0.08</v>
      </c>
      <c r="H223" s="217" t="n">
        <f aca="false">DC_Cost!H42</f>
        <v>0.1</v>
      </c>
      <c r="I223" s="217" t="n">
        <f aca="false">DC_Cost!I42</f>
        <v>0.06</v>
      </c>
      <c r="J223" s="217" t="n">
        <f aca="false">DC_Cost!J42</f>
        <v>0.08</v>
      </c>
      <c r="K223" s="217" t="n">
        <f aca="false">DC_Cost!K42</f>
        <v>0.1</v>
      </c>
      <c r="L223" s="217" t="n">
        <f aca="false">DC_Cost!L42</f>
        <v>0.06</v>
      </c>
      <c r="M223" s="217" t="n">
        <f aca="false">DC_Cost!M42</f>
        <v>0.08</v>
      </c>
      <c r="N223" s="217" t="n">
        <f aca="false">DC_Cost!N42</f>
        <v>0.1</v>
      </c>
      <c r="O223" s="217" t="n">
        <f aca="false">DC_Cost!O42</f>
        <v>0.06</v>
      </c>
      <c r="P223" s="217" t="n">
        <f aca="false">DC_Cost!P42</f>
        <v>0.08</v>
      </c>
      <c r="Q223" s="217" t="n">
        <f aca="false">DC_Cost!Q42</f>
        <v>0.1</v>
      </c>
      <c r="R223" s="187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814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3760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3762</v>
      </c>
      <c r="B224" s="30" t="s">
        <v>2262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7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814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3763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3764</v>
      </c>
      <c r="B225" s="30" t="s">
        <v>2262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7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814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3765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3766</v>
      </c>
      <c r="B226" s="30" t="s">
        <v>2262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7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814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3520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3767</v>
      </c>
      <c r="B227" s="30" t="s">
        <v>2262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7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814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3768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3769</v>
      </c>
      <c r="B228" s="30" t="s">
        <v>2262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7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814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3770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3771</v>
      </c>
      <c r="B229" s="30" t="s">
        <v>2262</v>
      </c>
      <c r="C229" s="218" t="n">
        <f aca="false">C220+C221+C228-C12</f>
        <v>0</v>
      </c>
      <c r="D229" s="218" t="n">
        <f aca="false">D220+D221+D228-D12</f>
        <v>0</v>
      </c>
      <c r="E229" s="218" t="n">
        <f aca="false">E220+E221+E228-E12</f>
        <v>0</v>
      </c>
      <c r="F229" s="218" t="n">
        <f aca="false">F220+F221+F228-F12</f>
        <v>0</v>
      </c>
      <c r="G229" s="218" t="n">
        <f aca="false">G220+G221+G228-G12</f>
        <v>0</v>
      </c>
      <c r="H229" s="218" t="n">
        <f aca="false">H220+H221+H228-H12</f>
        <v>0</v>
      </c>
      <c r="I229" s="218" t="n">
        <f aca="false">I220+I221+I228-I12</f>
        <v>0</v>
      </c>
      <c r="J229" s="218" t="n">
        <f aca="false">J220+J221+J228-J12</f>
        <v>0</v>
      </c>
      <c r="K229" s="218" t="n">
        <f aca="false">K220+K221+K228-K12</f>
        <v>0</v>
      </c>
      <c r="L229" s="218" t="n">
        <f aca="false">L220+L221+L228-L12</f>
        <v>0</v>
      </c>
      <c r="M229" s="218" t="n">
        <f aca="false">M220+M221+M228-M12</f>
        <v>0</v>
      </c>
      <c r="N229" s="218" t="n">
        <f aca="false">N220+N221+N228-N12</f>
        <v>0</v>
      </c>
      <c r="O229" s="218" t="n">
        <f aca="false">O220+O221+O228-O12</f>
        <v>0</v>
      </c>
      <c r="P229" s="218" t="n">
        <f aca="false">P220+P221+P228-P12</f>
        <v>0</v>
      </c>
      <c r="Q229" s="218" t="n">
        <f aca="false">Q220+Q221+Q228-Q12</f>
        <v>0</v>
      </c>
      <c r="R229" s="187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814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3517</v>
      </c>
      <c r="X229" s="32" t="n">
        <f aca="false">IF(ISNUMBER(FIND("上限",S229)),1,0)</f>
        <v>0</v>
      </c>
      <c r="Y229" s="32" t="n">
        <v>0</v>
      </c>
      <c r="Z229" s="21" t="s">
        <v>3772</v>
      </c>
    </row>
    <row r="231" customFormat="false" ht="15" hidden="false" customHeight="true" outlineLevel="0" collapsed="false">
      <c r="A231" s="43" t="s">
        <v>3773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3774</v>
      </c>
    </row>
    <row r="233" customFormat="false" ht="15" hidden="false" customHeight="true" outlineLevel="0" collapsed="false">
      <c r="A233" s="44" t="s">
        <v>3775</v>
      </c>
      <c r="B233" s="30" t="s">
        <v>2262</v>
      </c>
      <c r="C233" s="219" t="n">
        <f aca="false">IF(ISNUMBER(C101),C101/IF_Util,C101)</f>
        <v>9.01816261524145</v>
      </c>
      <c r="D233" s="219" t="n">
        <f aca="false">IF(ISNUMBER(D101),D101/IF_Util,D101)</f>
        <v>9.01816261524145</v>
      </c>
      <c r="E233" s="219" t="n">
        <f aca="false">IF(ISNUMBER(E101),E101/IF_Util,E101)</f>
        <v>9.01816261524145</v>
      </c>
      <c r="F233" s="219" t="n">
        <f aca="false">IF(ISNUMBER(F101),F101/IF_Util,F101)</f>
        <v>39.9149458654348</v>
      </c>
      <c r="G233" s="219" t="n">
        <f aca="false">IF(ISNUMBER(G101),G101/IF_Util,G101)</f>
        <v>39.9149458654348</v>
      </c>
      <c r="H233" s="219" t="n">
        <f aca="false">IF(ISNUMBER(H101),H101/IF_Util,H101)</f>
        <v>39.9149458654348</v>
      </c>
      <c r="I233" s="219" t="n">
        <f aca="false">IF(ISNUMBER(I101),I101/IF_Util,I101)</f>
        <v>58.1112126202758</v>
      </c>
      <c r="J233" s="219" t="n">
        <f aca="false">IF(ISNUMBER(J101),J101/IF_Util,J101)</f>
        <v>58.1112126202758</v>
      </c>
      <c r="K233" s="219" t="n">
        <f aca="false">IF(ISNUMBER(K101),K101/IF_Util,K101)</f>
        <v>58.1112126202758</v>
      </c>
      <c r="L233" s="219" t="n">
        <f aca="false">IF(ISNUMBER(L101),L101/IF_Util,L101)</f>
        <v>83.8323560820467</v>
      </c>
      <c r="M233" s="219" t="n">
        <f aca="false">IF(ISNUMBER(M101),M101/IF_Util,M101)</f>
        <v>83.8323560820467</v>
      </c>
      <c r="N233" s="219" t="n">
        <f aca="false">IF(ISNUMBER(N101),N101/IF_Util,N101)</f>
        <v>83.8323560820467</v>
      </c>
      <c r="O233" s="219" t="n">
        <f aca="false">IF(ISNUMBER(O101),O101/IF_Util,O101)</f>
        <v>112.866447662578</v>
      </c>
      <c r="P233" s="219" t="n">
        <f aca="false">IF(ISNUMBER(P101),P101/IF_Util,P101)</f>
        <v>112.866447662578</v>
      </c>
      <c r="Q233" s="219" t="n">
        <f aca="false">IF(ISNUMBER(Q101),Q101/IF_Util,Q101)</f>
        <v>112.866447662578</v>
      </c>
      <c r="R23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3523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3613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3776</v>
      </c>
      <c r="B234" s="30" t="s">
        <v>2262</v>
      </c>
      <c r="C234" s="219" t="n">
        <f aca="false">C101</f>
        <v>5.41089756914487</v>
      </c>
      <c r="D234" s="219" t="n">
        <f aca="false">D101</f>
        <v>5.41089756914487</v>
      </c>
      <c r="E234" s="219" t="n">
        <f aca="false">E101</f>
        <v>5.41089756914487</v>
      </c>
      <c r="F234" s="219" t="n">
        <f aca="false">F101</f>
        <v>23.9489675192609</v>
      </c>
      <c r="G234" s="219" t="n">
        <f aca="false">G101</f>
        <v>23.9489675192609</v>
      </c>
      <c r="H234" s="219" t="n">
        <f aca="false">H101</f>
        <v>23.9489675192609</v>
      </c>
      <c r="I234" s="219" t="n">
        <f aca="false">I101</f>
        <v>34.8667275721655</v>
      </c>
      <c r="J234" s="219" t="n">
        <f aca="false">J101</f>
        <v>34.8667275721655</v>
      </c>
      <c r="K234" s="219" t="n">
        <f aca="false">K101</f>
        <v>34.8667275721655</v>
      </c>
      <c r="L234" s="219" t="n">
        <f aca="false">L101</f>
        <v>50.299413649228</v>
      </c>
      <c r="M234" s="219" t="n">
        <f aca="false">M101</f>
        <v>50.299413649228</v>
      </c>
      <c r="N234" s="219" t="n">
        <f aca="false">N101</f>
        <v>50.299413649228</v>
      </c>
      <c r="O234" s="219" t="n">
        <f aca="false">O101</f>
        <v>67.7198685975468</v>
      </c>
      <c r="P234" s="219" t="n">
        <f aca="false">P101</f>
        <v>67.7198685975468</v>
      </c>
      <c r="Q234" s="219" t="n">
        <f aca="false">Q101</f>
        <v>67.7198685975468</v>
      </c>
      <c r="R23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3548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3613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3777</v>
      </c>
      <c r="B235" s="30" t="s">
        <v>2262</v>
      </c>
      <c r="C235" s="219" t="n">
        <f aca="false">C207</f>
        <v>4.16601653965016</v>
      </c>
      <c r="D235" s="219" t="n">
        <f aca="false">D207</f>
        <v>4.16601653965016</v>
      </c>
      <c r="E235" s="219" t="n">
        <f aca="false">E207</f>
        <v>4.16601653965016</v>
      </c>
      <c r="F235" s="219" t="n">
        <f aca="false">F207</f>
        <v>19.2981660478862</v>
      </c>
      <c r="G235" s="219" t="n">
        <f aca="false">G207</f>
        <v>19.2981660478862</v>
      </c>
      <c r="H235" s="219" t="n">
        <f aca="false">H207</f>
        <v>19.2981660478862</v>
      </c>
      <c r="I235" s="219" t="n">
        <f aca="false">I207</f>
        <v>28.0957372251188</v>
      </c>
      <c r="J235" s="219" t="n">
        <f aca="false">J207</f>
        <v>28.0957372251188</v>
      </c>
      <c r="K235" s="219" t="n">
        <f aca="false">K207</f>
        <v>28.0957372251188</v>
      </c>
      <c r="L235" s="219" t="n">
        <f aca="false">L207</f>
        <v>40.6269205958863</v>
      </c>
      <c r="M235" s="219" t="n">
        <f aca="false">M207</f>
        <v>40.6269205958863</v>
      </c>
      <c r="N235" s="219" t="n">
        <f aca="false">N207</f>
        <v>40.6269205958863</v>
      </c>
      <c r="O235" s="219" t="n">
        <f aca="false">O207</f>
        <v>54.7307309163427</v>
      </c>
      <c r="P235" s="219" t="n">
        <f aca="false">P207</f>
        <v>54.7307309163427</v>
      </c>
      <c r="Q235" s="219" t="n">
        <f aca="false">Q207</f>
        <v>54.7307309163427</v>
      </c>
      <c r="R23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3734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3739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3778</v>
      </c>
      <c r="B236" s="30" t="s">
        <v>2262</v>
      </c>
      <c r="C236" s="219" t="n">
        <f aca="false">IF(ISNUMBER(C235),C235*CTL_PriceLife*CTL_Monetize,C235)</f>
        <v>4.16601653965016</v>
      </c>
      <c r="D236" s="219" t="n">
        <f aca="false">IF(ISNUMBER(D235),D235*CTL_PriceLife*CTL_Monetize,D235)</f>
        <v>4.16601653965016</v>
      </c>
      <c r="E236" s="219" t="n">
        <f aca="false">IF(ISNUMBER(E235),E235*CTL_PriceLife*CTL_Monetize,E235)</f>
        <v>4.16601653965016</v>
      </c>
      <c r="F236" s="219" t="n">
        <f aca="false">IF(ISNUMBER(F235),F235*CTL_PriceLife*CTL_Monetize,F235)</f>
        <v>19.2981660478862</v>
      </c>
      <c r="G236" s="219" t="n">
        <f aca="false">IF(ISNUMBER(G235),G235*CTL_PriceLife*CTL_Monetize,G235)</f>
        <v>19.2981660478862</v>
      </c>
      <c r="H236" s="219" t="n">
        <f aca="false">IF(ISNUMBER(H235),H235*CTL_PriceLife*CTL_Monetize,H235)</f>
        <v>19.2981660478862</v>
      </c>
      <c r="I236" s="219" t="n">
        <f aca="false">IF(ISNUMBER(I235),I235*CTL_PriceLife*CTL_Monetize,I235)</f>
        <v>28.0957372251188</v>
      </c>
      <c r="J236" s="219" t="n">
        <f aca="false">IF(ISNUMBER(J235),J235*CTL_PriceLife*CTL_Monetize,J235)</f>
        <v>28.0957372251188</v>
      </c>
      <c r="K236" s="219" t="n">
        <f aca="false">IF(ISNUMBER(K235),K235*CTL_PriceLife*CTL_Monetize,K235)</f>
        <v>28.0957372251188</v>
      </c>
      <c r="L236" s="219" t="n">
        <f aca="false">IF(ISNUMBER(L235),L235*CTL_PriceLife*CTL_Monetize,L235)</f>
        <v>40.6269205958863</v>
      </c>
      <c r="M236" s="219" t="n">
        <f aca="false">IF(ISNUMBER(M235),M235*CTL_PriceLife*CTL_Monetize,M235)</f>
        <v>40.6269205958863</v>
      </c>
      <c r="N236" s="219" t="n">
        <f aca="false">IF(ISNUMBER(N235),N235*CTL_PriceLife*CTL_Monetize,N235)</f>
        <v>40.6269205958863</v>
      </c>
      <c r="O236" s="219" t="n">
        <f aca="false">IF(ISNUMBER(O235),O235*CTL_PriceLife*CTL_Monetize,O235)</f>
        <v>54.7307309163427</v>
      </c>
      <c r="P236" s="219" t="n">
        <f aca="false">IF(ISNUMBER(P235),P235*CTL_PriceLife*CTL_Monetize,P235)</f>
        <v>54.7307309163427</v>
      </c>
      <c r="Q236" s="219" t="n">
        <f aca="false">IF(ISNUMBER(Q235),Q235*CTL_PriceLife*CTL_Monetize,Q235)</f>
        <v>54.7307309163427</v>
      </c>
      <c r="R23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3746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3747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3774</v>
      </c>
    </row>
    <row r="238" customFormat="false" ht="15" hidden="false" customHeight="true" outlineLevel="0" collapsed="false">
      <c r="A238" s="44" t="s">
        <v>3779</v>
      </c>
      <c r="B238" s="30" t="s">
        <v>2262</v>
      </c>
      <c r="C238" s="219" t="n">
        <f aca="false">IF(ISNUMBER(C119),C119/IF_Util,C119)</f>
        <v>54.0550477473896</v>
      </c>
      <c r="D238" s="219" t="n">
        <f aca="false">IF(ISNUMBER(D119),D119/IF_Util,D119)</f>
        <v>54.0550477473896</v>
      </c>
      <c r="E238" s="219" t="n">
        <f aca="false">IF(ISNUMBER(E119),E119/IF_Util,E119)</f>
        <v>54.0550477473896</v>
      </c>
      <c r="F238" s="219" t="n">
        <f aca="false">IF(ISNUMBER(F119),F119/IF_Util,F119)</f>
        <v>234.391419310805</v>
      </c>
      <c r="G238" s="219" t="n">
        <f aca="false">IF(ISNUMBER(G119),G119/IF_Util,G119)</f>
        <v>234.391419310805</v>
      </c>
      <c r="H238" s="219" t="n">
        <f aca="false">IF(ISNUMBER(H119),H119/IF_Util,H119)</f>
        <v>234.391419310805</v>
      </c>
      <c r="I238" s="219" t="n">
        <f aca="false">IF(ISNUMBER(I119),I119/IF_Util,I119)</f>
        <v>341.244847227354</v>
      </c>
      <c r="J238" s="219" t="n">
        <f aca="false">IF(ISNUMBER(J119),J119/IF_Util,J119)</f>
        <v>341.244847227354</v>
      </c>
      <c r="K238" s="219" t="n">
        <f aca="false">IF(ISNUMBER(K119),K119/IF_Util,K119)</f>
        <v>341.244847227354</v>
      </c>
      <c r="L238" s="219" t="n">
        <f aca="false">IF(ISNUMBER(L119),L119/IF_Util,L119)</f>
        <v>512.644173561644</v>
      </c>
      <c r="M238" s="219" t="n">
        <f aca="false">IF(ISNUMBER(M119),M119/IF_Util,M119)</f>
        <v>512.644173561644</v>
      </c>
      <c r="N238" s="219" t="n">
        <f aca="false">IF(ISNUMBER(N119),N119/IF_Util,N119)</f>
        <v>512.644173561644</v>
      </c>
      <c r="O238" s="219" t="n">
        <f aca="false">IF(ISNUMBER(O119),O119/IF_Util,O119)</f>
        <v>698.097656186125</v>
      </c>
      <c r="P238" s="219" t="n">
        <f aca="false">IF(ISNUMBER(P119),P119/IF_Util,P119)</f>
        <v>698.097656186125</v>
      </c>
      <c r="Q238" s="219" t="n">
        <f aca="false">IF(ISNUMBER(Q119),Q119/IF_Util,Q119)</f>
        <v>698.097656186125</v>
      </c>
      <c r="R23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3523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3613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3780</v>
      </c>
      <c r="B239" s="30" t="s">
        <v>2262</v>
      </c>
      <c r="C239" s="219" t="n">
        <f aca="false">C119</f>
        <v>32.4330286484338</v>
      </c>
      <c r="D239" s="219" t="n">
        <f aca="false">D119</f>
        <v>32.4330286484338</v>
      </c>
      <c r="E239" s="219" t="n">
        <f aca="false">E119</f>
        <v>32.4330286484338</v>
      </c>
      <c r="F239" s="219" t="n">
        <f aca="false">F119</f>
        <v>140.634851586483</v>
      </c>
      <c r="G239" s="219" t="n">
        <f aca="false">G119</f>
        <v>140.634851586483</v>
      </c>
      <c r="H239" s="219" t="n">
        <f aca="false">H119</f>
        <v>140.634851586483</v>
      </c>
      <c r="I239" s="219" t="n">
        <f aca="false">I119</f>
        <v>204.746908336412</v>
      </c>
      <c r="J239" s="219" t="n">
        <f aca="false">J119</f>
        <v>204.746908336412</v>
      </c>
      <c r="K239" s="219" t="n">
        <f aca="false">K119</f>
        <v>204.746908336412</v>
      </c>
      <c r="L239" s="219" t="n">
        <f aca="false">L119</f>
        <v>307.586504136986</v>
      </c>
      <c r="M239" s="219" t="n">
        <f aca="false">M119</f>
        <v>307.586504136986</v>
      </c>
      <c r="N239" s="219" t="n">
        <f aca="false">N119</f>
        <v>307.586504136986</v>
      </c>
      <c r="O239" s="219" t="n">
        <f aca="false">O119</f>
        <v>418.858593711675</v>
      </c>
      <c r="P239" s="219" t="n">
        <f aca="false">P119</f>
        <v>418.858593711675</v>
      </c>
      <c r="Q239" s="219" t="n">
        <f aca="false">Q119</f>
        <v>418.858593711675</v>
      </c>
      <c r="R23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3548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3613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3781</v>
      </c>
      <c r="B240" s="30" t="s">
        <v>2262</v>
      </c>
      <c r="C240" s="219" t="n">
        <f aca="false">C208</f>
        <v>25.8351210172715</v>
      </c>
      <c r="D240" s="219" t="n">
        <f aca="false">D208</f>
        <v>25.8351210172715</v>
      </c>
      <c r="E240" s="219" t="n">
        <f aca="false">E208</f>
        <v>25.8351210172715</v>
      </c>
      <c r="F240" s="219" t="n">
        <f aca="false">F208</f>
        <v>115.189801090007</v>
      </c>
      <c r="G240" s="219" t="n">
        <f aca="false">G208</f>
        <v>115.189801090007</v>
      </c>
      <c r="H240" s="219" t="n">
        <f aca="false">H208</f>
        <v>115.189801090007</v>
      </c>
      <c r="I240" s="219" t="n">
        <f aca="false">I208</f>
        <v>167.702069430222</v>
      </c>
      <c r="J240" s="219" t="n">
        <f aca="false">J208</f>
        <v>167.702069430222</v>
      </c>
      <c r="K240" s="219" t="n">
        <f aca="false">K208</f>
        <v>167.702069430222</v>
      </c>
      <c r="L240" s="219" t="n">
        <f aca="false">L208</f>
        <v>252.853670235275</v>
      </c>
      <c r="M240" s="219" t="n">
        <f aca="false">M208</f>
        <v>252.853670235275</v>
      </c>
      <c r="N240" s="219" t="n">
        <f aca="false">N208</f>
        <v>252.853670235275</v>
      </c>
      <c r="O240" s="219" t="n">
        <f aca="false">O208</f>
        <v>344.651879941955</v>
      </c>
      <c r="P240" s="219" t="n">
        <f aca="false">P208</f>
        <v>344.651879941955</v>
      </c>
      <c r="Q240" s="219" t="n">
        <f aca="false">Q208</f>
        <v>344.651879941955</v>
      </c>
      <c r="R24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3734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3739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3782</v>
      </c>
      <c r="B241" s="30" t="s">
        <v>2262</v>
      </c>
      <c r="C241" s="219" t="n">
        <f aca="false">IF(ISNUMBER(C240),C240*CTL_PriceLife*CTL_Monetize,C240)</f>
        <v>25.8351210172715</v>
      </c>
      <c r="D241" s="219" t="n">
        <f aca="false">IF(ISNUMBER(D240),D240*CTL_PriceLife*CTL_Monetize,D240)</f>
        <v>25.8351210172715</v>
      </c>
      <c r="E241" s="219" t="n">
        <f aca="false">IF(ISNUMBER(E240),E240*CTL_PriceLife*CTL_Monetize,E240)</f>
        <v>25.8351210172715</v>
      </c>
      <c r="F241" s="219" t="n">
        <f aca="false">IF(ISNUMBER(F240),F240*CTL_PriceLife*CTL_Monetize,F240)</f>
        <v>115.189801090007</v>
      </c>
      <c r="G241" s="219" t="n">
        <f aca="false">IF(ISNUMBER(G240),G240*CTL_PriceLife*CTL_Monetize,G240)</f>
        <v>115.189801090007</v>
      </c>
      <c r="H241" s="219" t="n">
        <f aca="false">IF(ISNUMBER(H240),H240*CTL_PriceLife*CTL_Monetize,H240)</f>
        <v>115.189801090007</v>
      </c>
      <c r="I241" s="219" t="n">
        <f aca="false">IF(ISNUMBER(I240),I240*CTL_PriceLife*CTL_Monetize,I240)</f>
        <v>167.702069430222</v>
      </c>
      <c r="J241" s="219" t="n">
        <f aca="false">IF(ISNUMBER(J240),J240*CTL_PriceLife*CTL_Monetize,J240)</f>
        <v>167.702069430222</v>
      </c>
      <c r="K241" s="219" t="n">
        <f aca="false">IF(ISNUMBER(K240),K240*CTL_PriceLife*CTL_Monetize,K240)</f>
        <v>167.702069430222</v>
      </c>
      <c r="L241" s="219" t="n">
        <f aca="false">IF(ISNUMBER(L240),L240*CTL_PriceLife*CTL_Monetize,L240)</f>
        <v>252.853670235275</v>
      </c>
      <c r="M241" s="219" t="n">
        <f aca="false">IF(ISNUMBER(M240),M240*CTL_PriceLife*CTL_Monetize,M240)</f>
        <v>252.853670235275</v>
      </c>
      <c r="N241" s="219" t="n">
        <f aca="false">IF(ISNUMBER(N240),N240*CTL_PriceLife*CTL_Monetize,N240)</f>
        <v>252.853670235275</v>
      </c>
      <c r="O241" s="219" t="n">
        <f aca="false">IF(ISNUMBER(O240),O240*CTL_PriceLife*CTL_Monetize,O240)</f>
        <v>344.651879941955</v>
      </c>
      <c r="P241" s="219" t="n">
        <f aca="false">IF(ISNUMBER(P240),P240*CTL_PriceLife*CTL_Monetize,P240)</f>
        <v>344.651879941955</v>
      </c>
      <c r="Q241" s="219" t="n">
        <f aca="false">IF(ISNUMBER(Q240),Q240*CTL_PriceLife*CTL_Monetize,Q240)</f>
        <v>344.651879941955</v>
      </c>
      <c r="R24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3746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3747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3774</v>
      </c>
    </row>
    <row r="243" customFormat="false" ht="15" hidden="false" customHeight="true" outlineLevel="0" collapsed="false">
      <c r="A243" s="44" t="s">
        <v>3783</v>
      </c>
      <c r="B243" s="30" t="s">
        <v>2262</v>
      </c>
      <c r="C243" s="219" t="n">
        <f aca="false">IF(ISNUMBER(C137),C137/IF_Util,C137)</f>
        <v>54.7143043397032</v>
      </c>
      <c r="D243" s="219" t="n">
        <f aca="false">IF(ISNUMBER(D137),D137/IF_Util,D137)</f>
        <v>54.7143043397032</v>
      </c>
      <c r="E243" s="219" t="n">
        <f aca="false">IF(ISNUMBER(E137),E137/IF_Util,E137)</f>
        <v>54.7143043397032</v>
      </c>
      <c r="F243" s="219" t="n">
        <f aca="false">IF(ISNUMBER(F137),F137/IF_Util,F137)</f>
        <v>239.200511965134</v>
      </c>
      <c r="G243" s="219" t="n">
        <f aca="false">IF(ISNUMBER(G137),G137/IF_Util,G137)</f>
        <v>239.200511965134</v>
      </c>
      <c r="H243" s="219" t="n">
        <f aca="false">IF(ISNUMBER(H137),H137/IF_Util,H137)</f>
        <v>239.200511965134</v>
      </c>
      <c r="I243" s="219" t="n">
        <f aca="false">IF(ISNUMBER(I137),I137/IF_Util,I137)</f>
        <v>315.458459045648</v>
      </c>
      <c r="J243" s="219" t="n">
        <f aca="false">IF(ISNUMBER(J137),J137/IF_Util,J137)</f>
        <v>315.458459045648</v>
      </c>
      <c r="K243" s="219" t="n">
        <f aca="false">IF(ISNUMBER(K137),K137/IF_Util,K137)</f>
        <v>315.458459045648</v>
      </c>
      <c r="L243" s="219" t="n">
        <f aca="false">IF(ISNUMBER(L137),L137/IF_Util,L137)</f>
        <v>559.477111268664</v>
      </c>
      <c r="M243" s="219" t="n">
        <f aca="false">IF(ISNUMBER(M137),M137/IF_Util,M137)</f>
        <v>559.477111268664</v>
      </c>
      <c r="N243" s="219" t="n">
        <f aca="false">IF(ISNUMBER(N137),N137/IF_Util,N137)</f>
        <v>559.477111268664</v>
      </c>
      <c r="O243" s="219" t="n">
        <f aca="false">IF(ISNUMBER(O137),O137/IF_Util,O137)</f>
        <v>791.675528243624</v>
      </c>
      <c r="P243" s="219" t="n">
        <f aca="false">IF(ISNUMBER(P137),P137/IF_Util,P137)</f>
        <v>791.675528243624</v>
      </c>
      <c r="Q243" s="219" t="n">
        <f aca="false">IF(ISNUMBER(Q137),Q137/IF_Util,Q137)</f>
        <v>791.675528243624</v>
      </c>
      <c r="R24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3523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3613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3784</v>
      </c>
      <c r="B244" s="30" t="s">
        <v>2262</v>
      </c>
      <c r="C244" s="219" t="n">
        <f aca="false">C137</f>
        <v>32.8285826038219</v>
      </c>
      <c r="D244" s="219" t="n">
        <f aca="false">D137</f>
        <v>32.8285826038219</v>
      </c>
      <c r="E244" s="219" t="n">
        <f aca="false">E137</f>
        <v>32.8285826038219</v>
      </c>
      <c r="F244" s="219" t="n">
        <f aca="false">F137</f>
        <v>143.52030717908</v>
      </c>
      <c r="G244" s="219" t="n">
        <f aca="false">G137</f>
        <v>143.52030717908</v>
      </c>
      <c r="H244" s="219" t="n">
        <f aca="false">H137</f>
        <v>143.52030717908</v>
      </c>
      <c r="I244" s="219" t="n">
        <f aca="false">I137</f>
        <v>189.275075427389</v>
      </c>
      <c r="J244" s="219" t="n">
        <f aca="false">J137</f>
        <v>189.275075427389</v>
      </c>
      <c r="K244" s="219" t="n">
        <f aca="false">K137</f>
        <v>189.275075427389</v>
      </c>
      <c r="L244" s="219" t="n">
        <f aca="false">L137</f>
        <v>335.686266761199</v>
      </c>
      <c r="M244" s="219" t="n">
        <f aca="false">M137</f>
        <v>335.686266761199</v>
      </c>
      <c r="N244" s="219" t="n">
        <f aca="false">N137</f>
        <v>335.686266761199</v>
      </c>
      <c r="O244" s="219" t="n">
        <f aca="false">O137</f>
        <v>475.005316946174</v>
      </c>
      <c r="P244" s="219" t="n">
        <f aca="false">P137</f>
        <v>475.005316946174</v>
      </c>
      <c r="Q244" s="219" t="n">
        <f aca="false">Q137</f>
        <v>475.005316946174</v>
      </c>
      <c r="R24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3548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3613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3785</v>
      </c>
      <c r="B245" s="30" t="s">
        <v>2262</v>
      </c>
      <c r="C245" s="219" t="n">
        <f aca="false">C209</f>
        <v>23.7314208542587</v>
      </c>
      <c r="D245" s="219" t="n">
        <f aca="false">D209</f>
        <v>23.7314208542587</v>
      </c>
      <c r="E245" s="219" t="n">
        <f aca="false">E209</f>
        <v>23.7314208542587</v>
      </c>
      <c r="F245" s="219" t="n">
        <f aca="false">F209</f>
        <v>112.606466107701</v>
      </c>
      <c r="G245" s="219" t="n">
        <f aca="false">G209</f>
        <v>112.606466107701</v>
      </c>
      <c r="H245" s="219" t="n">
        <f aca="false">H209</f>
        <v>112.606466107701</v>
      </c>
      <c r="I245" s="219" t="n">
        <f aca="false">I209</f>
        <v>146.896191352993</v>
      </c>
      <c r="J245" s="219" t="n">
        <f aca="false">J209</f>
        <v>146.896191352993</v>
      </c>
      <c r="K245" s="219" t="n">
        <f aca="false">K209</f>
        <v>146.896191352993</v>
      </c>
      <c r="L245" s="219" t="n">
        <f aca="false">L209</f>
        <v>266.938542515567</v>
      </c>
      <c r="M245" s="219" t="n">
        <f aca="false">M209</f>
        <v>266.938542515567</v>
      </c>
      <c r="N245" s="219" t="n">
        <f aca="false">N209</f>
        <v>266.938542515567</v>
      </c>
      <c r="O245" s="219" t="n">
        <f aca="false">O209</f>
        <v>379.622499261887</v>
      </c>
      <c r="P245" s="219" t="n">
        <f aca="false">P209</f>
        <v>379.622499261887</v>
      </c>
      <c r="Q245" s="219" t="n">
        <f aca="false">Q209</f>
        <v>379.622499261887</v>
      </c>
      <c r="R24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3734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3739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3786</v>
      </c>
      <c r="B246" s="30" t="s">
        <v>2262</v>
      </c>
      <c r="C246" s="219" t="n">
        <f aca="false">IF(ISNUMBER(C245),C245*CTL_PriceLife*CTL_Monetize,C245)</f>
        <v>23.7314208542587</v>
      </c>
      <c r="D246" s="219" t="n">
        <f aca="false">IF(ISNUMBER(D245),D245*CTL_PriceLife*CTL_Monetize,D245)</f>
        <v>23.7314208542587</v>
      </c>
      <c r="E246" s="219" t="n">
        <f aca="false">IF(ISNUMBER(E245),E245*CTL_PriceLife*CTL_Monetize,E245)</f>
        <v>23.7314208542587</v>
      </c>
      <c r="F246" s="219" t="n">
        <f aca="false">IF(ISNUMBER(F245),F245*CTL_PriceLife*CTL_Monetize,F245)</f>
        <v>112.606466107701</v>
      </c>
      <c r="G246" s="219" t="n">
        <f aca="false">IF(ISNUMBER(G245),G245*CTL_PriceLife*CTL_Monetize,G245)</f>
        <v>112.606466107701</v>
      </c>
      <c r="H246" s="219" t="n">
        <f aca="false">IF(ISNUMBER(H245),H245*CTL_PriceLife*CTL_Monetize,H245)</f>
        <v>112.606466107701</v>
      </c>
      <c r="I246" s="219" t="n">
        <f aca="false">IF(ISNUMBER(I245),I245*CTL_PriceLife*CTL_Monetize,I245)</f>
        <v>146.896191352993</v>
      </c>
      <c r="J246" s="219" t="n">
        <f aca="false">IF(ISNUMBER(J245),J245*CTL_PriceLife*CTL_Monetize,J245)</f>
        <v>146.896191352993</v>
      </c>
      <c r="K246" s="219" t="n">
        <f aca="false">IF(ISNUMBER(K245),K245*CTL_PriceLife*CTL_Monetize,K245)</f>
        <v>146.896191352993</v>
      </c>
      <c r="L246" s="219" t="n">
        <f aca="false">IF(ISNUMBER(L245),L245*CTL_PriceLife*CTL_Monetize,L245)</f>
        <v>266.938542515567</v>
      </c>
      <c r="M246" s="219" t="n">
        <f aca="false">IF(ISNUMBER(M245),M245*CTL_PriceLife*CTL_Monetize,M245)</f>
        <v>266.938542515567</v>
      </c>
      <c r="N246" s="219" t="n">
        <f aca="false">IF(ISNUMBER(N245),N245*CTL_PriceLife*CTL_Monetize,N245)</f>
        <v>266.938542515567</v>
      </c>
      <c r="O246" s="219" t="n">
        <f aca="false">IF(ISNUMBER(O245),O245*CTL_PriceLife*CTL_Monetize,O245)</f>
        <v>379.622499261887</v>
      </c>
      <c r="P246" s="219" t="n">
        <f aca="false">IF(ISNUMBER(P245),P245*CTL_PriceLife*CTL_Monetize,P245)</f>
        <v>379.622499261887</v>
      </c>
      <c r="Q246" s="219" t="n">
        <f aca="false">IF(ISNUMBER(Q245),Q245*CTL_PriceLife*CTL_Monetize,Q245)</f>
        <v>379.622499261887</v>
      </c>
      <c r="R24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3746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3747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3787</v>
      </c>
    </row>
    <row r="248" customFormat="false" ht="15" hidden="false" customHeight="true" outlineLevel="0" collapsed="false">
      <c r="A248" s="44" t="s">
        <v>3788</v>
      </c>
      <c r="B248" s="30" t="s">
        <v>2262</v>
      </c>
      <c r="C248" s="219" t="n">
        <f aca="false">IF(ISNUMBER(C143),C143/IF_Util,C143)</f>
        <v>11.1384003896262</v>
      </c>
      <c r="D248" s="219" t="n">
        <f aca="false">IF(ISNUMBER(D143),D143/IF_Util,D143)</f>
        <v>11.1384003896262</v>
      </c>
      <c r="E248" s="219" t="n">
        <f aca="false">IF(ISNUMBER(E143),E143/IF_Util,E143)</f>
        <v>11.1384003896262</v>
      </c>
      <c r="F248" s="219" t="n">
        <f aca="false">IF(ISNUMBER(F143),F143/IF_Util,F143)</f>
        <v>48.6122632267777</v>
      </c>
      <c r="G248" s="219" t="n">
        <f aca="false">IF(ISNUMBER(G143),G143/IF_Util,G143)</f>
        <v>48.6122632267777</v>
      </c>
      <c r="H248" s="219" t="n">
        <f aca="false">IF(ISNUMBER(H143),H143/IF_Util,H143)</f>
        <v>48.6122632267777</v>
      </c>
      <c r="I248" s="219" t="n">
        <f aca="false">IF(ISNUMBER(I143),I143/IF_Util,I143)</f>
        <v>66.8524420179894</v>
      </c>
      <c r="J248" s="219" t="n">
        <f aca="false">IF(ISNUMBER(J143),J143/IF_Util,J143)</f>
        <v>66.8524420179894</v>
      </c>
      <c r="K248" s="219" t="n">
        <f aca="false">IF(ISNUMBER(K143),K143/IF_Util,K143)</f>
        <v>66.8524420179894</v>
      </c>
      <c r="L248" s="219" t="n">
        <f aca="false">IF(ISNUMBER(L143),L143/IF_Util,L143)</f>
        <v>109.938064961812</v>
      </c>
      <c r="M248" s="219" t="n">
        <f aca="false">IF(ISNUMBER(M143),M143/IF_Util,M143)</f>
        <v>109.938064961812</v>
      </c>
      <c r="N248" s="219" t="n">
        <f aca="false">IF(ISNUMBER(N143),N143/IF_Util,N143)</f>
        <v>109.938064961812</v>
      </c>
      <c r="O248" s="219" t="n">
        <f aca="false">IF(ISNUMBER(O143),O143/IF_Util,O143)</f>
        <v>152.675211793649</v>
      </c>
      <c r="P248" s="219" t="n">
        <f aca="false">IF(ISNUMBER(P143),P143/IF_Util,P143)</f>
        <v>152.675211793649</v>
      </c>
      <c r="Q248" s="219" t="n">
        <f aca="false">IF(ISNUMBER(Q143),Q143/IF_Util,Q143)</f>
        <v>152.675211793649</v>
      </c>
      <c r="R24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3523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3653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3789</v>
      </c>
      <c r="B249" s="30" t="s">
        <v>2262</v>
      </c>
      <c r="C249" s="219" t="n">
        <f aca="false">C143</f>
        <v>6.68304023377571</v>
      </c>
      <c r="D249" s="219" t="n">
        <f aca="false">D143</f>
        <v>6.68304023377571</v>
      </c>
      <c r="E249" s="219" t="n">
        <f aca="false">E143</f>
        <v>6.68304023377571</v>
      </c>
      <c r="F249" s="219" t="n">
        <f aca="false">F143</f>
        <v>29.1673579360666</v>
      </c>
      <c r="G249" s="219" t="n">
        <f aca="false">G143</f>
        <v>29.1673579360666</v>
      </c>
      <c r="H249" s="219" t="n">
        <f aca="false">H143</f>
        <v>29.1673579360666</v>
      </c>
      <c r="I249" s="219" t="n">
        <f aca="false">I143</f>
        <v>40.1114652107936</v>
      </c>
      <c r="J249" s="219" t="n">
        <f aca="false">J143</f>
        <v>40.1114652107936</v>
      </c>
      <c r="K249" s="219" t="n">
        <f aca="false">K143</f>
        <v>40.1114652107936</v>
      </c>
      <c r="L249" s="219" t="n">
        <f aca="false">L143</f>
        <v>65.9628389770872</v>
      </c>
      <c r="M249" s="219" t="n">
        <f aca="false">M143</f>
        <v>65.9628389770872</v>
      </c>
      <c r="N249" s="219" t="n">
        <f aca="false">N143</f>
        <v>65.9628389770872</v>
      </c>
      <c r="O249" s="219" t="n">
        <f aca="false">O143</f>
        <v>91.6051270761894</v>
      </c>
      <c r="P249" s="219" t="n">
        <f aca="false">P143</f>
        <v>91.6051270761894</v>
      </c>
      <c r="Q249" s="219" t="n">
        <f aca="false">Q143</f>
        <v>91.6051270761894</v>
      </c>
      <c r="R24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3548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3653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3790</v>
      </c>
      <c r="B250" s="30" t="s">
        <v>2262</v>
      </c>
      <c r="C250" s="219" t="n">
        <f aca="false">C210</f>
        <v>5.01848956376868</v>
      </c>
      <c r="D250" s="219" t="n">
        <f aca="false">D210</f>
        <v>5.01848956376868</v>
      </c>
      <c r="E250" s="219" t="n">
        <f aca="false">E210</f>
        <v>5.01848956376868</v>
      </c>
      <c r="F250" s="219" t="n">
        <f aca="false">F210</f>
        <v>23.2784953027427</v>
      </c>
      <c r="G250" s="219" t="n">
        <f aca="false">G210</f>
        <v>23.2784953027427</v>
      </c>
      <c r="H250" s="219" t="n">
        <f aca="false">H210</f>
        <v>23.2784953027427</v>
      </c>
      <c r="I250" s="219" t="n">
        <f aca="false">I210</f>
        <v>31.7743161074204</v>
      </c>
      <c r="J250" s="219" t="n">
        <f aca="false">J210</f>
        <v>31.7743161074204</v>
      </c>
      <c r="K250" s="219" t="n">
        <f aca="false">K210</f>
        <v>31.7743161074204</v>
      </c>
      <c r="L250" s="219" t="n">
        <f aca="false">L210</f>
        <v>53.1540686485926</v>
      </c>
      <c r="M250" s="219" t="n">
        <f aca="false">M210</f>
        <v>53.1540686485926</v>
      </c>
      <c r="N250" s="219" t="n">
        <f aca="false">N210</f>
        <v>53.1540686485926</v>
      </c>
      <c r="O250" s="219" t="n">
        <f aca="false">O210</f>
        <v>74.0683951910804</v>
      </c>
      <c r="P250" s="219" t="n">
        <f aca="false">P210</f>
        <v>74.0683951910804</v>
      </c>
      <c r="Q250" s="219" t="n">
        <f aca="false">Q210</f>
        <v>74.0683951910804</v>
      </c>
      <c r="R25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3734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3743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3791</v>
      </c>
      <c r="B251" s="30" t="s">
        <v>2262</v>
      </c>
      <c r="C251" s="219" t="n">
        <f aca="false">IF(ISNUMBER(C250),C250*CTL_PriceLife*CTL_Monetize,C250)</f>
        <v>5.01848956376868</v>
      </c>
      <c r="D251" s="219" t="n">
        <f aca="false">IF(ISNUMBER(D250),D250*CTL_PriceLife*CTL_Monetize,D250)</f>
        <v>5.01848956376868</v>
      </c>
      <c r="E251" s="219" t="n">
        <f aca="false">IF(ISNUMBER(E250),E250*CTL_PriceLife*CTL_Monetize,E250)</f>
        <v>5.01848956376868</v>
      </c>
      <c r="F251" s="219" t="n">
        <f aca="false">IF(ISNUMBER(F250),F250*CTL_PriceLife*CTL_Monetize,F250)</f>
        <v>23.2784953027427</v>
      </c>
      <c r="G251" s="219" t="n">
        <f aca="false">IF(ISNUMBER(G250),G250*CTL_PriceLife*CTL_Monetize,G250)</f>
        <v>23.2784953027427</v>
      </c>
      <c r="H251" s="219" t="n">
        <f aca="false">IF(ISNUMBER(H250),H250*CTL_PriceLife*CTL_Monetize,H250)</f>
        <v>23.2784953027427</v>
      </c>
      <c r="I251" s="219" t="n">
        <f aca="false">IF(ISNUMBER(I250),I250*CTL_PriceLife*CTL_Monetize,I250)</f>
        <v>31.7743161074204</v>
      </c>
      <c r="J251" s="219" t="n">
        <f aca="false">IF(ISNUMBER(J250),J250*CTL_PriceLife*CTL_Monetize,J250)</f>
        <v>31.7743161074204</v>
      </c>
      <c r="K251" s="219" t="n">
        <f aca="false">IF(ISNUMBER(K250),K250*CTL_PriceLife*CTL_Monetize,K250)</f>
        <v>31.7743161074204</v>
      </c>
      <c r="L251" s="219" t="n">
        <f aca="false">IF(ISNUMBER(L250),L250*CTL_PriceLife*CTL_Monetize,L250)</f>
        <v>53.1540686485926</v>
      </c>
      <c r="M251" s="219" t="n">
        <f aca="false">IF(ISNUMBER(M250),M250*CTL_PriceLife*CTL_Monetize,M250)</f>
        <v>53.1540686485926</v>
      </c>
      <c r="N251" s="219" t="n">
        <f aca="false">IF(ISNUMBER(N250),N250*CTL_PriceLife*CTL_Monetize,N250)</f>
        <v>53.1540686485926</v>
      </c>
      <c r="O251" s="219" t="n">
        <f aca="false">IF(ISNUMBER(O250),O250*CTL_PriceLife*CTL_Monetize,O250)</f>
        <v>74.0683951910804</v>
      </c>
      <c r="P251" s="219" t="n">
        <f aca="false">IF(ISNUMBER(P250),P250*CTL_PriceLife*CTL_Monetize,P250)</f>
        <v>74.0683951910804</v>
      </c>
      <c r="Q251" s="219" t="n">
        <f aca="false">IF(ISNUMBER(Q250),Q250*CTL_PriceLife*CTL_Monetize,Q250)</f>
        <v>74.0683951910804</v>
      </c>
      <c r="R25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3746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3751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3792</v>
      </c>
    </row>
    <row r="253" customFormat="false" ht="15" hidden="false" customHeight="true" outlineLevel="0" collapsed="false">
      <c r="A253" s="44" t="s">
        <v>3793</v>
      </c>
      <c r="B253" s="30" t="s">
        <v>2262</v>
      </c>
      <c r="C253" s="219" t="n">
        <f aca="false">IF(ISNUMBER(C102),C102/IF_Util,C102)</f>
        <v>9.01816261524145</v>
      </c>
      <c r="D253" s="219" t="n">
        <f aca="false">IF(ISNUMBER(D102),D102/IF_Util,D102)</f>
        <v>9.01816261524145</v>
      </c>
      <c r="E253" s="219" t="n">
        <f aca="false">IF(ISNUMBER(E102),E102/IF_Util,E102)</f>
        <v>9.01816261524145</v>
      </c>
      <c r="F253" s="219" t="n">
        <f aca="false">IF(ISNUMBER(F102),F102/IF_Util,F102)</f>
        <v>39.9149458654348</v>
      </c>
      <c r="G253" s="219" t="n">
        <f aca="false">IF(ISNUMBER(G102),G102/IF_Util,G102)</f>
        <v>39.9149458654348</v>
      </c>
      <c r="H253" s="219" t="n">
        <f aca="false">IF(ISNUMBER(H102),H102/IF_Util,H102)</f>
        <v>39.9149458654348</v>
      </c>
      <c r="I253" s="219" t="n">
        <f aca="false">IF(ISNUMBER(I102),I102/IF_Util,I102)</f>
        <v>58.1112126202758</v>
      </c>
      <c r="J253" s="219" t="n">
        <f aca="false">IF(ISNUMBER(J102),J102/IF_Util,J102)</f>
        <v>58.1112126202758</v>
      </c>
      <c r="K253" s="219" t="n">
        <f aca="false">IF(ISNUMBER(K102),K102/IF_Util,K102)</f>
        <v>58.1112126202758</v>
      </c>
      <c r="L253" s="219" t="n">
        <f aca="false">IF(ISNUMBER(L102),L102/IF_Util,L102)</f>
        <v>83.8323560820466</v>
      </c>
      <c r="M253" s="219" t="n">
        <f aca="false">IF(ISNUMBER(M102),M102/IF_Util,M102)</f>
        <v>83.8323560820466</v>
      </c>
      <c r="N253" s="219" t="n">
        <f aca="false">IF(ISNUMBER(N102),N102/IF_Util,N102)</f>
        <v>83.8323560820466</v>
      </c>
      <c r="O253" s="219" t="n">
        <f aca="false">IF(ISNUMBER(O102),O102/IF_Util,O102)</f>
        <v>112.866447662578</v>
      </c>
      <c r="P253" s="219" t="n">
        <f aca="false">IF(ISNUMBER(P102),P102/IF_Util,P102)</f>
        <v>112.866447662578</v>
      </c>
      <c r="Q253" s="219" t="n">
        <f aca="false">IF(ISNUMBER(Q102),Q102/IF_Util,Q102)</f>
        <v>112.866447662578</v>
      </c>
      <c r="R25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3523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3615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3794</v>
      </c>
      <c r="B254" s="30" t="s">
        <v>2262</v>
      </c>
      <c r="C254" s="219" t="n">
        <f aca="false">C102</f>
        <v>5.41089756914487</v>
      </c>
      <c r="D254" s="219" t="n">
        <f aca="false">D102</f>
        <v>5.41089756914487</v>
      </c>
      <c r="E254" s="219" t="n">
        <f aca="false">E102</f>
        <v>5.41089756914487</v>
      </c>
      <c r="F254" s="219" t="n">
        <f aca="false">F102</f>
        <v>23.9489675192609</v>
      </c>
      <c r="G254" s="219" t="n">
        <f aca="false">G102</f>
        <v>23.9489675192609</v>
      </c>
      <c r="H254" s="219" t="n">
        <f aca="false">H102</f>
        <v>23.9489675192609</v>
      </c>
      <c r="I254" s="219" t="n">
        <f aca="false">I102</f>
        <v>34.8667275721655</v>
      </c>
      <c r="J254" s="219" t="n">
        <f aca="false">J102</f>
        <v>34.8667275721655</v>
      </c>
      <c r="K254" s="219" t="n">
        <f aca="false">K102</f>
        <v>34.8667275721655</v>
      </c>
      <c r="L254" s="219" t="n">
        <f aca="false">L102</f>
        <v>50.299413649228</v>
      </c>
      <c r="M254" s="219" t="n">
        <f aca="false">M102</f>
        <v>50.299413649228</v>
      </c>
      <c r="N254" s="219" t="n">
        <f aca="false">N102</f>
        <v>50.299413649228</v>
      </c>
      <c r="O254" s="219" t="n">
        <f aca="false">O102</f>
        <v>67.7198685975468</v>
      </c>
      <c r="P254" s="219" t="n">
        <f aca="false">P102</f>
        <v>67.7198685975468</v>
      </c>
      <c r="Q254" s="219" t="n">
        <f aca="false">Q102</f>
        <v>67.7198685975468</v>
      </c>
      <c r="R25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3548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3615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3795</v>
      </c>
      <c r="B255" s="30" t="s">
        <v>2262</v>
      </c>
      <c r="C255" s="198" t="n">
        <f aca="false">IF(ISNUMBER(Theory_Rev_Prod!C10),Theory_Rev_Prod!C10*INDEX(B4_FrontRef,1,1)/1000000000,Theory_Rev_Prod!C10)</f>
        <v>4.16601653965016</v>
      </c>
      <c r="D255" s="198" t="n">
        <f aca="false">IF(ISNUMBER(Theory_Rev_Prod!D10),Theory_Rev_Prod!D10*INDEX(B4_FrontRef,1,1)/1000000000,Theory_Rev_Prod!D10)</f>
        <v>4.16601653965016</v>
      </c>
      <c r="E255" s="198" t="n">
        <f aca="false">IF(ISNUMBER(Theory_Rev_Prod!E10),Theory_Rev_Prod!E10*INDEX(B4_FrontRef,1,1)/1000000000,Theory_Rev_Prod!E10)</f>
        <v>4.16601653965016</v>
      </c>
      <c r="F255" s="198" t="n">
        <f aca="false">IF(ISNUMBER(Theory_Rev_Prod!F10),Theory_Rev_Prod!F10*INDEX(B4_FrontRef,1,1)/1000000000,Theory_Rev_Prod!F10)</f>
        <v>19.2981660478861</v>
      </c>
      <c r="G255" s="198" t="n">
        <f aca="false">IF(ISNUMBER(Theory_Rev_Prod!G10),Theory_Rev_Prod!G10*INDEX(B4_FrontRef,1,1)/1000000000,Theory_Rev_Prod!G10)</f>
        <v>19.2981660478861</v>
      </c>
      <c r="H255" s="198" t="n">
        <f aca="false">IF(ISNUMBER(Theory_Rev_Prod!H10),Theory_Rev_Prod!H10*INDEX(B4_FrontRef,1,1)/1000000000,Theory_Rev_Prod!H10)</f>
        <v>19.2981660478861</v>
      </c>
      <c r="I255" s="198" t="n">
        <f aca="false">IF(ISNUMBER(Theory_Rev_Prod!I10),Theory_Rev_Prod!I10*INDEX(B4_FrontRef,1,1)/1000000000,Theory_Rev_Prod!I10)</f>
        <v>28.0957372251188</v>
      </c>
      <c r="J255" s="198" t="n">
        <f aca="false">IF(ISNUMBER(Theory_Rev_Prod!J10),Theory_Rev_Prod!J10*INDEX(B4_FrontRef,1,1)/1000000000,Theory_Rev_Prod!J10)</f>
        <v>28.0957372251188</v>
      </c>
      <c r="K255" s="198" t="n">
        <f aca="false">IF(ISNUMBER(Theory_Rev_Prod!K10),Theory_Rev_Prod!K10*INDEX(B4_FrontRef,1,1)/1000000000,Theory_Rev_Prod!K10)</f>
        <v>28.0957372251188</v>
      </c>
      <c r="L255" s="198" t="n">
        <f aca="false">IF(ISNUMBER(Theory_Rev_Prod!L10),Theory_Rev_Prod!L10*INDEX(B4_FrontRef,1,1)/1000000000,Theory_Rev_Prod!L10)</f>
        <v>40.6269205958863</v>
      </c>
      <c r="M255" s="198" t="n">
        <f aca="false">IF(ISNUMBER(Theory_Rev_Prod!M10),Theory_Rev_Prod!M10*INDEX(B4_FrontRef,1,1)/1000000000,Theory_Rev_Prod!M10)</f>
        <v>40.6269205958863</v>
      </c>
      <c r="N255" s="198" t="n">
        <f aca="false">IF(ISNUMBER(Theory_Rev_Prod!N10),Theory_Rev_Prod!N10*INDEX(B4_FrontRef,1,1)/1000000000,Theory_Rev_Prod!N10)</f>
        <v>40.6269205958863</v>
      </c>
      <c r="O255" s="198" t="n">
        <f aca="false">IF(ISNUMBER(Theory_Rev_Prod!O10),Theory_Rev_Prod!O10*INDEX(B4_FrontRef,1,1)/1000000000,Theory_Rev_Prod!O10)</f>
        <v>54.7307309163427</v>
      </c>
      <c r="P255" s="198" t="n">
        <f aca="false">IF(ISNUMBER(Theory_Rev_Prod!P10),Theory_Rev_Prod!P10*INDEX(B4_FrontRef,1,1)/1000000000,Theory_Rev_Prod!P10)</f>
        <v>54.7307309163427</v>
      </c>
      <c r="Q255" s="198" t="n">
        <f aca="false">IF(ISNUMBER(Theory_Rev_Prod!Q10),Theory_Rev_Prod!Q10*INDEX(B4_FrontRef,1,1)/1000000000,Theory_Rev_Prod!Q10)</f>
        <v>54.7307309163427</v>
      </c>
      <c r="R25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3734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3796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3797</v>
      </c>
      <c r="B256" s="30" t="s">
        <v>2262</v>
      </c>
      <c r="C256" s="219" t="n">
        <f aca="false">IF(ISNUMBER(C255),C255*CTL_PriceLife*CTL_Monetize,C255)</f>
        <v>4.16601653965016</v>
      </c>
      <c r="D256" s="219" t="n">
        <f aca="false">IF(ISNUMBER(D255),D255*CTL_PriceLife*CTL_Monetize,D255)</f>
        <v>4.16601653965016</v>
      </c>
      <c r="E256" s="219" t="n">
        <f aca="false">IF(ISNUMBER(E255),E255*CTL_PriceLife*CTL_Monetize,E255)</f>
        <v>4.16601653965016</v>
      </c>
      <c r="F256" s="219" t="n">
        <f aca="false">IF(ISNUMBER(F255),F255*CTL_PriceLife*CTL_Monetize,F255)</f>
        <v>19.2981660478861</v>
      </c>
      <c r="G256" s="219" t="n">
        <f aca="false">IF(ISNUMBER(G255),G255*CTL_PriceLife*CTL_Monetize,G255)</f>
        <v>19.2981660478861</v>
      </c>
      <c r="H256" s="219" t="n">
        <f aca="false">IF(ISNUMBER(H255),H255*CTL_PriceLife*CTL_Monetize,H255)</f>
        <v>19.2981660478861</v>
      </c>
      <c r="I256" s="219" t="n">
        <f aca="false">IF(ISNUMBER(I255),I255*CTL_PriceLife*CTL_Monetize,I255)</f>
        <v>28.0957372251188</v>
      </c>
      <c r="J256" s="219" t="n">
        <f aca="false">IF(ISNUMBER(J255),J255*CTL_PriceLife*CTL_Monetize,J255)</f>
        <v>28.0957372251188</v>
      </c>
      <c r="K256" s="219" t="n">
        <f aca="false">IF(ISNUMBER(K255),K255*CTL_PriceLife*CTL_Monetize,K255)</f>
        <v>28.0957372251188</v>
      </c>
      <c r="L256" s="219" t="n">
        <f aca="false">IF(ISNUMBER(L255),L255*CTL_PriceLife*CTL_Monetize,L255)</f>
        <v>40.6269205958863</v>
      </c>
      <c r="M256" s="219" t="n">
        <f aca="false">IF(ISNUMBER(M255),M255*CTL_PriceLife*CTL_Monetize,M255)</f>
        <v>40.6269205958863</v>
      </c>
      <c r="N256" s="219" t="n">
        <f aca="false">IF(ISNUMBER(N255),N255*CTL_PriceLife*CTL_Monetize,N255)</f>
        <v>40.6269205958863</v>
      </c>
      <c r="O256" s="219" t="n">
        <f aca="false">IF(ISNUMBER(O255),O255*CTL_PriceLife*CTL_Monetize,O255)</f>
        <v>54.7307309163427</v>
      </c>
      <c r="P256" s="219" t="n">
        <f aca="false">IF(ISNUMBER(P255),P255*CTL_PriceLife*CTL_Monetize,P255)</f>
        <v>54.7307309163427</v>
      </c>
      <c r="Q256" s="219" t="n">
        <f aca="false">IF(ISNUMBER(Q255),Q255*CTL_PriceLife*CTL_Monetize,Q255)</f>
        <v>54.7307309163427</v>
      </c>
      <c r="R25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3746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3798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3792</v>
      </c>
    </row>
    <row r="258" customFormat="false" ht="15" hidden="false" customHeight="true" outlineLevel="0" collapsed="false">
      <c r="A258" s="44" t="s">
        <v>3799</v>
      </c>
      <c r="B258" s="30" t="s">
        <v>2262</v>
      </c>
      <c r="C258" s="219" t="n">
        <f aca="false">IF(ISNUMBER(C120),C120/IF_Util,C120)</f>
        <v>54.0550477473896</v>
      </c>
      <c r="D258" s="219" t="n">
        <f aca="false">IF(ISNUMBER(D120),D120/IF_Util,D120)</f>
        <v>54.0550477473896</v>
      </c>
      <c r="E258" s="219" t="n">
        <f aca="false">IF(ISNUMBER(E120),E120/IF_Util,E120)</f>
        <v>54.0550477473896</v>
      </c>
      <c r="F258" s="219" t="n">
        <f aca="false">IF(ISNUMBER(F120),F120/IF_Util,F120)</f>
        <v>234.391419310805</v>
      </c>
      <c r="G258" s="219" t="n">
        <f aca="false">IF(ISNUMBER(G120),G120/IF_Util,G120)</f>
        <v>234.391419310805</v>
      </c>
      <c r="H258" s="219" t="n">
        <f aca="false">IF(ISNUMBER(H120),H120/IF_Util,H120)</f>
        <v>234.391419310805</v>
      </c>
      <c r="I258" s="219" t="n">
        <f aca="false">IF(ISNUMBER(I120),I120/IF_Util,I120)</f>
        <v>341.244847227353</v>
      </c>
      <c r="J258" s="219" t="n">
        <f aca="false">IF(ISNUMBER(J120),J120/IF_Util,J120)</f>
        <v>341.244847227353</v>
      </c>
      <c r="K258" s="219" t="n">
        <f aca="false">IF(ISNUMBER(K120),K120/IF_Util,K120)</f>
        <v>341.244847227353</v>
      </c>
      <c r="L258" s="219" t="n">
        <f aca="false">IF(ISNUMBER(L120),L120/IF_Util,L120)</f>
        <v>512.644173561644</v>
      </c>
      <c r="M258" s="219" t="n">
        <f aca="false">IF(ISNUMBER(M120),M120/IF_Util,M120)</f>
        <v>512.644173561644</v>
      </c>
      <c r="N258" s="219" t="n">
        <f aca="false">IF(ISNUMBER(N120),N120/IF_Util,N120)</f>
        <v>512.644173561644</v>
      </c>
      <c r="O258" s="219" t="n">
        <f aca="false">IF(ISNUMBER(O120),O120/IF_Util,O120)</f>
        <v>698.097656186124</v>
      </c>
      <c r="P258" s="219" t="n">
        <f aca="false">IF(ISNUMBER(P120),P120/IF_Util,P120)</f>
        <v>698.097656186124</v>
      </c>
      <c r="Q258" s="219" t="n">
        <f aca="false">IF(ISNUMBER(Q120),Q120/IF_Util,Q120)</f>
        <v>698.097656186124</v>
      </c>
      <c r="R25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3523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3615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3800</v>
      </c>
      <c r="B259" s="30" t="s">
        <v>2262</v>
      </c>
      <c r="C259" s="219" t="n">
        <f aca="false">C120</f>
        <v>32.4330286484338</v>
      </c>
      <c r="D259" s="219" t="n">
        <f aca="false">D120</f>
        <v>32.4330286484338</v>
      </c>
      <c r="E259" s="219" t="n">
        <f aca="false">E120</f>
        <v>32.4330286484338</v>
      </c>
      <c r="F259" s="219" t="n">
        <f aca="false">F120</f>
        <v>140.634851586483</v>
      </c>
      <c r="G259" s="219" t="n">
        <f aca="false">G120</f>
        <v>140.634851586483</v>
      </c>
      <c r="H259" s="219" t="n">
        <f aca="false">H120</f>
        <v>140.634851586483</v>
      </c>
      <c r="I259" s="219" t="n">
        <f aca="false">I120</f>
        <v>204.746908336412</v>
      </c>
      <c r="J259" s="219" t="n">
        <f aca="false">J120</f>
        <v>204.746908336412</v>
      </c>
      <c r="K259" s="219" t="n">
        <f aca="false">K120</f>
        <v>204.746908336412</v>
      </c>
      <c r="L259" s="219" t="n">
        <f aca="false">L120</f>
        <v>307.586504136986</v>
      </c>
      <c r="M259" s="219" t="n">
        <f aca="false">M120</f>
        <v>307.586504136986</v>
      </c>
      <c r="N259" s="219" t="n">
        <f aca="false">N120</f>
        <v>307.586504136986</v>
      </c>
      <c r="O259" s="219" t="n">
        <f aca="false">O120</f>
        <v>418.858593711675</v>
      </c>
      <c r="P259" s="219" t="n">
        <f aca="false">P120</f>
        <v>418.858593711675</v>
      </c>
      <c r="Q259" s="219" t="n">
        <f aca="false">Q120</f>
        <v>418.858593711675</v>
      </c>
      <c r="R25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3548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3615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3801</v>
      </c>
      <c r="B260" s="30" t="s">
        <v>2262</v>
      </c>
      <c r="C260" s="198" t="n">
        <f aca="false">IF(ISNUMBER(Theory_Rev_Prod!C28),Theory_Rev_Prod!C28*INDEX(B4_FrontRef,1,2)/1000000000,Theory_Rev_Prod!C28)</f>
        <v>25.8351210172714</v>
      </c>
      <c r="D260" s="198" t="n">
        <f aca="false">IF(ISNUMBER(Theory_Rev_Prod!D28),Theory_Rev_Prod!D28*INDEX(B4_FrontRef,1,2)/1000000000,Theory_Rev_Prod!D28)</f>
        <v>25.8351210172714</v>
      </c>
      <c r="E260" s="198" t="n">
        <f aca="false">IF(ISNUMBER(Theory_Rev_Prod!E28),Theory_Rev_Prod!E28*INDEX(B4_FrontRef,1,2)/1000000000,Theory_Rev_Prod!E28)</f>
        <v>25.8351210172714</v>
      </c>
      <c r="F260" s="198" t="n">
        <f aca="false">IF(ISNUMBER(Theory_Rev_Prod!F28),Theory_Rev_Prod!F28*INDEX(B4_FrontRef,1,2)/1000000000,Theory_Rev_Prod!F28)</f>
        <v>115.189801090007</v>
      </c>
      <c r="G260" s="198" t="n">
        <f aca="false">IF(ISNUMBER(Theory_Rev_Prod!G28),Theory_Rev_Prod!G28*INDEX(B4_FrontRef,1,2)/1000000000,Theory_Rev_Prod!G28)</f>
        <v>115.189801090007</v>
      </c>
      <c r="H260" s="198" t="n">
        <f aca="false">IF(ISNUMBER(Theory_Rev_Prod!H28),Theory_Rev_Prod!H28*INDEX(B4_FrontRef,1,2)/1000000000,Theory_Rev_Prod!H28)</f>
        <v>115.189801090007</v>
      </c>
      <c r="I260" s="198" t="n">
        <f aca="false">IF(ISNUMBER(Theory_Rev_Prod!I28),Theory_Rev_Prod!I28*INDEX(B4_FrontRef,1,2)/1000000000,Theory_Rev_Prod!I28)</f>
        <v>167.702069430222</v>
      </c>
      <c r="J260" s="198" t="n">
        <f aca="false">IF(ISNUMBER(Theory_Rev_Prod!J28),Theory_Rev_Prod!J28*INDEX(B4_FrontRef,1,2)/1000000000,Theory_Rev_Prod!J28)</f>
        <v>167.702069430222</v>
      </c>
      <c r="K260" s="198" t="n">
        <f aca="false">IF(ISNUMBER(Theory_Rev_Prod!K28),Theory_Rev_Prod!K28*INDEX(B4_FrontRef,1,2)/1000000000,Theory_Rev_Prod!K28)</f>
        <v>167.702069430222</v>
      </c>
      <c r="L260" s="198" t="n">
        <f aca="false">IF(ISNUMBER(Theory_Rev_Prod!L28),Theory_Rev_Prod!L28*INDEX(B4_FrontRef,1,2)/1000000000,Theory_Rev_Prod!L28)</f>
        <v>252.853670235275</v>
      </c>
      <c r="M260" s="198" t="n">
        <f aca="false">IF(ISNUMBER(Theory_Rev_Prod!M28),Theory_Rev_Prod!M28*INDEX(B4_FrontRef,1,2)/1000000000,Theory_Rev_Prod!M28)</f>
        <v>252.853670235275</v>
      </c>
      <c r="N260" s="198" t="n">
        <f aca="false">IF(ISNUMBER(Theory_Rev_Prod!N28),Theory_Rev_Prod!N28*INDEX(B4_FrontRef,1,2)/1000000000,Theory_Rev_Prod!N28)</f>
        <v>252.853670235275</v>
      </c>
      <c r="O260" s="198" t="n">
        <f aca="false">IF(ISNUMBER(Theory_Rev_Prod!O28),Theory_Rev_Prod!O28*INDEX(B4_FrontRef,1,2)/1000000000,Theory_Rev_Prod!O28)</f>
        <v>344.651879941955</v>
      </c>
      <c r="P260" s="198" t="n">
        <f aca="false">IF(ISNUMBER(Theory_Rev_Prod!P28),Theory_Rev_Prod!P28*INDEX(B4_FrontRef,1,2)/1000000000,Theory_Rev_Prod!P28)</f>
        <v>344.651879941955</v>
      </c>
      <c r="Q260" s="198" t="n">
        <f aca="false">IF(ISNUMBER(Theory_Rev_Prod!Q28),Theory_Rev_Prod!Q28*INDEX(B4_FrontRef,1,2)/1000000000,Theory_Rev_Prod!Q28)</f>
        <v>344.651879941955</v>
      </c>
      <c r="R26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3734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3796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3802</v>
      </c>
      <c r="B261" s="30" t="s">
        <v>2262</v>
      </c>
      <c r="C261" s="219" t="n">
        <f aca="false">IF(ISNUMBER(C260),C260*CTL_PriceLife*CTL_Monetize,C260)</f>
        <v>25.8351210172714</v>
      </c>
      <c r="D261" s="219" t="n">
        <f aca="false">IF(ISNUMBER(D260),D260*CTL_PriceLife*CTL_Monetize,D260)</f>
        <v>25.8351210172714</v>
      </c>
      <c r="E261" s="219" t="n">
        <f aca="false">IF(ISNUMBER(E260),E260*CTL_PriceLife*CTL_Monetize,E260)</f>
        <v>25.8351210172714</v>
      </c>
      <c r="F261" s="219" t="n">
        <f aca="false">IF(ISNUMBER(F260),F260*CTL_PriceLife*CTL_Monetize,F260)</f>
        <v>115.189801090007</v>
      </c>
      <c r="G261" s="219" t="n">
        <f aca="false">IF(ISNUMBER(G260),G260*CTL_PriceLife*CTL_Monetize,G260)</f>
        <v>115.189801090007</v>
      </c>
      <c r="H261" s="219" t="n">
        <f aca="false">IF(ISNUMBER(H260),H260*CTL_PriceLife*CTL_Monetize,H260)</f>
        <v>115.189801090007</v>
      </c>
      <c r="I261" s="219" t="n">
        <f aca="false">IF(ISNUMBER(I260),I260*CTL_PriceLife*CTL_Monetize,I260)</f>
        <v>167.702069430222</v>
      </c>
      <c r="J261" s="219" t="n">
        <f aca="false">IF(ISNUMBER(J260),J260*CTL_PriceLife*CTL_Monetize,J260)</f>
        <v>167.702069430222</v>
      </c>
      <c r="K261" s="219" t="n">
        <f aca="false">IF(ISNUMBER(K260),K260*CTL_PriceLife*CTL_Monetize,K260)</f>
        <v>167.702069430222</v>
      </c>
      <c r="L261" s="219" t="n">
        <f aca="false">IF(ISNUMBER(L260),L260*CTL_PriceLife*CTL_Monetize,L260)</f>
        <v>252.853670235275</v>
      </c>
      <c r="M261" s="219" t="n">
        <f aca="false">IF(ISNUMBER(M260),M260*CTL_PriceLife*CTL_Monetize,M260)</f>
        <v>252.853670235275</v>
      </c>
      <c r="N261" s="219" t="n">
        <f aca="false">IF(ISNUMBER(N260),N260*CTL_PriceLife*CTL_Monetize,N260)</f>
        <v>252.853670235275</v>
      </c>
      <c r="O261" s="219" t="n">
        <f aca="false">IF(ISNUMBER(O260),O260*CTL_PriceLife*CTL_Monetize,O260)</f>
        <v>344.651879941955</v>
      </c>
      <c r="P261" s="219" t="n">
        <f aca="false">IF(ISNUMBER(P260),P260*CTL_PriceLife*CTL_Monetize,P260)</f>
        <v>344.651879941955</v>
      </c>
      <c r="Q261" s="219" t="n">
        <f aca="false">IF(ISNUMBER(Q260),Q260*CTL_PriceLife*CTL_Monetize,Q260)</f>
        <v>344.651879941955</v>
      </c>
      <c r="R26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3746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3798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3792</v>
      </c>
    </row>
    <row r="263" customFormat="false" ht="15" hidden="false" customHeight="true" outlineLevel="0" collapsed="false">
      <c r="A263" s="44" t="s">
        <v>3803</v>
      </c>
      <c r="B263" s="30" t="s">
        <v>2262</v>
      </c>
      <c r="C263" s="219" t="n">
        <f aca="false">IF(ISNUMBER(C138),C138/IF_Util,C138)</f>
        <v>52.7169901326123</v>
      </c>
      <c r="D263" s="219" t="n">
        <f aca="false">IF(ISNUMBER(D138),D138/IF_Util,D138)</f>
        <v>52.7169901326123</v>
      </c>
      <c r="E263" s="219" t="n">
        <f aca="false">IF(ISNUMBER(E138),E138/IF_Util,E138)</f>
        <v>52.7169901326123</v>
      </c>
      <c r="F263" s="219" t="n">
        <f aca="false">IF(ISNUMBER(F138),F138/IF_Util,F138)</f>
        <v>230.468634869062</v>
      </c>
      <c r="G263" s="219" t="n">
        <f aca="false">IF(ISNUMBER(G138),G138/IF_Util,G138)</f>
        <v>230.468634869062</v>
      </c>
      <c r="H263" s="219" t="n">
        <f aca="false">IF(ISNUMBER(H138),H138/IF_Util,H138)</f>
        <v>230.468634869062</v>
      </c>
      <c r="I263" s="219" t="n">
        <f aca="false">IF(ISNUMBER(I138),I138/IF_Util,I138)</f>
        <v>303.942829456592</v>
      </c>
      <c r="J263" s="219" t="n">
        <f aca="false">IF(ISNUMBER(J138),J138/IF_Util,J138)</f>
        <v>303.942829456592</v>
      </c>
      <c r="K263" s="219" t="n">
        <f aca="false">IF(ISNUMBER(K138),K138/IF_Util,K138)</f>
        <v>303.942829456592</v>
      </c>
      <c r="L263" s="219" t="n">
        <f aca="false">IF(ISNUMBER(L138),L138/IF_Util,L138)</f>
        <v>539.053721144919</v>
      </c>
      <c r="M263" s="219" t="n">
        <f aca="false">IF(ISNUMBER(M138),M138/IF_Util,M138)</f>
        <v>539.053721144919</v>
      </c>
      <c r="N263" s="219" t="n">
        <f aca="false">IF(ISNUMBER(N138),N138/IF_Util,N138)</f>
        <v>539.053721144919</v>
      </c>
      <c r="O263" s="219" t="n">
        <f aca="false">IF(ISNUMBER(O138),O138/IF_Util,O138)</f>
        <v>762.775868473669</v>
      </c>
      <c r="P263" s="219" t="n">
        <f aca="false">IF(ISNUMBER(P138),P138/IF_Util,P138)</f>
        <v>762.775868473669</v>
      </c>
      <c r="Q263" s="219" t="n">
        <f aca="false">IF(ISNUMBER(Q138),Q138/IF_Util,Q138)</f>
        <v>762.775868473669</v>
      </c>
      <c r="R263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3523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3615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3804</v>
      </c>
      <c r="B264" s="30" t="s">
        <v>2262</v>
      </c>
      <c r="C264" s="219" t="n">
        <f aca="false">C138</f>
        <v>31.6301940795674</v>
      </c>
      <c r="D264" s="219" t="n">
        <f aca="false">D138</f>
        <v>31.6301940795674</v>
      </c>
      <c r="E264" s="219" t="n">
        <f aca="false">E138</f>
        <v>31.6301940795674</v>
      </c>
      <c r="F264" s="219" t="n">
        <f aca="false">F138</f>
        <v>138.281180921437</v>
      </c>
      <c r="G264" s="219" t="n">
        <f aca="false">G138</f>
        <v>138.281180921437</v>
      </c>
      <c r="H264" s="219" t="n">
        <f aca="false">H138</f>
        <v>138.281180921437</v>
      </c>
      <c r="I264" s="219" t="n">
        <f aca="false">I138</f>
        <v>182.365697673955</v>
      </c>
      <c r="J264" s="219" t="n">
        <f aca="false">J138</f>
        <v>182.365697673955</v>
      </c>
      <c r="K264" s="219" t="n">
        <f aca="false">K138</f>
        <v>182.365697673955</v>
      </c>
      <c r="L264" s="219" t="n">
        <f aca="false">L138</f>
        <v>323.432232686951</v>
      </c>
      <c r="M264" s="219" t="n">
        <f aca="false">M138</f>
        <v>323.432232686951</v>
      </c>
      <c r="N264" s="219" t="n">
        <f aca="false">N138</f>
        <v>323.432232686951</v>
      </c>
      <c r="O264" s="219" t="n">
        <f aca="false">O138</f>
        <v>457.665521084201</v>
      </c>
      <c r="P264" s="219" t="n">
        <f aca="false">P138</f>
        <v>457.665521084201</v>
      </c>
      <c r="Q264" s="219" t="n">
        <f aca="false">Q138</f>
        <v>457.665521084201</v>
      </c>
      <c r="R26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3548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3615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3805</v>
      </c>
      <c r="B265" s="30" t="s">
        <v>2262</v>
      </c>
      <c r="C265" s="198" t="n">
        <f aca="false">IF(ISNUMBER(Theory_Rev_Prod!C46),Theory_Rev_Prod!C46*INDEX(B4_FrontRef,1,3)/1000000000,Theory_Rev_Prod!C46)</f>
        <v>22.8651189867913</v>
      </c>
      <c r="D265" s="198" t="n">
        <f aca="false">IF(ISNUMBER(Theory_Rev_Prod!D46),Theory_Rev_Prod!D46*INDEX(B4_FrontRef,1,3)/1000000000,Theory_Rev_Prod!D46)</f>
        <v>22.8651189867913</v>
      </c>
      <c r="E265" s="198" t="n">
        <f aca="false">IF(ISNUMBER(Theory_Rev_Prod!E46),Theory_Rev_Prod!E46*INDEX(B4_FrontRef,1,3)/1000000000,Theory_Rev_Prod!E46)</f>
        <v>22.8651189867913</v>
      </c>
      <c r="F265" s="198" t="n">
        <f aca="false">IF(ISNUMBER(Theory_Rev_Prod!F46),Theory_Rev_Prod!F46*INDEX(B4_FrontRef,1,3)/1000000000,Theory_Rev_Prod!F46)</f>
        <v>108.49583183607</v>
      </c>
      <c r="G265" s="198" t="n">
        <f aca="false">IF(ISNUMBER(Theory_Rev_Prod!G46),Theory_Rev_Prod!G46*INDEX(B4_FrontRef,1,3)/1000000000,Theory_Rev_Prod!G46)</f>
        <v>108.49583183607</v>
      </c>
      <c r="H265" s="198" t="n">
        <f aca="false">IF(ISNUMBER(Theory_Rev_Prod!H46),Theory_Rev_Prod!H46*INDEX(B4_FrontRef,1,3)/1000000000,Theory_Rev_Prod!H46)</f>
        <v>108.49583183607</v>
      </c>
      <c r="I265" s="198" t="n">
        <f aca="false">IF(ISNUMBER(Theory_Rev_Prod!I46),Theory_Rev_Prod!I46*INDEX(B4_FrontRef,1,3)/1000000000,Theory_Rev_Prod!I46)</f>
        <v>141.533830385461</v>
      </c>
      <c r="J265" s="198" t="n">
        <f aca="false">IF(ISNUMBER(Theory_Rev_Prod!J46),Theory_Rev_Prod!J46*INDEX(B4_FrontRef,1,3)/1000000000,Theory_Rev_Prod!J46)</f>
        <v>141.533830385461</v>
      </c>
      <c r="K265" s="198" t="n">
        <f aca="false">IF(ISNUMBER(Theory_Rev_Prod!K46),Theory_Rev_Prod!K46*INDEX(B4_FrontRef,1,3)/1000000000,Theory_Rev_Prod!K46)</f>
        <v>141.533830385461</v>
      </c>
      <c r="L265" s="198" t="n">
        <f aca="false">IF(ISNUMBER(Theory_Rev_Prod!L46),Theory_Rev_Prod!L46*INDEX(B4_FrontRef,1,3)/1000000000,Theory_Rev_Prod!L46)</f>
        <v>257.194104569756</v>
      </c>
      <c r="M265" s="198" t="n">
        <f aca="false">IF(ISNUMBER(Theory_Rev_Prod!M46),Theory_Rev_Prod!M46*INDEX(B4_FrontRef,1,3)/1000000000,Theory_Rev_Prod!M46)</f>
        <v>257.194104569756</v>
      </c>
      <c r="N265" s="198" t="n">
        <f aca="false">IF(ISNUMBER(Theory_Rev_Prod!N46),Theory_Rev_Prod!N46*INDEX(B4_FrontRef,1,3)/1000000000,Theory_Rev_Prod!N46)</f>
        <v>257.194104569756</v>
      </c>
      <c r="O265" s="198" t="n">
        <f aca="false">IF(ISNUMBER(Theory_Rev_Prod!O46),Theory_Rev_Prod!O46*INDEX(B4_FrontRef,1,3)/1000000000,Theory_Rev_Prod!O46)</f>
        <v>365.764598293256</v>
      </c>
      <c r="P265" s="198" t="n">
        <f aca="false">IF(ISNUMBER(Theory_Rev_Prod!P46),Theory_Rev_Prod!P46*INDEX(B4_FrontRef,1,3)/1000000000,Theory_Rev_Prod!P46)</f>
        <v>365.764598293256</v>
      </c>
      <c r="Q265" s="198" t="n">
        <f aca="false">IF(ISNUMBER(Theory_Rev_Prod!Q46),Theory_Rev_Prod!Q46*INDEX(B4_FrontRef,1,3)/1000000000,Theory_Rev_Prod!Q46)</f>
        <v>365.764598293256</v>
      </c>
      <c r="R26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3734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3796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3806</v>
      </c>
      <c r="B266" s="30" t="s">
        <v>2262</v>
      </c>
      <c r="C266" s="219" t="n">
        <f aca="false">IF(ISNUMBER(C265),C265*CTL_PriceLife*CTL_Monetize,C265)</f>
        <v>22.8651189867913</v>
      </c>
      <c r="D266" s="219" t="n">
        <f aca="false">IF(ISNUMBER(D265),D265*CTL_PriceLife*CTL_Monetize,D265)</f>
        <v>22.8651189867913</v>
      </c>
      <c r="E266" s="219" t="n">
        <f aca="false">IF(ISNUMBER(E265),E265*CTL_PriceLife*CTL_Monetize,E265)</f>
        <v>22.8651189867913</v>
      </c>
      <c r="F266" s="219" t="n">
        <f aca="false">IF(ISNUMBER(F265),F265*CTL_PriceLife*CTL_Monetize,F265)</f>
        <v>108.49583183607</v>
      </c>
      <c r="G266" s="219" t="n">
        <f aca="false">IF(ISNUMBER(G265),G265*CTL_PriceLife*CTL_Monetize,G265)</f>
        <v>108.49583183607</v>
      </c>
      <c r="H266" s="219" t="n">
        <f aca="false">IF(ISNUMBER(H265),H265*CTL_PriceLife*CTL_Monetize,H265)</f>
        <v>108.49583183607</v>
      </c>
      <c r="I266" s="219" t="n">
        <f aca="false">IF(ISNUMBER(I265),I265*CTL_PriceLife*CTL_Monetize,I265)</f>
        <v>141.533830385461</v>
      </c>
      <c r="J266" s="219" t="n">
        <f aca="false">IF(ISNUMBER(J265),J265*CTL_PriceLife*CTL_Monetize,J265)</f>
        <v>141.533830385461</v>
      </c>
      <c r="K266" s="219" t="n">
        <f aca="false">IF(ISNUMBER(K265),K265*CTL_PriceLife*CTL_Monetize,K265)</f>
        <v>141.533830385461</v>
      </c>
      <c r="L266" s="219" t="n">
        <f aca="false">IF(ISNUMBER(L265),L265*CTL_PriceLife*CTL_Monetize,L265)</f>
        <v>257.194104569756</v>
      </c>
      <c r="M266" s="219" t="n">
        <f aca="false">IF(ISNUMBER(M265),M265*CTL_PriceLife*CTL_Monetize,M265)</f>
        <v>257.194104569756</v>
      </c>
      <c r="N266" s="219" t="n">
        <f aca="false">IF(ISNUMBER(N265),N265*CTL_PriceLife*CTL_Monetize,N265)</f>
        <v>257.194104569756</v>
      </c>
      <c r="O266" s="219" t="n">
        <f aca="false">IF(ISNUMBER(O265),O265*CTL_PriceLife*CTL_Monetize,O265)</f>
        <v>365.764598293256</v>
      </c>
      <c r="P266" s="219" t="n">
        <f aca="false">IF(ISNUMBER(P265),P265*CTL_PriceLife*CTL_Monetize,P265)</f>
        <v>365.764598293256</v>
      </c>
      <c r="Q266" s="219" t="n">
        <f aca="false">IF(ISNUMBER(Q265),Q265*CTL_PriceLife*CTL_Monetize,Q265)</f>
        <v>365.764598293256</v>
      </c>
      <c r="R26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3746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3798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3807</v>
      </c>
    </row>
    <row r="268" customFormat="false" ht="15" hidden="false" customHeight="true" outlineLevel="0" collapsed="false">
      <c r="A268" s="44" t="s">
        <v>3808</v>
      </c>
      <c r="B268" s="30" t="s">
        <v>2262</v>
      </c>
      <c r="C268" s="219" t="n">
        <f aca="false">IF(ISNUMBER(C147),C147/IF_Util,C147)</f>
        <v>10.8884408204589</v>
      </c>
      <c r="D268" s="219" t="n">
        <f aca="false">IF(ISNUMBER(D147),D147/IF_Util,D147)</f>
        <v>10.8884408204589</v>
      </c>
      <c r="E268" s="219" t="n">
        <f aca="false">IF(ISNUMBER(E147),E147/IF_Util,E147)</f>
        <v>10.8884408204589</v>
      </c>
      <c r="F268" s="219" t="n">
        <f aca="false">IF(ISNUMBER(F147),F147/IF_Util,F147)</f>
        <v>47.5213435302896</v>
      </c>
      <c r="G268" s="219" t="n">
        <f aca="false">IF(ISNUMBER(G147),G147/IF_Util,G147)</f>
        <v>47.5213435302896</v>
      </c>
      <c r="H268" s="219" t="n">
        <f aca="false">IF(ISNUMBER(H147),H147/IF_Util,H147)</f>
        <v>47.5213435302896</v>
      </c>
      <c r="I268" s="219" t="n">
        <f aca="false">IF(ISNUMBER(I147),I147/IF_Util,I147)</f>
        <v>65.3521900051274</v>
      </c>
      <c r="J268" s="219" t="n">
        <f aca="false">IF(ISNUMBER(J147),J147/IF_Util,J147)</f>
        <v>65.3521900051274</v>
      </c>
      <c r="K268" s="219" t="n">
        <f aca="false">IF(ISNUMBER(K147),K147/IF_Util,K147)</f>
        <v>65.3521900051274</v>
      </c>
      <c r="L268" s="219" t="n">
        <f aca="false">IF(ISNUMBER(L147),L147/IF_Util,L147)</f>
        <v>107.470917939647</v>
      </c>
      <c r="M268" s="219" t="n">
        <f aca="false">IF(ISNUMBER(M147),M147/IF_Util,M147)</f>
        <v>107.470917939647</v>
      </c>
      <c r="N268" s="219" t="n">
        <f aca="false">IF(ISNUMBER(N147),N147/IF_Util,N147)</f>
        <v>107.470917939647</v>
      </c>
      <c r="O268" s="219" t="n">
        <f aca="false">IF(ISNUMBER(O147),O147/IF_Util,O147)</f>
        <v>149.248989999897</v>
      </c>
      <c r="P268" s="219" t="n">
        <f aca="false">IF(ISNUMBER(P147),P147/IF_Util,P147)</f>
        <v>149.248989999897</v>
      </c>
      <c r="Q268" s="219" t="n">
        <f aca="false">IF(ISNUMBER(Q147),Q147/IF_Util,Q147)</f>
        <v>149.248989999897</v>
      </c>
      <c r="R26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3523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3658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3809</v>
      </c>
      <c r="B269" s="30" t="s">
        <v>2262</v>
      </c>
      <c r="C269" s="219" t="n">
        <f aca="false">C147</f>
        <v>6.53306449227533</v>
      </c>
      <c r="D269" s="219" t="n">
        <f aca="false">D147</f>
        <v>6.53306449227533</v>
      </c>
      <c r="E269" s="219" t="n">
        <f aca="false">E147</f>
        <v>6.53306449227533</v>
      </c>
      <c r="F269" s="219" t="n">
        <f aca="false">F147</f>
        <v>28.5128061181738</v>
      </c>
      <c r="G269" s="219" t="n">
        <f aca="false">G147</f>
        <v>28.5128061181738</v>
      </c>
      <c r="H269" s="219" t="n">
        <f aca="false">H147</f>
        <v>28.5128061181738</v>
      </c>
      <c r="I269" s="219" t="n">
        <f aca="false">I147</f>
        <v>39.2113140030764</v>
      </c>
      <c r="J269" s="219" t="n">
        <f aca="false">J147</f>
        <v>39.2113140030764</v>
      </c>
      <c r="K269" s="219" t="n">
        <f aca="false">K147</f>
        <v>39.2113140030764</v>
      </c>
      <c r="L269" s="219" t="n">
        <f aca="false">L147</f>
        <v>64.4825507637884</v>
      </c>
      <c r="M269" s="219" t="n">
        <f aca="false">M147</f>
        <v>64.4825507637884</v>
      </c>
      <c r="N269" s="219" t="n">
        <f aca="false">N147</f>
        <v>64.4825507637884</v>
      </c>
      <c r="O269" s="219" t="n">
        <f aca="false">O147</f>
        <v>89.5493939999384</v>
      </c>
      <c r="P269" s="219" t="n">
        <f aca="false">P147</f>
        <v>89.5493939999384</v>
      </c>
      <c r="Q269" s="219" t="n">
        <f aca="false">Q147</f>
        <v>89.5493939999384</v>
      </c>
      <c r="R26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3548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3658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3810</v>
      </c>
      <c r="B270" s="30" t="s">
        <v>2262</v>
      </c>
      <c r="C270" s="198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8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8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8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8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8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8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8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8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8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8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8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8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8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8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3734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3811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3812</v>
      </c>
      <c r="B271" s="30" t="s">
        <v>2262</v>
      </c>
      <c r="C271" s="219" t="n">
        <f aca="false">IF(ISNUMBER(C270),C270*CTL_PriceLife*CTL_Monetize,C270)</f>
        <v>4.90586841123778</v>
      </c>
      <c r="D271" s="219" t="n">
        <f aca="false">IF(ISNUMBER(D270),D270*CTL_PriceLife*CTL_Monetize,D270)</f>
        <v>4.90586841123778</v>
      </c>
      <c r="E271" s="219" t="n">
        <f aca="false">IF(ISNUMBER(E270),E270*CTL_PriceLife*CTL_Monetize,E270)</f>
        <v>4.90586841123778</v>
      </c>
      <c r="F271" s="219" t="n">
        <f aca="false">IF(ISNUMBER(F270),F270*CTL_PriceLife*CTL_Monetize,F270)</f>
        <v>22.7560968924507</v>
      </c>
      <c r="G271" s="219" t="n">
        <f aca="false">IF(ISNUMBER(G270),G270*CTL_PriceLife*CTL_Monetize,G270)</f>
        <v>22.7560968924507</v>
      </c>
      <c r="H271" s="219" t="n">
        <f aca="false">IF(ISNUMBER(H270),H270*CTL_PriceLife*CTL_Monetize,H270)</f>
        <v>22.7560968924507</v>
      </c>
      <c r="I271" s="219" t="n">
        <f aca="false">IF(ISNUMBER(I270),I270*CTL_PriceLife*CTL_Monetize,I270)</f>
        <v>31.0612609031746</v>
      </c>
      <c r="J271" s="219" t="n">
        <f aca="false">IF(ISNUMBER(J270),J270*CTL_PriceLife*CTL_Monetize,J270)</f>
        <v>31.0612609031746</v>
      </c>
      <c r="K271" s="219" t="n">
        <f aca="false">IF(ISNUMBER(K270),K270*CTL_PriceLife*CTL_Monetize,K270)</f>
        <v>31.0612609031746</v>
      </c>
      <c r="L271" s="219" t="n">
        <f aca="false">IF(ISNUMBER(L270),L270*CTL_PriceLife*CTL_Monetize,L270)</f>
        <v>51.9612251850674</v>
      </c>
      <c r="M271" s="219" t="n">
        <f aca="false">IF(ISNUMBER(M270),M270*CTL_PriceLife*CTL_Monetize,M270)</f>
        <v>51.9612251850674</v>
      </c>
      <c r="N271" s="219" t="n">
        <f aca="false">IF(ISNUMBER(N270),N270*CTL_PriceLife*CTL_Monetize,N270)</f>
        <v>51.9612251850674</v>
      </c>
      <c r="O271" s="219" t="n">
        <f aca="false">IF(ISNUMBER(O270),O270*CTL_PriceLife*CTL_Monetize,O270)</f>
        <v>72.4062082070211</v>
      </c>
      <c r="P271" s="219" t="n">
        <f aca="false">IF(ISNUMBER(P270),P270*CTL_PriceLife*CTL_Monetize,P270)</f>
        <v>72.4062082070211</v>
      </c>
      <c r="Q271" s="219" t="n">
        <f aca="false">IF(ISNUMBER(Q270),Q270*CTL_PriceLife*CTL_Monetize,Q270)</f>
        <v>72.4062082070211</v>
      </c>
      <c r="R27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3746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3813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3814</v>
      </c>
    </row>
    <row r="273" customFormat="false" ht="15" hidden="false" customHeight="true" outlineLevel="0" collapsed="false">
      <c r="A273" s="44" t="s">
        <v>3815</v>
      </c>
      <c r="B273" s="30" t="s">
        <v>998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3523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3526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3816</v>
      </c>
      <c r="B274" s="30" t="s">
        <v>998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3548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3817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3818</v>
      </c>
      <c r="B275" s="30" t="s">
        <v>998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3734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3819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3820</v>
      </c>
      <c r="B276" s="30" t="s">
        <v>998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3746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3819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3814</v>
      </c>
    </row>
    <row r="278" customFormat="false" ht="15" hidden="false" customHeight="true" outlineLevel="0" collapsed="false">
      <c r="A278" s="44" t="s">
        <v>3821</v>
      </c>
      <c r="B278" s="30" t="s">
        <v>998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3523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3526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3822</v>
      </c>
      <c r="B279" s="30" t="s">
        <v>998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3548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3817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3823</v>
      </c>
      <c r="B280" s="30" t="s">
        <v>998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3734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3819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3824</v>
      </c>
      <c r="B281" s="30" t="s">
        <v>998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3746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3819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3814</v>
      </c>
    </row>
    <row r="283" customFormat="false" ht="15" hidden="false" customHeight="true" outlineLevel="0" collapsed="false">
      <c r="A283" s="44" t="s">
        <v>3825</v>
      </c>
      <c r="B283" s="30" t="s">
        <v>998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7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3523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3526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3826</v>
      </c>
      <c r="B284" s="30" t="s">
        <v>998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3548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3817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3827</v>
      </c>
      <c r="B285" s="30" t="s">
        <v>998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3734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3819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3828</v>
      </c>
      <c r="B286" s="30" t="s">
        <v>998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7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3746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3819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3829</v>
      </c>
    </row>
    <row r="289" customFormat="false" ht="15" hidden="false" customHeight="true" outlineLevel="0" collapsed="false">
      <c r="A289" s="45" t="s">
        <v>3830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3831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3832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3833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3834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3835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3836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3837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3838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3839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3840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3841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3842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3843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3844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3845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3846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3847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3848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3849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3850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3851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3852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3853</v>
      </c>
      <c r="B313" s="30" t="s">
        <v>2262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7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814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3854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3855</v>
      </c>
      <c r="B314" s="30" t="s">
        <v>2262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7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814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3854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3856</v>
      </c>
      <c r="B315" s="44" t="s">
        <v>167</v>
      </c>
      <c r="C315" s="33" t="n">
        <f aca="false">Inputs!E36</f>
        <v>3</v>
      </c>
      <c r="R315" s="187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814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3585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3857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3858</v>
      </c>
      <c r="B318" s="30" t="s">
        <v>121</v>
      </c>
      <c r="C318" s="216" t="n">
        <f aca="false">AL_ServeGW</f>
        <v>0.122917826491237</v>
      </c>
      <c r="R318" s="187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814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3859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3860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3861</v>
      </c>
      <c r="B321" s="30" t="s">
        <v>2262</v>
      </c>
      <c r="C321" s="219" t="n">
        <f aca="false">IF(ISNUMBER(C235),IF(AND(ISNUMBER(L1_LTotal),ISNUMBER(L1_MFleet)),C235*L1_LTotal*L1_MFleet,"L、m 非數字（本情境）"),C235)</f>
        <v>1.09036738485812</v>
      </c>
      <c r="D321" s="219" t="n">
        <f aca="false">IF(ISNUMBER(D235),IF(AND(ISNUMBER(L1_LTotal),ISNUMBER(L1_MFleet)),D235*L1_LTotal*L1_MFleet,"L、m 非數字（本情境）"),D235)</f>
        <v>1.09036738485812</v>
      </c>
      <c r="E321" s="219" t="n">
        <f aca="false">IF(ISNUMBER(E235),IF(AND(ISNUMBER(L1_LTotal),ISNUMBER(L1_MFleet)),E235*L1_LTotal*L1_MFleet,"L、m 非數字（本情境）"),E235)</f>
        <v>1.09036738485812</v>
      </c>
      <c r="F321" s="219" t="n">
        <f aca="false">IF(ISNUMBER(F235),IF(AND(ISNUMBER(L1_LTotal),ISNUMBER(L1_MFleet)),F235*L1_LTotal*L1_MFleet,"L、m 非數字（本情境）"),F235)</f>
        <v>5.0508898958808</v>
      </c>
      <c r="G321" s="219" t="n">
        <f aca="false">IF(ISNUMBER(G235),IF(AND(ISNUMBER(L1_LTotal),ISNUMBER(L1_MFleet)),G235*L1_LTotal*L1_MFleet,"L、m 非數字（本情境）"),G235)</f>
        <v>5.0508898958808</v>
      </c>
      <c r="H321" s="219" t="n">
        <f aca="false">IF(ISNUMBER(H235),IF(AND(ISNUMBER(L1_LTotal),ISNUMBER(L1_MFleet)),H235*L1_LTotal*L1_MFleet,"L、m 非數字（本情境）"),H235)</f>
        <v>5.0508898958808</v>
      </c>
      <c r="I321" s="219" t="n">
        <f aca="false">IF(ISNUMBER(I235),IF(AND(ISNUMBER(L1_LTotal),ISNUMBER(L1_MFleet)),I235*L1_LTotal*L1_MFleet,"L、m 非數字（本情境）"),I235)</f>
        <v>7.35346949111875</v>
      </c>
      <c r="J321" s="219" t="n">
        <f aca="false">IF(ISNUMBER(J235),IF(AND(ISNUMBER(L1_LTotal),ISNUMBER(L1_MFleet)),J235*L1_LTotal*L1_MFleet,"L、m 非數字（本情境）"),J235)</f>
        <v>7.35346949111875</v>
      </c>
      <c r="K321" s="219" t="n">
        <f aca="false">IF(ISNUMBER(K235),IF(AND(ISNUMBER(L1_LTotal),ISNUMBER(L1_MFleet)),K235*L1_LTotal*L1_MFleet,"L、m 非數字（本情境）"),K235)</f>
        <v>7.35346949111875</v>
      </c>
      <c r="L321" s="219" t="n">
        <f aca="false">IF(ISNUMBER(L235),IF(AND(ISNUMBER(L1_LTotal),ISNUMBER(L1_MFleet)),L235*L1_LTotal*L1_MFleet,"L、m 非數字（本情境）"),L235)</f>
        <v>10.6332437097561</v>
      </c>
      <c r="M321" s="219" t="n">
        <f aca="false">IF(ISNUMBER(M235),IF(AND(ISNUMBER(L1_LTotal),ISNUMBER(L1_MFleet)),M235*L1_LTotal*L1_MFleet,"L、m 非數字（本情境）"),M235)</f>
        <v>10.6332437097561</v>
      </c>
      <c r="N321" s="219" t="n">
        <f aca="false">IF(ISNUMBER(N235),IF(AND(ISNUMBER(L1_LTotal),ISNUMBER(L1_MFleet)),N235*L1_LTotal*L1_MFleet,"L、m 非數字（本情境）"),N235)</f>
        <v>10.6332437097561</v>
      </c>
      <c r="O321" s="219" t="n">
        <f aca="false">IF(ISNUMBER(O235),IF(AND(ISNUMBER(L1_LTotal),ISNUMBER(L1_MFleet)),O235*L1_LTotal*L1_MFleet,"L、m 非數字（本情境）"),O235)</f>
        <v>14.324620023145</v>
      </c>
      <c r="P321" s="219" t="n">
        <f aca="false">IF(ISNUMBER(P235),IF(AND(ISNUMBER(L1_LTotal),ISNUMBER(L1_MFleet)),P235*L1_LTotal*L1_MFleet,"L、m 非數字（本情境）"),P235)</f>
        <v>14.324620023145</v>
      </c>
      <c r="Q321" s="219" t="n">
        <f aca="false">IF(ISNUMBER(Q235),IF(AND(ISNUMBER(L1_LTotal),ISNUMBER(L1_MFleet)),Q235*L1_LTotal*L1_MFleet,"L、m 非數字（本情境）"),Q235)</f>
        <v>14.324620023145</v>
      </c>
      <c r="R321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3862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3863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3864</v>
      </c>
      <c r="B322" s="30" t="s">
        <v>2262</v>
      </c>
      <c r="C322" s="219" t="n">
        <f aca="false">IF(ISNUMBER(C240),IF(AND(ISNUMBER(L1_LTotal),ISNUMBER(L1_MFleet)),C240*L1_LTotal*L1_MFleet,"L、m 非數字（本情境）"),C240)</f>
        <v>6.76180064889054</v>
      </c>
      <c r="D322" s="219" t="n">
        <f aca="false">IF(ISNUMBER(D240),IF(AND(ISNUMBER(L1_LTotal),ISNUMBER(L1_MFleet)),D240*L1_LTotal*L1_MFleet,"L、m 非數字（本情境）"),D240)</f>
        <v>6.76180064889054</v>
      </c>
      <c r="E322" s="219" t="n">
        <f aca="false">IF(ISNUMBER(E240),IF(AND(ISNUMBER(L1_LTotal),ISNUMBER(L1_MFleet)),E240*L1_LTotal*L1_MFleet,"L、m 非數字（本情境）"),E240)</f>
        <v>6.76180064889054</v>
      </c>
      <c r="F322" s="219" t="n">
        <f aca="false">IF(ISNUMBER(F240),IF(AND(ISNUMBER(L1_LTotal),ISNUMBER(L1_MFleet)),F240*L1_LTotal*L1_MFleet,"L、m 非數字（本情境）"),F240)</f>
        <v>30.1485126094542</v>
      </c>
      <c r="G322" s="219" t="n">
        <f aca="false">IF(ISNUMBER(G240),IF(AND(ISNUMBER(L1_LTotal),ISNUMBER(L1_MFleet)),G240*L1_LTotal*L1_MFleet,"L、m 非數字（本情境）"),G240)</f>
        <v>30.1485126094542</v>
      </c>
      <c r="H322" s="219" t="n">
        <f aca="false">IF(ISNUMBER(H240),IF(AND(ISNUMBER(L1_LTotal),ISNUMBER(L1_MFleet)),H240*L1_LTotal*L1_MFleet,"L、m 非數字（本情境）"),H240)</f>
        <v>30.1485126094542</v>
      </c>
      <c r="I322" s="219" t="n">
        <f aca="false">IF(ISNUMBER(I240),IF(AND(ISNUMBER(L1_LTotal),ISNUMBER(L1_MFleet)),I240*L1_LTotal*L1_MFleet,"L、m 非數字（本情境）"),I240)</f>
        <v>43.8924966186716</v>
      </c>
      <c r="J322" s="219" t="n">
        <f aca="false">IF(ISNUMBER(J240),IF(AND(ISNUMBER(L1_LTotal),ISNUMBER(L1_MFleet)),J240*L1_LTotal*L1_MFleet,"L、m 非數字（本情境）"),J240)</f>
        <v>43.8924966186716</v>
      </c>
      <c r="K322" s="219" t="n">
        <f aca="false">IF(ISNUMBER(K240),IF(AND(ISNUMBER(L1_LTotal),ISNUMBER(L1_MFleet)),K240*L1_LTotal*L1_MFleet,"L、m 非數字（本情境）"),K240)</f>
        <v>43.8924966186716</v>
      </c>
      <c r="L322" s="219" t="n">
        <f aca="false">IF(ISNUMBER(L240),IF(AND(ISNUMBER(L1_LTotal),ISNUMBER(L1_MFleet)),L240*L1_LTotal*L1_MFleet,"L、m 非數字（本情境）"),L240)</f>
        <v>66.1791408032588</v>
      </c>
      <c r="M322" s="219" t="n">
        <f aca="false">IF(ISNUMBER(M240),IF(AND(ISNUMBER(L1_LTotal),ISNUMBER(L1_MFleet)),M240*L1_LTotal*L1_MFleet,"L、m 非數字（本情境）"),M240)</f>
        <v>66.1791408032588</v>
      </c>
      <c r="N322" s="219" t="n">
        <f aca="false">IF(ISNUMBER(N240),IF(AND(ISNUMBER(L1_LTotal),ISNUMBER(L1_MFleet)),N240*L1_LTotal*L1_MFleet,"L、m 非數字（本情境）"),N240)</f>
        <v>66.1791408032588</v>
      </c>
      <c r="O322" s="219" t="n">
        <f aca="false">IF(ISNUMBER(O240),IF(AND(ISNUMBER(L1_LTotal),ISNUMBER(L1_MFleet)),O240*L1_LTotal*L1_MFleet,"L、m 非數字（本情境）"),O240)</f>
        <v>90.2053953559915</v>
      </c>
      <c r="P322" s="219" t="n">
        <f aca="false">IF(ISNUMBER(P240),IF(AND(ISNUMBER(L1_LTotal),ISNUMBER(L1_MFleet)),P240*L1_LTotal*L1_MFleet,"L、m 非數字（本情境）"),P240)</f>
        <v>90.2053953559915</v>
      </c>
      <c r="Q322" s="219" t="n">
        <f aca="false">IF(ISNUMBER(Q240),IF(AND(ISNUMBER(L1_LTotal),ISNUMBER(L1_MFleet)),Q240*L1_LTotal*L1_MFleet,"L、m 非數字（本情境）"),Q240)</f>
        <v>90.2053953559915</v>
      </c>
      <c r="R322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3862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3863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3865</v>
      </c>
      <c r="B323" s="30" t="s">
        <v>2262</v>
      </c>
      <c r="C323" s="219" t="n">
        <f aca="false">IF(ISNUMBER(C245),IF(AND(ISNUMBER(L1_LTotal),ISNUMBER(L1_MFleet)),C245*L1_LTotal*L1_MFleet,"L、m 非數字（本情境）"),C245)</f>
        <v>6.21120128774099</v>
      </c>
      <c r="D323" s="219" t="n">
        <f aca="false">IF(ISNUMBER(D245),IF(AND(ISNUMBER(L1_LTotal),ISNUMBER(L1_MFleet)),D245*L1_LTotal*L1_MFleet,"L、m 非數字（本情境）"),D245)</f>
        <v>6.21120128774099</v>
      </c>
      <c r="E323" s="219" t="n">
        <f aca="false">IF(ISNUMBER(E245),IF(AND(ISNUMBER(L1_LTotal),ISNUMBER(L1_MFleet)),E245*L1_LTotal*L1_MFleet,"L、m 非數字（本情境）"),E245)</f>
        <v>6.21120128774099</v>
      </c>
      <c r="F323" s="219" t="n">
        <f aca="false">IF(ISNUMBER(F245),IF(AND(ISNUMBER(L1_LTotal),ISNUMBER(L1_MFleet)),F245*L1_LTotal*L1_MFleet,"L、m 非數字（本情境）"),F245)</f>
        <v>29.4723789018557</v>
      </c>
      <c r="G323" s="219" t="n">
        <f aca="false">IF(ISNUMBER(G245),IF(AND(ISNUMBER(L1_LTotal),ISNUMBER(L1_MFleet)),G245*L1_LTotal*L1_MFleet,"L、m 非數字（本情境）"),G245)</f>
        <v>29.4723789018557</v>
      </c>
      <c r="H323" s="219" t="n">
        <f aca="false">IF(ISNUMBER(H245),IF(AND(ISNUMBER(L1_LTotal),ISNUMBER(L1_MFleet)),H245*L1_LTotal*L1_MFleet,"L、m 非數字（本情境）"),H245)</f>
        <v>29.4723789018557</v>
      </c>
      <c r="I323" s="219" t="n">
        <f aca="false">IF(ISNUMBER(I245),IF(AND(ISNUMBER(L1_LTotal),ISNUMBER(L1_MFleet)),I245*L1_LTotal*L1_MFleet,"L、m 非數字（本情境）"),I245)</f>
        <v>38.4469947458803</v>
      </c>
      <c r="J323" s="219" t="n">
        <f aca="false">IF(ISNUMBER(J245),IF(AND(ISNUMBER(L1_LTotal),ISNUMBER(L1_MFleet)),J245*L1_LTotal*L1_MFleet,"L、m 非數字（本情境）"),J245)</f>
        <v>38.4469947458803</v>
      </c>
      <c r="K323" s="219" t="n">
        <f aca="false">IF(ISNUMBER(K245),IF(AND(ISNUMBER(L1_LTotal),ISNUMBER(L1_MFleet)),K245*L1_LTotal*L1_MFleet,"L、m 非數字（本情境）"),K245)</f>
        <v>38.4469947458803</v>
      </c>
      <c r="L323" s="219" t="n">
        <f aca="false">IF(ISNUMBER(L245),IF(AND(ISNUMBER(L1_LTotal),ISNUMBER(L1_MFleet)),L245*L1_LTotal*L1_MFleet,"L、m 非數字（本情境）"),L245)</f>
        <v>69.8655604821428</v>
      </c>
      <c r="M323" s="219" t="n">
        <f aca="false">IF(ISNUMBER(M245),IF(AND(ISNUMBER(L1_LTotal),ISNUMBER(L1_MFleet)),M245*L1_LTotal*L1_MFleet,"L、m 非數字（本情境）"),M245)</f>
        <v>69.8655604821428</v>
      </c>
      <c r="N323" s="219" t="n">
        <f aca="false">IF(ISNUMBER(N245),IF(AND(ISNUMBER(L1_LTotal),ISNUMBER(L1_MFleet)),N245*L1_LTotal*L1_MFleet,"L、m 非數字（本情境）"),N245)</f>
        <v>69.8655604821428</v>
      </c>
      <c r="O323" s="219" t="n">
        <f aca="false">IF(ISNUMBER(O245),IF(AND(ISNUMBER(L1_LTotal),ISNUMBER(L1_MFleet)),O245*L1_LTotal*L1_MFleet,"L、m 非數字（本情境）"),O245)</f>
        <v>99.358220932134</v>
      </c>
      <c r="P323" s="219" t="n">
        <f aca="false">IF(ISNUMBER(P245),IF(AND(ISNUMBER(L1_LTotal),ISNUMBER(L1_MFleet)),P245*L1_LTotal*L1_MFleet,"L、m 非數字（本情境）"),P245)</f>
        <v>99.358220932134</v>
      </c>
      <c r="Q323" s="219" t="n">
        <f aca="false">IF(ISNUMBER(Q245),IF(AND(ISNUMBER(L1_LTotal),ISNUMBER(L1_MFleet)),Q245*L1_LTotal*L1_MFleet,"L、m 非數字（本情境）"),Q245)</f>
        <v>99.358220932134</v>
      </c>
      <c r="R323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3862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3863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3866</v>
      </c>
      <c r="B324" s="30" t="s">
        <v>2262</v>
      </c>
      <c r="C324" s="219" t="n">
        <f aca="false">IF(ISNUMBER(C250),IF(AND(ISNUMBER(L1_LTotal),ISNUMBER(L1_MFleet)),C250*L1_LTotal*L1_MFleet,"L、m 非數字（本情境）"),C250)</f>
        <v>1.31348430557208</v>
      </c>
      <c r="D324" s="219" t="n">
        <f aca="false">IF(ISNUMBER(D250),IF(AND(ISNUMBER(L1_LTotal),ISNUMBER(L1_MFleet)),D250*L1_LTotal*L1_MFleet,"L、m 非數字（本情境）"),D250)</f>
        <v>1.31348430557208</v>
      </c>
      <c r="E324" s="219" t="n">
        <f aca="false">IF(ISNUMBER(E250),IF(AND(ISNUMBER(L1_LTotal),ISNUMBER(L1_MFleet)),E250*L1_LTotal*L1_MFleet,"L、m 非數字（本情境）"),E250)</f>
        <v>1.31348430557208</v>
      </c>
      <c r="F324" s="219" t="n">
        <f aca="false">IF(ISNUMBER(F250),IF(AND(ISNUMBER(L1_LTotal),ISNUMBER(L1_MFleet)),F250*L1_LTotal*L1_MFleet,"L、m 非數字（本情境）"),F250)</f>
        <v>6.09265753150729</v>
      </c>
      <c r="G324" s="219" t="n">
        <f aca="false">IF(ISNUMBER(G250),IF(AND(ISNUMBER(L1_LTotal),ISNUMBER(L1_MFleet)),G250*L1_LTotal*L1_MFleet,"L、m 非數字（本情境）"),G250)</f>
        <v>6.09265753150729</v>
      </c>
      <c r="H324" s="219" t="n">
        <f aca="false">IF(ISNUMBER(H250),IF(AND(ISNUMBER(L1_LTotal),ISNUMBER(L1_MFleet)),H250*L1_LTotal*L1_MFleet,"L、m 非數字（本情境）"),H250)</f>
        <v>6.09265753150729</v>
      </c>
      <c r="I324" s="219" t="n">
        <f aca="false">IF(ISNUMBER(I250),IF(AND(ISNUMBER(L1_LTotal),ISNUMBER(L1_MFleet)),I250*L1_LTotal*L1_MFleet,"L、m 非數字（本情境）"),I250)</f>
        <v>8.31626030044816</v>
      </c>
      <c r="J324" s="219" t="n">
        <f aca="false">IF(ISNUMBER(J250),IF(AND(ISNUMBER(L1_LTotal),ISNUMBER(L1_MFleet)),J250*L1_LTotal*L1_MFleet,"L、m 非數字（本情境）"),J250)</f>
        <v>8.31626030044816</v>
      </c>
      <c r="K324" s="219" t="n">
        <f aca="false">IF(ISNUMBER(K250),IF(AND(ISNUMBER(L1_LTotal),ISNUMBER(L1_MFleet)),K250*L1_LTotal*L1_MFleet,"L、m 非數字（本情境）"),K250)</f>
        <v>8.31626030044816</v>
      </c>
      <c r="L324" s="219" t="n">
        <f aca="false">IF(ISNUMBER(L250),IF(AND(ISNUMBER(L1_LTotal),ISNUMBER(L1_MFleet)),L250*L1_LTotal*L1_MFleet,"L、m 非數字（本情境）"),L250)</f>
        <v>13.9119617685919</v>
      </c>
      <c r="M324" s="219" t="n">
        <f aca="false">IF(ISNUMBER(M250),IF(AND(ISNUMBER(L1_LTotal),ISNUMBER(L1_MFleet)),M250*L1_LTotal*L1_MFleet,"L、m 非數字（本情境）"),M250)</f>
        <v>13.9119617685919</v>
      </c>
      <c r="N324" s="219" t="n">
        <f aca="false">IF(ISNUMBER(N250),IF(AND(ISNUMBER(L1_LTotal),ISNUMBER(L1_MFleet)),N250*L1_LTotal*L1_MFleet,"L、m 非數字（本情境）"),N250)</f>
        <v>13.9119617685919</v>
      </c>
      <c r="O324" s="219" t="n">
        <f aca="false">IF(ISNUMBER(O250),IF(AND(ISNUMBER(L1_LTotal),ISNUMBER(L1_MFleet)),O250*L1_LTotal*L1_MFleet,"L、m 非數字（本情境）"),O250)</f>
        <v>19.3858477508391</v>
      </c>
      <c r="P324" s="219" t="n">
        <f aca="false">IF(ISNUMBER(P250),IF(AND(ISNUMBER(L1_LTotal),ISNUMBER(L1_MFleet)),P250*L1_LTotal*L1_MFleet,"L、m 非數字（本情境）"),P250)</f>
        <v>19.3858477508391</v>
      </c>
      <c r="Q324" s="219" t="n">
        <f aca="false">IF(ISNUMBER(Q250),IF(AND(ISNUMBER(L1_LTotal),ISNUMBER(L1_MFleet)),Q250*L1_LTotal*L1_MFleet,"L、m 非數字（本情境）"),Q250)</f>
        <v>19.3858477508391</v>
      </c>
      <c r="R324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3862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3863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3867</v>
      </c>
      <c r="B325" s="30" t="s">
        <v>2262</v>
      </c>
      <c r="C325" s="219" t="n">
        <f aca="false">IF(ISNUMBER(C255),IF(AND(ISNUMBER(L1_LTotal),ISNUMBER(L1_MFleet)),C255*L1_LTotal*L1_MFleet,"L、m 非數字（本情境）"),C255)</f>
        <v>1.09036738485811</v>
      </c>
      <c r="D325" s="219" t="n">
        <f aca="false">IF(ISNUMBER(D255),IF(AND(ISNUMBER(L1_LTotal),ISNUMBER(L1_MFleet)),D255*L1_LTotal*L1_MFleet,"L、m 非數字（本情境）"),D255)</f>
        <v>1.09036738485811</v>
      </c>
      <c r="E325" s="219" t="n">
        <f aca="false">IF(ISNUMBER(E255),IF(AND(ISNUMBER(L1_LTotal),ISNUMBER(L1_MFleet)),E255*L1_LTotal*L1_MFleet,"L、m 非數字（本情境）"),E255)</f>
        <v>1.09036738485811</v>
      </c>
      <c r="F325" s="219" t="n">
        <f aca="false">IF(ISNUMBER(F255),IF(AND(ISNUMBER(L1_LTotal),ISNUMBER(L1_MFleet)),F255*L1_LTotal*L1_MFleet,"L、m 非數字（本情境）"),F255)</f>
        <v>5.05088989588079</v>
      </c>
      <c r="G325" s="219" t="n">
        <f aca="false">IF(ISNUMBER(G255),IF(AND(ISNUMBER(L1_LTotal),ISNUMBER(L1_MFleet)),G255*L1_LTotal*L1_MFleet,"L、m 非數字（本情境）"),G255)</f>
        <v>5.05088989588079</v>
      </c>
      <c r="H325" s="219" t="n">
        <f aca="false">IF(ISNUMBER(H255),IF(AND(ISNUMBER(L1_LTotal),ISNUMBER(L1_MFleet)),H255*L1_LTotal*L1_MFleet,"L、m 非數字（本情境）"),H255)</f>
        <v>5.05088989588079</v>
      </c>
      <c r="I325" s="219" t="n">
        <f aca="false">IF(ISNUMBER(I255),IF(AND(ISNUMBER(L1_LTotal),ISNUMBER(L1_MFleet)),I255*L1_LTotal*L1_MFleet,"L、m 非數字（本情境）"),I255)</f>
        <v>7.35346949111874</v>
      </c>
      <c r="J325" s="219" t="n">
        <f aca="false">IF(ISNUMBER(J255),IF(AND(ISNUMBER(L1_LTotal),ISNUMBER(L1_MFleet)),J255*L1_LTotal*L1_MFleet,"L、m 非數字（本情境）"),J255)</f>
        <v>7.35346949111874</v>
      </c>
      <c r="K325" s="219" t="n">
        <f aca="false">IF(ISNUMBER(K255),IF(AND(ISNUMBER(L1_LTotal),ISNUMBER(L1_MFleet)),K255*L1_LTotal*L1_MFleet,"L、m 非數字（本情境）"),K255)</f>
        <v>7.35346949111874</v>
      </c>
      <c r="L325" s="219" t="n">
        <f aca="false">IF(ISNUMBER(L255),IF(AND(ISNUMBER(L1_LTotal),ISNUMBER(L1_MFleet)),L255*L1_LTotal*L1_MFleet,"L、m 非數字（本情境）"),L255)</f>
        <v>10.6332437097561</v>
      </c>
      <c r="M325" s="219" t="n">
        <f aca="false">IF(ISNUMBER(M255),IF(AND(ISNUMBER(L1_LTotal),ISNUMBER(L1_MFleet)),M255*L1_LTotal*L1_MFleet,"L、m 非數字（本情境）"),M255)</f>
        <v>10.6332437097561</v>
      </c>
      <c r="N325" s="219" t="n">
        <f aca="false">IF(ISNUMBER(N255),IF(AND(ISNUMBER(L1_LTotal),ISNUMBER(L1_MFleet)),N255*L1_LTotal*L1_MFleet,"L、m 非數字（本情境）"),N255)</f>
        <v>10.6332437097561</v>
      </c>
      <c r="O325" s="219" t="n">
        <f aca="false">IF(ISNUMBER(O255),IF(AND(ISNUMBER(L1_LTotal),ISNUMBER(L1_MFleet)),O255*L1_LTotal*L1_MFleet,"L、m 非數字（本情境）"),O255)</f>
        <v>14.3246200231449</v>
      </c>
      <c r="P325" s="219" t="n">
        <f aca="false">IF(ISNUMBER(P255),IF(AND(ISNUMBER(L1_LTotal),ISNUMBER(L1_MFleet)),P255*L1_LTotal*L1_MFleet,"L、m 非數字（本情境）"),P255)</f>
        <v>14.3246200231449</v>
      </c>
      <c r="Q325" s="219" t="n">
        <f aca="false">IF(ISNUMBER(Q255),IF(AND(ISNUMBER(L1_LTotal),ISNUMBER(L1_MFleet)),Q255*L1_LTotal*L1_MFleet,"L、m 非數字（本情境）"),Q255)</f>
        <v>14.3246200231449</v>
      </c>
      <c r="R325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3862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3868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3869</v>
      </c>
      <c r="B326" s="30" t="s">
        <v>2262</v>
      </c>
      <c r="C326" s="219" t="n">
        <f aca="false">IF(ISNUMBER(C260),IF(AND(ISNUMBER(L1_LTotal),ISNUMBER(L1_MFleet)),C260*L1_LTotal*L1_MFleet,"L、m 非數字（本情境）"),C260)</f>
        <v>6.76180064889054</v>
      </c>
      <c r="D326" s="219" t="n">
        <f aca="false">IF(ISNUMBER(D260),IF(AND(ISNUMBER(L1_LTotal),ISNUMBER(L1_MFleet)),D260*L1_LTotal*L1_MFleet,"L、m 非數字（本情境）"),D260)</f>
        <v>6.76180064889054</v>
      </c>
      <c r="E326" s="219" t="n">
        <f aca="false">IF(ISNUMBER(E260),IF(AND(ISNUMBER(L1_LTotal),ISNUMBER(L1_MFleet)),E260*L1_LTotal*L1_MFleet,"L、m 非數字（本情境）"),E260)</f>
        <v>6.76180064889054</v>
      </c>
      <c r="F326" s="219" t="n">
        <f aca="false">IF(ISNUMBER(F260),IF(AND(ISNUMBER(L1_LTotal),ISNUMBER(L1_MFleet)),F260*L1_LTotal*L1_MFleet,"L、m 非數字（本情境）"),F260)</f>
        <v>30.1485126094542</v>
      </c>
      <c r="G326" s="219" t="n">
        <f aca="false">IF(ISNUMBER(G260),IF(AND(ISNUMBER(L1_LTotal),ISNUMBER(L1_MFleet)),G260*L1_LTotal*L1_MFleet,"L、m 非數字（本情境）"),G260)</f>
        <v>30.1485126094542</v>
      </c>
      <c r="H326" s="219" t="n">
        <f aca="false">IF(ISNUMBER(H260),IF(AND(ISNUMBER(L1_LTotal),ISNUMBER(L1_MFleet)),H260*L1_LTotal*L1_MFleet,"L、m 非數字（本情境）"),H260)</f>
        <v>30.1485126094542</v>
      </c>
      <c r="I326" s="219" t="n">
        <f aca="false">IF(ISNUMBER(I260),IF(AND(ISNUMBER(L1_LTotal),ISNUMBER(L1_MFleet)),I260*L1_LTotal*L1_MFleet,"L、m 非數字（本情境）"),I260)</f>
        <v>43.8924966186716</v>
      </c>
      <c r="J326" s="219" t="n">
        <f aca="false">IF(ISNUMBER(J260),IF(AND(ISNUMBER(L1_LTotal),ISNUMBER(L1_MFleet)),J260*L1_LTotal*L1_MFleet,"L、m 非數字（本情境）"),J260)</f>
        <v>43.8924966186716</v>
      </c>
      <c r="K326" s="219" t="n">
        <f aca="false">IF(ISNUMBER(K260),IF(AND(ISNUMBER(L1_LTotal),ISNUMBER(L1_MFleet)),K260*L1_LTotal*L1_MFleet,"L、m 非數字（本情境）"),K260)</f>
        <v>43.8924966186716</v>
      </c>
      <c r="L326" s="219" t="n">
        <f aca="false">IF(ISNUMBER(L260),IF(AND(ISNUMBER(L1_LTotal),ISNUMBER(L1_MFleet)),L260*L1_LTotal*L1_MFleet,"L、m 非數字（本情境）"),L260)</f>
        <v>66.1791408032588</v>
      </c>
      <c r="M326" s="219" t="n">
        <f aca="false">IF(ISNUMBER(M260),IF(AND(ISNUMBER(L1_LTotal),ISNUMBER(L1_MFleet)),M260*L1_LTotal*L1_MFleet,"L、m 非數字（本情境）"),M260)</f>
        <v>66.1791408032588</v>
      </c>
      <c r="N326" s="219" t="n">
        <f aca="false">IF(ISNUMBER(N260),IF(AND(ISNUMBER(L1_LTotal),ISNUMBER(L1_MFleet)),N260*L1_LTotal*L1_MFleet,"L、m 非數字（本情境）"),N260)</f>
        <v>66.1791408032588</v>
      </c>
      <c r="O326" s="219" t="n">
        <f aca="false">IF(ISNUMBER(O260),IF(AND(ISNUMBER(L1_LTotal),ISNUMBER(L1_MFleet)),O260*L1_LTotal*L1_MFleet,"L、m 非數字（本情境）"),O260)</f>
        <v>90.2053953559915</v>
      </c>
      <c r="P326" s="219" t="n">
        <f aca="false">IF(ISNUMBER(P260),IF(AND(ISNUMBER(L1_LTotal),ISNUMBER(L1_MFleet)),P260*L1_LTotal*L1_MFleet,"L、m 非數字（本情境）"),P260)</f>
        <v>90.2053953559915</v>
      </c>
      <c r="Q326" s="219" t="n">
        <f aca="false">IF(ISNUMBER(Q260),IF(AND(ISNUMBER(L1_LTotal),ISNUMBER(L1_MFleet)),Q260*L1_LTotal*L1_MFleet,"L、m 非數字（本情境）"),Q260)</f>
        <v>90.2053953559915</v>
      </c>
      <c r="R326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3862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3868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3870</v>
      </c>
      <c r="B327" s="30" t="s">
        <v>2262</v>
      </c>
      <c r="C327" s="219" t="n">
        <f aca="false">IF(ISNUMBER(C265),IF(AND(ISNUMBER(L1_LTotal),ISNUMBER(L1_MFleet)),C265*L1_LTotal*L1_MFleet,"L、m 非數字（本情境）"),C265)</f>
        <v>5.98446495754691</v>
      </c>
      <c r="D327" s="219" t="n">
        <f aca="false">IF(ISNUMBER(D265),IF(AND(ISNUMBER(L1_LTotal),ISNUMBER(L1_MFleet)),D265*L1_LTotal*L1_MFleet,"L、m 非數字（本情境）"),D265)</f>
        <v>5.98446495754691</v>
      </c>
      <c r="E327" s="219" t="n">
        <f aca="false">IF(ISNUMBER(E265),IF(AND(ISNUMBER(L1_LTotal),ISNUMBER(L1_MFleet)),E265*L1_LTotal*L1_MFleet,"L、m 非數字（本情境）"),E265)</f>
        <v>5.98446495754691</v>
      </c>
      <c r="F327" s="219" t="n">
        <f aca="false">IF(ISNUMBER(F265),IF(AND(ISNUMBER(L1_LTotal),ISNUMBER(L1_MFleet)),F265*L1_LTotal*L1_MFleet,"L、m 非數字（本情境）"),F265)</f>
        <v>28.3965066631818</v>
      </c>
      <c r="G327" s="219" t="n">
        <f aca="false">IF(ISNUMBER(G265),IF(AND(ISNUMBER(L1_LTotal),ISNUMBER(L1_MFleet)),G265*L1_LTotal*L1_MFleet,"L、m 非數字（本情境）"),G265)</f>
        <v>28.3965066631818</v>
      </c>
      <c r="H327" s="219" t="n">
        <f aca="false">IF(ISNUMBER(H265),IF(AND(ISNUMBER(L1_LTotal),ISNUMBER(L1_MFleet)),H265*L1_LTotal*L1_MFleet,"L、m 非數字（本情境）"),H265)</f>
        <v>28.3965066631818</v>
      </c>
      <c r="I327" s="219" t="n">
        <f aca="false">IF(ISNUMBER(I265),IF(AND(ISNUMBER(L1_LTotal),ISNUMBER(L1_MFleet)),I265*L1_LTotal*L1_MFleet,"L、m 非數字（本情境）"),I265)</f>
        <v>37.0435093182099</v>
      </c>
      <c r="J327" s="219" t="n">
        <f aca="false">IF(ISNUMBER(J265),IF(AND(ISNUMBER(L1_LTotal),ISNUMBER(L1_MFleet)),J265*L1_LTotal*L1_MFleet,"L、m 非數字（本情境）"),J265)</f>
        <v>37.0435093182099</v>
      </c>
      <c r="K327" s="219" t="n">
        <f aca="false">IF(ISNUMBER(K265),IF(AND(ISNUMBER(L1_LTotal),ISNUMBER(L1_MFleet)),K265*L1_LTotal*L1_MFleet,"L、m 非數字（本情境）"),K265)</f>
        <v>37.0435093182099</v>
      </c>
      <c r="L327" s="219" t="n">
        <f aca="false">IF(ISNUMBER(L265),IF(AND(ISNUMBER(L1_LTotal),ISNUMBER(L1_MFleet)),L265*L1_LTotal*L1_MFleet,"L、m 非數字（本情境）"),L265)</f>
        <v>67.3151583848965</v>
      </c>
      <c r="M327" s="219" t="n">
        <f aca="false">IF(ISNUMBER(M265),IF(AND(ISNUMBER(L1_LTotal),ISNUMBER(L1_MFleet)),M265*L1_LTotal*L1_MFleet,"L、m 非數字（本情境）"),M265)</f>
        <v>67.3151583848965</v>
      </c>
      <c r="N327" s="219" t="n">
        <f aca="false">IF(ISNUMBER(N265),IF(AND(ISNUMBER(L1_LTotal),ISNUMBER(L1_MFleet)),N265*L1_LTotal*L1_MFleet,"L、m 非數字（本情境）"),N265)</f>
        <v>67.3151583848965</v>
      </c>
      <c r="O327" s="219" t="n">
        <f aca="false">IF(ISNUMBER(O265),IF(AND(ISNUMBER(L1_LTotal),ISNUMBER(L1_MFleet)),O265*L1_LTotal*L1_MFleet,"L、m 非數字（本情境）"),O265)</f>
        <v>95.7312062299653</v>
      </c>
      <c r="P327" s="219" t="n">
        <f aca="false">IF(ISNUMBER(P265),IF(AND(ISNUMBER(L1_LTotal),ISNUMBER(L1_MFleet)),P265*L1_LTotal*L1_MFleet,"L、m 非數字（本情境）"),P265)</f>
        <v>95.7312062299653</v>
      </c>
      <c r="Q327" s="219" t="n">
        <f aca="false">IF(ISNUMBER(Q265),IF(AND(ISNUMBER(L1_LTotal),ISNUMBER(L1_MFleet)),Q265*L1_LTotal*L1_MFleet,"L、m 非數字（本情境）"),Q265)</f>
        <v>95.7312062299653</v>
      </c>
      <c r="R327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3862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3868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3871</v>
      </c>
      <c r="B328" s="30" t="s">
        <v>2262</v>
      </c>
      <c r="C328" s="219" t="n">
        <f aca="false">IF(ISNUMBER(C270),IF(AND(ISNUMBER(L1_LTotal),ISNUMBER(L1_MFleet)),C270*L1_LTotal*L1_MFleet,"L、m 非數字（本情境）"),C270)</f>
        <v>1.28400808280722</v>
      </c>
      <c r="D328" s="219" t="n">
        <f aca="false">IF(ISNUMBER(D270),IF(AND(ISNUMBER(L1_LTotal),ISNUMBER(L1_MFleet)),D270*L1_LTotal*L1_MFleet,"L、m 非數字（本情境）"),D270)</f>
        <v>1.28400808280722</v>
      </c>
      <c r="E328" s="219" t="n">
        <f aca="false">IF(ISNUMBER(E270),IF(AND(ISNUMBER(L1_LTotal),ISNUMBER(L1_MFleet)),E270*L1_LTotal*L1_MFleet,"L、m 非數字（本情境）"),E270)</f>
        <v>1.28400808280722</v>
      </c>
      <c r="F328" s="219" t="n">
        <f aca="false">IF(ISNUMBER(F270),IF(AND(ISNUMBER(L1_LTotal),ISNUMBER(L1_MFleet)),F270*L1_LTotal*L1_MFleet,"L、m 非數字（本情境）"),F270)</f>
        <v>5.95593071271939</v>
      </c>
      <c r="G328" s="219" t="n">
        <f aca="false">IF(ISNUMBER(G270),IF(AND(ISNUMBER(L1_LTotal),ISNUMBER(L1_MFleet)),G270*L1_LTotal*L1_MFleet,"L、m 非數字（本情境）"),G270)</f>
        <v>5.95593071271939</v>
      </c>
      <c r="H328" s="219" t="n">
        <f aca="false">IF(ISNUMBER(H270),IF(AND(ISNUMBER(L1_LTotal),ISNUMBER(L1_MFleet)),H270*L1_LTotal*L1_MFleet,"L、m 非數字（本情境）"),H270)</f>
        <v>5.95593071271939</v>
      </c>
      <c r="I328" s="219" t="n">
        <f aca="false">IF(ISNUMBER(I270),IF(AND(ISNUMBER(L1_LTotal),ISNUMBER(L1_MFleet)),I270*L1_LTotal*L1_MFleet,"L、m 非數字（本情境）"),I270)</f>
        <v>8.12963306771559</v>
      </c>
      <c r="J328" s="219" t="n">
        <f aca="false">IF(ISNUMBER(J270),IF(AND(ISNUMBER(L1_LTotal),ISNUMBER(L1_MFleet)),J270*L1_LTotal*L1_MFleet,"L、m 非數字（本情境）"),J270)</f>
        <v>8.12963306771559</v>
      </c>
      <c r="K328" s="219" t="n">
        <f aca="false">IF(ISNUMBER(K270),IF(AND(ISNUMBER(L1_LTotal),ISNUMBER(L1_MFleet)),K270*L1_LTotal*L1_MFleet,"L、m 非數字（本情境）"),K270)</f>
        <v>8.12963306771559</v>
      </c>
      <c r="L328" s="219" t="n">
        <f aca="false">IF(ISNUMBER(L270),IF(AND(ISNUMBER(L1_LTotal),ISNUMBER(L1_MFleet)),L270*L1_LTotal*L1_MFleet,"L、m 非數字（本情境）"),L270)</f>
        <v>13.5997600297149</v>
      </c>
      <c r="M328" s="219" t="n">
        <f aca="false">IF(ISNUMBER(M270),IF(AND(ISNUMBER(L1_LTotal),ISNUMBER(L1_MFleet)),M270*L1_LTotal*L1_MFleet,"L、m 非數字（本情境）"),M270)</f>
        <v>13.5997600297149</v>
      </c>
      <c r="N328" s="219" t="n">
        <f aca="false">IF(ISNUMBER(N270),IF(AND(ISNUMBER(L1_LTotal),ISNUMBER(L1_MFleet)),N270*L1_LTotal*L1_MFleet,"L、m 非數字（本情境）"),N270)</f>
        <v>13.5997600297149</v>
      </c>
      <c r="O328" s="219" t="n">
        <f aca="false">IF(ISNUMBER(O270),IF(AND(ISNUMBER(L1_LTotal),ISNUMBER(L1_MFleet)),O270*L1_LTotal*L1_MFleet,"L、m 非數字（本情境）"),O270)</f>
        <v>18.95080519695</v>
      </c>
      <c r="P328" s="219" t="n">
        <f aca="false">IF(ISNUMBER(P270),IF(AND(ISNUMBER(L1_LTotal),ISNUMBER(L1_MFleet)),P270*L1_LTotal*L1_MFleet,"L、m 非數字（本情境）"),P270)</f>
        <v>18.95080519695</v>
      </c>
      <c r="Q328" s="219" t="n">
        <f aca="false">IF(ISNUMBER(Q270),IF(AND(ISNUMBER(L1_LTotal),ISNUMBER(L1_MFleet)),Q270*L1_LTotal*L1_MFleet,"L、m 非數字（本情境）"),Q270)</f>
        <v>18.95080519695</v>
      </c>
      <c r="R328" s="187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3862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3868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3872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3873</v>
      </c>
      <c r="B331" s="30" t="s">
        <v>136</v>
      </c>
      <c r="C331" s="202" t="n">
        <f aca="false">Workload!C38</f>
        <v>1</v>
      </c>
      <c r="D331" s="202" t="n">
        <f aca="false">Workload!D38</f>
        <v>2.06666666666667</v>
      </c>
      <c r="E331" s="202" t="n">
        <f aca="false">Workload!E38</f>
        <v>9.2</v>
      </c>
      <c r="F331" s="202" t="n">
        <f aca="false">Workload!F38</f>
        <v>36.8</v>
      </c>
      <c r="G331" s="202" t="n">
        <f aca="false">Workload!G38</f>
        <v>498</v>
      </c>
      <c r="R331" s="187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814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3674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306</v>
      </c>
    </row>
    <row r="333" customFormat="false" ht="15" hidden="false" customHeight="true" outlineLevel="0" collapsed="false">
      <c r="A333" s="44" t="s">
        <v>3874</v>
      </c>
      <c r="B333" s="30" t="s">
        <v>359</v>
      </c>
      <c r="C333" s="220" t="n">
        <f aca="false">INDEX(Training!$C$109:$Q$109,3*(Unit_Cost!C$6-1)+1)</f>
        <v>4.80829842560294E+024</v>
      </c>
      <c r="D333" s="220" t="n">
        <f aca="false">INDEX(Training!$C$109:$Q$109,3*(Unit_Cost!D$6-1)+1)</f>
        <v>4.80829842560294E+024</v>
      </c>
      <c r="E333" s="220" t="n">
        <f aca="false">INDEX(Training!$C$109:$Q$109,3*(Unit_Cost!E$6-1)+1)</f>
        <v>4.80829842560294E+024</v>
      </c>
      <c r="F333" s="220" t="n">
        <f aca="false">INDEX(Training!$C$109:$Q$109,3*(Unit_Cost!F$6-1)+1)</f>
        <v>4.80829842560294E+024</v>
      </c>
      <c r="G333" s="220" t="n">
        <f aca="false">INDEX(Training!$C$109:$Q$109,3*(Unit_Cost!G$6-1)+1)</f>
        <v>4.80829842560294E+024</v>
      </c>
      <c r="H333" s="220" t="n">
        <f aca="false">INDEX(Training!$C$109:$Q$109,3*(Unit_Cost!H$6-1)+1)</f>
        <v>4.80829842560294E+024</v>
      </c>
      <c r="I333" s="220" t="n">
        <f aca="false">INDEX(Training!$C$109:$Q$109,3*(Unit_Cost!I$6-1)+1)</f>
        <v>4.80829842560294E+024</v>
      </c>
      <c r="J333" s="220" t="n">
        <f aca="false">INDEX(Training!$C$109:$Q$109,3*(Unit_Cost!J$6-1)+1)</f>
        <v>4.80829842560294E+024</v>
      </c>
      <c r="K333" s="220" t="n">
        <f aca="false">INDEX(Training!$C$109:$Q$109,3*(Unit_Cost!K$6-1)+1)</f>
        <v>4.80829842560294E+024</v>
      </c>
      <c r="L333" s="220" t="n">
        <f aca="false">INDEX(Training!$C$109:$Q$109,3*(Unit_Cost!L$6-1)+1)</f>
        <v>4.80829842560294E+024</v>
      </c>
      <c r="M333" s="220" t="n">
        <f aca="false">INDEX(Training!$C$109:$Q$109,3*(Unit_Cost!M$6-1)+1)</f>
        <v>4.80829842560294E+024</v>
      </c>
      <c r="N333" s="220" t="n">
        <f aca="false">INDEX(Training!$C$109:$Q$109,3*(Unit_Cost!N$6-1)+1)</f>
        <v>4.80829842560294E+024</v>
      </c>
      <c r="O333" s="220" t="n">
        <f aca="false">INDEX(Training!$C$109:$Q$109,3*(Unit_Cost!O$6-1)+1)</f>
        <v>4.80829842560294E+024</v>
      </c>
      <c r="P333" s="220" t="n">
        <f aca="false">INDEX(Training!$C$109:$Q$109,3*(Unit_Cost!P$6-1)+1)</f>
        <v>4.80829842560294E+024</v>
      </c>
      <c r="Q333" s="220" t="n">
        <f aca="false">INDEX(Training!$C$109:$Q$109,3*(Unit_Cost!Q$6-1)+1)</f>
        <v>4.80829842560294E+024</v>
      </c>
      <c r="R333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814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3875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3876</v>
      </c>
      <c r="B334" s="30" t="s">
        <v>131</v>
      </c>
      <c r="C334" s="199" t="n">
        <f aca="false">INDEX(Training!$C$114:$Q$114,3*(Unit_Cost!C$6-1)+1)</f>
        <v>0.617273449727603</v>
      </c>
      <c r="D334" s="199" t="n">
        <f aca="false">INDEX(Training!$C$114:$Q$114,3*(Unit_Cost!D$6-1)+1)</f>
        <v>0.617273449727603</v>
      </c>
      <c r="E334" s="199" t="n">
        <f aca="false">INDEX(Training!$C$114:$Q$114,3*(Unit_Cost!E$6-1)+1)</f>
        <v>0.617273449727603</v>
      </c>
      <c r="F334" s="199" t="n">
        <f aca="false">INDEX(Training!$C$114:$Q$114,3*(Unit_Cost!F$6-1)+1)</f>
        <v>0.272551520706235</v>
      </c>
      <c r="G334" s="199" t="n">
        <f aca="false">INDEX(Training!$C$114:$Q$114,3*(Unit_Cost!G$6-1)+1)</f>
        <v>0.272551520706235</v>
      </c>
      <c r="H334" s="199" t="n">
        <f aca="false">INDEX(Training!$C$114:$Q$114,3*(Unit_Cost!H$6-1)+1)</f>
        <v>0.272551520706235</v>
      </c>
      <c r="I334" s="199" t="n">
        <f aca="false">INDEX(Training!$C$114:$Q$114,3*(Unit_Cost!I$6-1)+1)</f>
        <v>0.377763233719673</v>
      </c>
      <c r="J334" s="199" t="n">
        <f aca="false">INDEX(Training!$C$114:$Q$114,3*(Unit_Cost!J$6-1)+1)</f>
        <v>0.377763233719673</v>
      </c>
      <c r="K334" s="199" t="n">
        <f aca="false">INDEX(Training!$C$114:$Q$114,3*(Unit_Cost!K$6-1)+1)</f>
        <v>0.377763233719673</v>
      </c>
      <c r="L334" s="199" t="n">
        <f aca="false">INDEX(Training!$C$114:$Q$114,3*(Unit_Cost!L$6-1)+1)</f>
        <v>0.502022119041945</v>
      </c>
      <c r="M334" s="199" t="n">
        <f aca="false">INDEX(Training!$C$114:$Q$114,3*(Unit_Cost!M$6-1)+1)</f>
        <v>0.502022119041945</v>
      </c>
      <c r="N334" s="199" t="n">
        <f aca="false">INDEX(Training!$C$114:$Q$114,3*(Unit_Cost!N$6-1)+1)</f>
        <v>0.502022119041945</v>
      </c>
      <c r="O334" s="199" t="n">
        <f aca="false">INDEX(Training!$C$114:$Q$114,3*(Unit_Cost!O$6-1)+1)</f>
        <v>0.425237389883087</v>
      </c>
      <c r="P334" s="199" t="n">
        <f aca="false">INDEX(Training!$C$114:$Q$114,3*(Unit_Cost!P$6-1)+1)</f>
        <v>0.425237389883087</v>
      </c>
      <c r="Q334" s="199" t="n">
        <f aca="false">INDEX(Training!$C$114:$Q$114,3*(Unit_Cost!Q$6-1)+1)</f>
        <v>0.425237389883087</v>
      </c>
      <c r="R334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814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3554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3877</v>
      </c>
      <c r="B335" s="30" t="s">
        <v>131</v>
      </c>
      <c r="C335" s="199" t="n">
        <f aca="false">Theory_Rev!C24</f>
        <v>-1.64466602928405</v>
      </c>
      <c r="D335" s="199" t="n">
        <f aca="false">Theory_Rev!D24</f>
        <v>-2.77858347311658</v>
      </c>
      <c r="E335" s="199" t="n">
        <f aca="false">Theory_Rev!E24</f>
        <v>-5.48902475323338</v>
      </c>
      <c r="F335" s="199" t="n">
        <f aca="false">Theory_Rev!F24</f>
        <v>0.469373558642023</v>
      </c>
      <c r="G335" s="199" t="n">
        <f aca="false">Theory_Rev!G24</f>
        <v>0.291584243232548</v>
      </c>
      <c r="H335" s="199" t="n">
        <f aca="false">Theory_Rev!H24</f>
        <v>-0.148840970684629</v>
      </c>
      <c r="I335" s="199" t="n">
        <f aca="false">Theory_Rev!I24</f>
        <v>0.508446305123939</v>
      </c>
      <c r="J335" s="199" t="n">
        <f aca="false">Theory_Rev!J24</f>
        <v>0.365204160742031</v>
      </c>
      <c r="K335" s="199" t="n">
        <f aca="false">Theory_Rev!K24</f>
        <v>-0.0805920606921446</v>
      </c>
      <c r="L335" s="199" t="n">
        <f aca="false">Theory_Rev!L24</f>
        <v>0.625501575418007</v>
      </c>
      <c r="M335" s="199" t="n">
        <f aca="false">Theory_Rev!M24</f>
        <v>0.51874641171822</v>
      </c>
      <c r="N335" s="199" t="n">
        <f aca="false">Theory_Rev!N24</f>
        <v>0.222678375314202</v>
      </c>
      <c r="O335" s="199" t="n">
        <f aca="false">Theory_Rev!O24</f>
        <v>0.714757235222132</v>
      </c>
      <c r="P335" s="199" t="n">
        <f aca="false">Theory_Rev!P24</f>
        <v>0.566600421584675</v>
      </c>
      <c r="Q335" s="199" t="n">
        <f aca="false">Theory_Rev!Q24</f>
        <v>0.209018030469972</v>
      </c>
      <c r="R335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814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3610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307</v>
      </c>
    </row>
    <row r="337" customFormat="false" ht="15" hidden="false" customHeight="true" outlineLevel="0" collapsed="false">
      <c r="A337" s="44" t="s">
        <v>3878</v>
      </c>
      <c r="B337" s="30" t="s">
        <v>359</v>
      </c>
      <c r="C337" s="220" t="n">
        <f aca="false">INDEX(Training!$C$109:$Q$109,3*(Unit_Cost!C$6-1)+2)</f>
        <v>1.6345355852516E+025</v>
      </c>
      <c r="D337" s="220" t="n">
        <f aca="false">INDEX(Training!$C$109:$Q$109,3*(Unit_Cost!D$6-1)+2)</f>
        <v>1.6345355852516E+025</v>
      </c>
      <c r="E337" s="220" t="n">
        <f aca="false">INDEX(Training!$C$109:$Q$109,3*(Unit_Cost!E$6-1)+2)</f>
        <v>1.6345355852516E+025</v>
      </c>
      <c r="F337" s="220" t="n">
        <f aca="false">INDEX(Training!$C$109:$Q$109,3*(Unit_Cost!F$6-1)+2)</f>
        <v>1.6345355852516E+025</v>
      </c>
      <c r="G337" s="220" t="n">
        <f aca="false">INDEX(Training!$C$109:$Q$109,3*(Unit_Cost!G$6-1)+2)</f>
        <v>1.6345355852516E+025</v>
      </c>
      <c r="H337" s="220" t="n">
        <f aca="false">INDEX(Training!$C$109:$Q$109,3*(Unit_Cost!H$6-1)+2)</f>
        <v>1.6345355852516E+025</v>
      </c>
      <c r="I337" s="220" t="n">
        <f aca="false">INDEX(Training!$C$109:$Q$109,3*(Unit_Cost!I$6-1)+2)</f>
        <v>1.6345355852516E+025</v>
      </c>
      <c r="J337" s="220" t="n">
        <f aca="false">INDEX(Training!$C$109:$Q$109,3*(Unit_Cost!J$6-1)+2)</f>
        <v>1.6345355852516E+025</v>
      </c>
      <c r="K337" s="220" t="n">
        <f aca="false">INDEX(Training!$C$109:$Q$109,3*(Unit_Cost!K$6-1)+2)</f>
        <v>1.6345355852516E+025</v>
      </c>
      <c r="L337" s="220" t="n">
        <f aca="false">INDEX(Training!$C$109:$Q$109,3*(Unit_Cost!L$6-1)+2)</f>
        <v>1.6345355852516E+025</v>
      </c>
      <c r="M337" s="220" t="n">
        <f aca="false">INDEX(Training!$C$109:$Q$109,3*(Unit_Cost!M$6-1)+2)</f>
        <v>1.6345355852516E+025</v>
      </c>
      <c r="N337" s="220" t="n">
        <f aca="false">INDEX(Training!$C$109:$Q$109,3*(Unit_Cost!N$6-1)+2)</f>
        <v>1.6345355852516E+025</v>
      </c>
      <c r="O337" s="220" t="n">
        <f aca="false">INDEX(Training!$C$109:$Q$109,3*(Unit_Cost!O$6-1)+2)</f>
        <v>1.6345355852516E+025</v>
      </c>
      <c r="P337" s="220" t="n">
        <f aca="false">INDEX(Training!$C$109:$Q$109,3*(Unit_Cost!P$6-1)+2)</f>
        <v>1.6345355852516E+025</v>
      </c>
      <c r="Q337" s="220" t="n">
        <f aca="false">INDEX(Training!$C$109:$Q$109,3*(Unit_Cost!Q$6-1)+2)</f>
        <v>1.6345355852516E+025</v>
      </c>
      <c r="R337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814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3875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3879</v>
      </c>
      <c r="B338" s="30" t="s">
        <v>131</v>
      </c>
      <c r="C338" s="199" t="n">
        <f aca="false">INDEX(Training!$C$114:$Q$114,3*(Unit_Cost!C$6-1)+2)</f>
        <v>0.509209053044906</v>
      </c>
      <c r="D338" s="199" t="n">
        <f aca="false">INDEX(Training!$C$114:$Q$114,3*(Unit_Cost!D$6-1)+2)</f>
        <v>0.509209053044906</v>
      </c>
      <c r="E338" s="199" t="n">
        <f aca="false">INDEX(Training!$C$114:$Q$114,3*(Unit_Cost!E$6-1)+2)</f>
        <v>0.509209053044906</v>
      </c>
      <c r="F338" s="199" t="n">
        <f aca="false">INDEX(Training!$C$114:$Q$114,3*(Unit_Cost!F$6-1)+2)</f>
        <v>0.193298000633985</v>
      </c>
      <c r="G338" s="199" t="n">
        <f aca="false">INDEX(Training!$C$114:$Q$114,3*(Unit_Cost!G$6-1)+2)</f>
        <v>0.193298000633985</v>
      </c>
      <c r="H338" s="199" t="n">
        <f aca="false">INDEX(Training!$C$114:$Q$114,3*(Unit_Cost!H$6-1)+2)</f>
        <v>0.193298000633985</v>
      </c>
      <c r="I338" s="199" t="n">
        <f aca="false">INDEX(Training!$C$114:$Q$114,3*(Unit_Cost!I$6-1)+2)</f>
        <v>0.278677028573849</v>
      </c>
      <c r="J338" s="199" t="n">
        <f aca="false">INDEX(Training!$C$114:$Q$114,3*(Unit_Cost!J$6-1)+2)</f>
        <v>0.278677028573849</v>
      </c>
      <c r="K338" s="199" t="n">
        <f aca="false">INDEX(Training!$C$114:$Q$114,3*(Unit_Cost!K$6-1)+2)</f>
        <v>0.278677028573849</v>
      </c>
      <c r="L338" s="199" t="n">
        <f aca="false">INDEX(Training!$C$114:$Q$114,3*(Unit_Cost!L$6-1)+2)</f>
        <v>0.391159262955</v>
      </c>
      <c r="M338" s="199" t="n">
        <f aca="false">INDEX(Training!$C$114:$Q$114,3*(Unit_Cost!M$6-1)+2)</f>
        <v>0.391159262955</v>
      </c>
      <c r="N338" s="199" t="n">
        <f aca="false">INDEX(Training!$C$114:$Q$114,3*(Unit_Cost!N$6-1)+2)</f>
        <v>0.391159262955</v>
      </c>
      <c r="O338" s="199" t="n">
        <f aca="false">INDEX(Training!$C$114:$Q$114,3*(Unit_Cost!O$6-1)+2)</f>
        <v>0.320544061824616</v>
      </c>
      <c r="P338" s="199" t="n">
        <f aca="false">INDEX(Training!$C$114:$Q$114,3*(Unit_Cost!P$6-1)+2)</f>
        <v>0.320544061824616</v>
      </c>
      <c r="Q338" s="199" t="n">
        <f aca="false">INDEX(Training!$C$114:$Q$114,3*(Unit_Cost!Q$6-1)+2)</f>
        <v>0.320544061824616</v>
      </c>
      <c r="R338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814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3554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3880</v>
      </c>
      <c r="B339" s="30" t="s">
        <v>131</v>
      </c>
      <c r="C339" s="199" t="n">
        <f aca="false">Theory_Rev!C42</f>
        <v>0.619100687244222</v>
      </c>
      <c r="D339" s="199" t="n">
        <f aca="false">Theory_Rev!D42</f>
        <v>0.455782266458514</v>
      </c>
      <c r="E339" s="199" t="n">
        <f aca="false">Theory_Rev!E42</f>
        <v>0.0653967124583024</v>
      </c>
      <c r="F339" s="199" t="n">
        <f aca="false">Theory_Rev!F42</f>
        <v>0.916671167593643</v>
      </c>
      <c r="G339" s="199" t="n">
        <f aca="false">Theory_Rev!G42</f>
        <v>0.88874696282043</v>
      </c>
      <c r="H339" s="199" t="n">
        <f aca="false">Theory_Rev!H42</f>
        <v>0.819572255485605</v>
      </c>
      <c r="I339" s="199" t="n">
        <f aca="false">Theory_Rev!I42</f>
        <v>0.924742185963559</v>
      </c>
      <c r="J339" s="199" t="n">
        <f aca="false">Theory_Rev!J42</f>
        <v>0.902807731186605</v>
      </c>
      <c r="K339" s="199" t="n">
        <f aca="false">Theory_Rev!K42</f>
        <v>0.834543624271854</v>
      </c>
      <c r="L339" s="199" t="n">
        <f aca="false">Theory_Rev!L42</f>
        <v>0.945098870959711</v>
      </c>
      <c r="M339" s="199" t="n">
        <f aca="false">Theory_Rev!M42</f>
        <v>0.929445151757729</v>
      </c>
      <c r="N339" s="199" t="n">
        <f aca="false">Theory_Rev!N42</f>
        <v>0.886032114430712</v>
      </c>
      <c r="O339" s="199" t="n">
        <f aca="false">Theory_Rev!O42</f>
        <v>0.957700415081478</v>
      </c>
      <c r="P339" s="199" t="n">
        <f aca="false">Theory_Rev!P42</f>
        <v>0.935723466596503</v>
      </c>
      <c r="Q339" s="199" t="n">
        <f aca="false">Theory_Rev!Q42</f>
        <v>0.882681223072744</v>
      </c>
      <c r="R339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814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3610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308</v>
      </c>
    </row>
    <row r="341" customFormat="false" ht="15" hidden="false" customHeight="true" outlineLevel="0" collapsed="false">
      <c r="A341" s="44" t="s">
        <v>3881</v>
      </c>
      <c r="B341" s="30" t="s">
        <v>359</v>
      </c>
      <c r="C341" s="220" t="n">
        <f aca="false">INDEX(Training!$C$109:$Q$109,3*(Unit_Cost!C$6-1)+3)</f>
        <v>1.0080164477952E+026</v>
      </c>
      <c r="D341" s="220" t="n">
        <f aca="false">INDEX(Training!$C$109:$Q$109,3*(Unit_Cost!D$6-1)+3)</f>
        <v>1.0080164477952E+026</v>
      </c>
      <c r="E341" s="220" t="n">
        <f aca="false">INDEX(Training!$C$109:$Q$109,3*(Unit_Cost!E$6-1)+3)</f>
        <v>1.0080164477952E+026</v>
      </c>
      <c r="F341" s="220" t="n">
        <f aca="false">INDEX(Training!$C$109:$Q$109,3*(Unit_Cost!F$6-1)+3)</f>
        <v>1.0080164477952E+026</v>
      </c>
      <c r="G341" s="220" t="n">
        <f aca="false">INDEX(Training!$C$109:$Q$109,3*(Unit_Cost!G$6-1)+3)</f>
        <v>1.0080164477952E+026</v>
      </c>
      <c r="H341" s="220" t="n">
        <f aca="false">INDEX(Training!$C$109:$Q$109,3*(Unit_Cost!H$6-1)+3)</f>
        <v>1.0080164477952E+026</v>
      </c>
      <c r="I341" s="220" t="n">
        <f aca="false">INDEX(Training!$C$109:$Q$109,3*(Unit_Cost!I$6-1)+3)</f>
        <v>1.0080164477952E+026</v>
      </c>
      <c r="J341" s="220" t="n">
        <f aca="false">INDEX(Training!$C$109:$Q$109,3*(Unit_Cost!J$6-1)+3)</f>
        <v>1.0080164477952E+026</v>
      </c>
      <c r="K341" s="220" t="n">
        <f aca="false">INDEX(Training!$C$109:$Q$109,3*(Unit_Cost!K$6-1)+3)</f>
        <v>1.0080164477952E+026</v>
      </c>
      <c r="L341" s="220" t="n">
        <f aca="false">INDEX(Training!$C$109:$Q$109,3*(Unit_Cost!L$6-1)+3)</f>
        <v>1.0080164477952E+026</v>
      </c>
      <c r="M341" s="220" t="n">
        <f aca="false">INDEX(Training!$C$109:$Q$109,3*(Unit_Cost!M$6-1)+3)</f>
        <v>1.0080164477952E+026</v>
      </c>
      <c r="N341" s="220" t="n">
        <f aca="false">INDEX(Training!$C$109:$Q$109,3*(Unit_Cost!N$6-1)+3)</f>
        <v>1.0080164477952E+026</v>
      </c>
      <c r="O341" s="220" t="n">
        <f aca="false">INDEX(Training!$C$109:$Q$109,3*(Unit_Cost!O$6-1)+3)</f>
        <v>1.0080164477952E+026</v>
      </c>
      <c r="P341" s="220" t="n">
        <f aca="false">INDEX(Training!$C$109:$Q$109,3*(Unit_Cost!P$6-1)+3)</f>
        <v>1.0080164477952E+026</v>
      </c>
      <c r="Q341" s="220" t="n">
        <f aca="false">INDEX(Training!$C$109:$Q$109,3*(Unit_Cost!Q$6-1)+3)</f>
        <v>1.0080164477952E+026</v>
      </c>
      <c r="R341" s="187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814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3875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3882</v>
      </c>
      <c r="B342" s="30" t="s">
        <v>131</v>
      </c>
      <c r="C342" s="199" t="n">
        <f aca="false">INDEX(Training!$C$114:$Q$114,3*(Unit_Cost!C$6-1)+3)</f>
        <v>0.453655035516492</v>
      </c>
      <c r="D342" s="199" t="n">
        <f aca="false">INDEX(Training!$C$114:$Q$114,3*(Unit_Cost!D$6-1)+3)</f>
        <v>0.453655035516492</v>
      </c>
      <c r="E342" s="199" t="n">
        <f aca="false">INDEX(Training!$C$114:$Q$114,3*(Unit_Cost!E$6-1)+3)</f>
        <v>0.453655035516492</v>
      </c>
      <c r="F342" s="199" t="n">
        <f aca="false">INDEX(Training!$C$114:$Q$114,3*(Unit_Cost!F$6-1)+3)</f>
        <v>0.160627846136576</v>
      </c>
      <c r="G342" s="199" t="n">
        <f aca="false">INDEX(Training!$C$114:$Q$114,3*(Unit_Cost!G$6-1)+3)</f>
        <v>0.160627846136576</v>
      </c>
      <c r="H342" s="199" t="n">
        <f aca="false">INDEX(Training!$C$114:$Q$114,3*(Unit_Cost!H$6-1)+3)</f>
        <v>0.160627846136576</v>
      </c>
      <c r="I342" s="199" t="n">
        <f aca="false">INDEX(Training!$C$114:$Q$114,3*(Unit_Cost!I$6-1)+3)</f>
        <v>0.2375249280719</v>
      </c>
      <c r="J342" s="199" t="n">
        <f aca="false">INDEX(Training!$C$114:$Q$114,3*(Unit_Cost!J$6-1)+3)</f>
        <v>0.2375249280719</v>
      </c>
      <c r="K342" s="199" t="n">
        <f aca="false">INDEX(Training!$C$114:$Q$114,3*(Unit_Cost!K$6-1)+3)</f>
        <v>0.2375249280719</v>
      </c>
      <c r="L342" s="199" t="n">
        <f aca="false">INDEX(Training!$C$114:$Q$114,3*(Unit_Cost!L$6-1)+3)</f>
        <v>0.337769132370908</v>
      </c>
      <c r="M342" s="199" t="n">
        <f aca="false">INDEX(Training!$C$114:$Q$114,3*(Unit_Cost!M$6-1)+3)</f>
        <v>0.337769132370908</v>
      </c>
      <c r="N342" s="199" t="n">
        <f aca="false">INDEX(Training!$C$114:$Q$114,3*(Unit_Cost!N$6-1)+3)</f>
        <v>0.337769132370908</v>
      </c>
      <c r="O342" s="199" t="n">
        <f aca="false">INDEX(Training!$C$114:$Q$114,3*(Unit_Cost!O$6-1)+3)</f>
        <v>0.271613044522394</v>
      </c>
      <c r="P342" s="199" t="n">
        <f aca="false">INDEX(Training!$C$114:$Q$114,3*(Unit_Cost!P$6-1)+3)</f>
        <v>0.271613044522394</v>
      </c>
      <c r="Q342" s="199" t="n">
        <f aca="false">INDEX(Training!$C$114:$Q$114,3*(Unit_Cost!Q$6-1)+3)</f>
        <v>0.271613044522394</v>
      </c>
      <c r="R342" s="187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814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3554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3883</v>
      </c>
      <c r="B343" s="30" t="s">
        <v>131</v>
      </c>
      <c r="C343" s="199" t="n">
        <f aca="false">Theory_Rev!C60</f>
        <v>-0.0423636872108961</v>
      </c>
      <c r="D343" s="199" t="n">
        <f aca="false">Theory_Rev!D60</f>
        <v>-0.489282735523503</v>
      </c>
      <c r="E343" s="199" t="n">
        <f aca="false">Theory_Rev!E60</f>
        <v>-1.55756847714042</v>
      </c>
      <c r="F343" s="199" t="n">
        <f aca="false">Theory_Rev!F60</f>
        <v>0.764703194772414</v>
      </c>
      <c r="G343" s="199" t="n">
        <f aca="false">Theory_Rev!G60</f>
        <v>0.685866087796282</v>
      </c>
      <c r="H343" s="199" t="n">
        <f aca="false">Theory_Rev!H60</f>
        <v>0.490568357870247</v>
      </c>
      <c r="I343" s="199" t="n">
        <f aca="false">Theory_Rev!I60</f>
        <v>0.780619311588139</v>
      </c>
      <c r="J343" s="199" t="n">
        <f aca="false">Theory_Rev!J60</f>
        <v>0.716689693020955</v>
      </c>
      <c r="K343" s="199" t="n">
        <f aca="false">Theory_Rev!K60</f>
        <v>0.517728817938032</v>
      </c>
      <c r="L343" s="199" t="n">
        <f aca="false">Theory_Rev!L60</f>
        <v>0.8521867164089</v>
      </c>
      <c r="M343" s="199" t="n">
        <f aca="false">Theory_Rev!M60</f>
        <v>0.810052326546935</v>
      </c>
      <c r="N343" s="199" t="n">
        <f aca="false">Theory_Rev!N60</f>
        <v>0.69319946773259</v>
      </c>
      <c r="O343" s="199" t="n">
        <f aca="false">Theory_Rev!O60</f>
        <v>0.88685479090763</v>
      </c>
      <c r="P343" s="199" t="n">
        <f aca="false">Theory_Rev!P60</f>
        <v>0.828090036296585</v>
      </c>
      <c r="Q343" s="199" t="n">
        <f aca="false">Theory_Rev!Q60</f>
        <v>0.686258952385007</v>
      </c>
      <c r="R343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814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3610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3884</v>
      </c>
      <c r="B344" s="30" t="s">
        <v>131</v>
      </c>
      <c r="C344" s="199" t="n">
        <f aca="false">Amortize!C49</f>
        <v>0.599631943993408</v>
      </c>
      <c r="D344" s="199" t="n">
        <f aca="false">Amortize!D49</f>
        <v>0.856729300412253</v>
      </c>
      <c r="E344" s="199" t="n">
        <f aca="false">Amortize!E49</f>
        <v>1.47127782123865</v>
      </c>
      <c r="F344" s="199" t="n">
        <f aca="false">Amortize!F49</f>
        <v>0.133853492841684</v>
      </c>
      <c r="G344" s="199" t="n">
        <f aca="false">Amortize!G49</f>
        <v>0.178703107389502</v>
      </c>
      <c r="H344" s="199" t="n">
        <f aca="false">Amortize!H49</f>
        <v>0.289805965487762</v>
      </c>
      <c r="I344" s="199" t="n">
        <f aca="false">Amortize!I49</f>
        <v>0.124109013161328</v>
      </c>
      <c r="J344" s="199" t="n">
        <f aca="false">Amortize!J49</f>
        <v>0.160276613381475</v>
      </c>
      <c r="K344" s="199" t="n">
        <f aca="false">Amortize!K49</f>
        <v>0.272836918772434</v>
      </c>
      <c r="L344" s="199" t="n">
        <f aca="false">Amortize!L49</f>
        <v>0.0852594789161227</v>
      </c>
      <c r="M344" s="199" t="n">
        <f aca="false">Amortize!M49</f>
        <v>0.109564287127429</v>
      </c>
      <c r="N344" s="199" t="n">
        <f aca="false">Amortize!N49</f>
        <v>0.17696970896289</v>
      </c>
      <c r="O344" s="199" t="n">
        <f aca="false">Amortize!O49</f>
        <v>0.0653163913707655</v>
      </c>
      <c r="P344" s="199" t="n">
        <f aca="false">Amortize!P49</f>
        <v>0.0992429162376635</v>
      </c>
      <c r="Q344" s="199" t="n">
        <f aca="false">Amortize!Q49</f>
        <v>0.18112593994931</v>
      </c>
      <c r="R344" s="187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814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3610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3885</v>
      </c>
    </row>
    <row r="2" customFormat="false" ht="15" hidden="false" customHeight="false" outlineLevel="0" collapsed="false">
      <c r="A2" s="65" t="s">
        <v>3886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3887</v>
      </c>
      <c r="B4" s="84" t="s">
        <v>3888</v>
      </c>
      <c r="C4" s="84" t="s">
        <v>3889</v>
      </c>
      <c r="D4" s="84" t="s">
        <v>3890</v>
      </c>
      <c r="E4" s="84" t="s">
        <v>1440</v>
      </c>
      <c r="F4" s="84" t="s">
        <v>1441</v>
      </c>
      <c r="G4" s="84" t="s">
        <v>113</v>
      </c>
      <c r="H4" s="84" t="s">
        <v>3891</v>
      </c>
      <c r="I4" s="84" t="s">
        <v>3892</v>
      </c>
      <c r="J4" s="84" t="s">
        <v>3893</v>
      </c>
      <c r="K4" s="84" t="s">
        <v>3894</v>
      </c>
      <c r="L4" s="84" t="s">
        <v>3895</v>
      </c>
      <c r="M4" s="84" t="s">
        <v>3896</v>
      </c>
      <c r="N4" s="84" t="s">
        <v>3897</v>
      </c>
      <c r="O4" s="84" t="s">
        <v>3898</v>
      </c>
      <c r="P4" s="84" t="s">
        <v>647</v>
      </c>
      <c r="Q4" s="84" t="s">
        <v>38</v>
      </c>
      <c r="R4" s="84" t="s">
        <v>3899</v>
      </c>
      <c r="S4" s="84" t="s">
        <v>3900</v>
      </c>
      <c r="T4" s="84" t="s">
        <v>3901</v>
      </c>
      <c r="U4" s="84" t="s">
        <v>3902</v>
      </c>
    </row>
    <row r="5" customFormat="false" ht="29.85" hidden="false" customHeight="false" outlineLevel="0" collapsed="false">
      <c r="A5" s="62" t="s">
        <v>3903</v>
      </c>
      <c r="B5" s="5" t="s">
        <v>3904</v>
      </c>
      <c r="C5" s="5" t="s">
        <v>3905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3906</v>
      </c>
      <c r="H5" s="5" t="s">
        <v>3907</v>
      </c>
      <c r="I5" s="6" t="s">
        <v>3908</v>
      </c>
      <c r="J5" s="5" t="s">
        <v>3909</v>
      </c>
      <c r="K5" s="5" t="s">
        <v>3910</v>
      </c>
      <c r="L5" s="62" t="s">
        <v>814</v>
      </c>
      <c r="M5" s="116" t="s">
        <v>814</v>
      </c>
      <c r="N5" s="116" t="s">
        <v>814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3903</v>
      </c>
      <c r="R5" s="62" t="s">
        <v>3911</v>
      </c>
      <c r="S5" s="6" t="s">
        <v>814</v>
      </c>
      <c r="T5" s="60" t="s">
        <v>3912</v>
      </c>
      <c r="U5" s="93" t="s">
        <v>3913</v>
      </c>
    </row>
    <row r="6" customFormat="false" ht="29.85" hidden="false" customHeight="false" outlineLevel="0" collapsed="false">
      <c r="A6" s="62" t="s">
        <v>3914</v>
      </c>
      <c r="B6" s="5" t="s">
        <v>3915</v>
      </c>
      <c r="C6" s="5" t="s">
        <v>3905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3906</v>
      </c>
      <c r="H6" s="5" t="s">
        <v>3907</v>
      </c>
      <c r="I6" s="6" t="s">
        <v>3908</v>
      </c>
      <c r="J6" s="5" t="s">
        <v>3909</v>
      </c>
      <c r="K6" s="5" t="s">
        <v>3910</v>
      </c>
      <c r="L6" s="62" t="s">
        <v>814</v>
      </c>
      <c r="M6" s="116" t="s">
        <v>814</v>
      </c>
      <c r="N6" s="116" t="s">
        <v>814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3914</v>
      </c>
      <c r="R6" s="62" t="s">
        <v>3911</v>
      </c>
      <c r="S6" s="6" t="s">
        <v>814</v>
      </c>
      <c r="T6" s="60" t="s">
        <v>3912</v>
      </c>
      <c r="U6" s="93" t="s">
        <v>3913</v>
      </c>
    </row>
    <row r="7" customFormat="false" ht="29.85" hidden="false" customHeight="false" outlineLevel="0" collapsed="false">
      <c r="A7" s="62" t="s">
        <v>3916</v>
      </c>
      <c r="B7" s="5" t="s">
        <v>3917</v>
      </c>
      <c r="C7" s="5" t="s">
        <v>3905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3906</v>
      </c>
      <c r="H7" s="5" t="s">
        <v>3907</v>
      </c>
      <c r="I7" s="6" t="s">
        <v>3908</v>
      </c>
      <c r="J7" s="5" t="s">
        <v>3909</v>
      </c>
      <c r="K7" s="5" t="s">
        <v>3910</v>
      </c>
      <c r="L7" s="62" t="s">
        <v>814</v>
      </c>
      <c r="M7" s="116" t="s">
        <v>814</v>
      </c>
      <c r="N7" s="116" t="s">
        <v>814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3916</v>
      </c>
      <c r="R7" s="62" t="s">
        <v>3911</v>
      </c>
      <c r="S7" s="6" t="s">
        <v>814</v>
      </c>
      <c r="T7" s="60" t="s">
        <v>3912</v>
      </c>
      <c r="U7" s="93" t="s">
        <v>3913</v>
      </c>
    </row>
    <row r="8" customFormat="false" ht="29.85" hidden="false" customHeight="false" outlineLevel="0" collapsed="false">
      <c r="A8" s="62" t="s">
        <v>3918</v>
      </c>
      <c r="B8" s="5" t="s">
        <v>3919</v>
      </c>
      <c r="C8" s="5" t="s">
        <v>3905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3906</v>
      </c>
      <c r="H8" s="5" t="s">
        <v>3907</v>
      </c>
      <c r="I8" s="6" t="s">
        <v>3908</v>
      </c>
      <c r="J8" s="5" t="s">
        <v>3909</v>
      </c>
      <c r="K8" s="5" t="s">
        <v>3910</v>
      </c>
      <c r="L8" s="62" t="s">
        <v>3920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3918</v>
      </c>
      <c r="R8" s="62" t="s">
        <v>3911</v>
      </c>
      <c r="S8" s="5" t="s">
        <v>3921</v>
      </c>
      <c r="T8" s="60" t="s">
        <v>3912</v>
      </c>
      <c r="U8" s="93" t="s">
        <v>3913</v>
      </c>
      <c r="V8" s="65" t="s">
        <v>3922</v>
      </c>
    </row>
    <row r="9" customFormat="false" ht="29.85" hidden="false" customHeight="false" outlineLevel="0" collapsed="false">
      <c r="A9" s="62" t="s">
        <v>3923</v>
      </c>
      <c r="B9" s="5" t="s">
        <v>3924</v>
      </c>
      <c r="C9" s="5" t="s">
        <v>3925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3906</v>
      </c>
      <c r="H9" s="5" t="s">
        <v>3907</v>
      </c>
      <c r="I9" s="5" t="s">
        <v>3926</v>
      </c>
      <c r="J9" s="5" t="s">
        <v>3927</v>
      </c>
      <c r="K9" s="5" t="s">
        <v>3910</v>
      </c>
      <c r="L9" s="62" t="s">
        <v>3928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3923</v>
      </c>
      <c r="R9" s="62" t="s">
        <v>3929</v>
      </c>
      <c r="S9" s="5" t="s">
        <v>3930</v>
      </c>
      <c r="T9" s="60" t="s">
        <v>3912</v>
      </c>
      <c r="U9" s="93" t="s">
        <v>3913</v>
      </c>
      <c r="V9" s="65" t="s">
        <v>3931</v>
      </c>
    </row>
    <row r="10" customFormat="false" ht="44" hidden="false" customHeight="false" outlineLevel="0" collapsed="false">
      <c r="A10" s="62" t="s">
        <v>3932</v>
      </c>
      <c r="B10" s="5" t="s">
        <v>3933</v>
      </c>
      <c r="C10" s="5" t="s">
        <v>3934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153</v>
      </c>
      <c r="H10" s="5" t="s">
        <v>3907</v>
      </c>
      <c r="I10" s="5" t="s">
        <v>3935</v>
      </c>
      <c r="J10" s="5" t="s">
        <v>3936</v>
      </c>
      <c r="K10" s="5" t="s">
        <v>3937</v>
      </c>
      <c r="L10" s="62" t="s">
        <v>3938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3932</v>
      </c>
      <c r="R10" s="62" t="s">
        <v>3939</v>
      </c>
      <c r="S10" s="5" t="s">
        <v>3940</v>
      </c>
      <c r="T10" s="60" t="s">
        <v>3912</v>
      </c>
      <c r="U10" s="93" t="s">
        <v>3913</v>
      </c>
      <c r="V10" s="65" t="s">
        <v>3941</v>
      </c>
    </row>
    <row r="11" customFormat="false" ht="29.85" hidden="false" customHeight="false" outlineLevel="0" collapsed="false">
      <c r="A11" s="62" t="s">
        <v>3942</v>
      </c>
      <c r="B11" s="5" t="s">
        <v>3943</v>
      </c>
      <c r="C11" s="5" t="s">
        <v>3944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1930</v>
      </c>
      <c r="H11" s="5" t="s">
        <v>3907</v>
      </c>
      <c r="I11" s="5" t="s">
        <v>3945</v>
      </c>
      <c r="J11" s="6" t="s">
        <v>3946</v>
      </c>
      <c r="K11" s="5" t="s">
        <v>3947</v>
      </c>
      <c r="L11" s="62" t="s">
        <v>814</v>
      </c>
      <c r="M11" s="116" t="s">
        <v>814</v>
      </c>
      <c r="N11" s="116" t="s">
        <v>814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3942</v>
      </c>
      <c r="R11" s="62" t="s">
        <v>3948</v>
      </c>
      <c r="S11" s="6" t="s">
        <v>814</v>
      </c>
      <c r="T11" s="60" t="s">
        <v>3912</v>
      </c>
      <c r="U11" s="93" t="s">
        <v>3913</v>
      </c>
    </row>
    <row r="12" customFormat="false" ht="29.85" hidden="false" customHeight="false" outlineLevel="0" collapsed="false">
      <c r="A12" s="62" t="s">
        <v>3949</v>
      </c>
      <c r="B12" s="5" t="s">
        <v>3950</v>
      </c>
      <c r="C12" s="5" t="s">
        <v>3944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1930</v>
      </c>
      <c r="H12" s="5" t="s">
        <v>3907</v>
      </c>
      <c r="I12" s="5" t="s">
        <v>3945</v>
      </c>
      <c r="J12" s="6" t="s">
        <v>3946</v>
      </c>
      <c r="K12" s="5" t="s">
        <v>3947</v>
      </c>
      <c r="L12" s="62" t="s">
        <v>814</v>
      </c>
      <c r="M12" s="116" t="s">
        <v>814</v>
      </c>
      <c r="N12" s="116" t="s">
        <v>814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3949</v>
      </c>
      <c r="R12" s="62" t="s">
        <v>3948</v>
      </c>
      <c r="S12" s="6" t="s">
        <v>814</v>
      </c>
      <c r="T12" s="60" t="s">
        <v>3912</v>
      </c>
      <c r="U12" s="93" t="s">
        <v>3913</v>
      </c>
    </row>
    <row r="13" customFormat="false" ht="29.85" hidden="false" customHeight="false" outlineLevel="0" collapsed="false">
      <c r="A13" s="62" t="s">
        <v>3951</v>
      </c>
      <c r="B13" s="5" t="s">
        <v>3952</v>
      </c>
      <c r="C13" s="5" t="s">
        <v>3944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1930</v>
      </c>
      <c r="H13" s="5" t="s">
        <v>3907</v>
      </c>
      <c r="I13" s="5" t="s">
        <v>3945</v>
      </c>
      <c r="J13" s="6" t="s">
        <v>3946</v>
      </c>
      <c r="K13" s="5" t="s">
        <v>3947</v>
      </c>
      <c r="L13" s="62" t="s">
        <v>814</v>
      </c>
      <c r="M13" s="116" t="s">
        <v>814</v>
      </c>
      <c r="N13" s="116" t="s">
        <v>814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3951</v>
      </c>
      <c r="R13" s="62" t="s">
        <v>3948</v>
      </c>
      <c r="S13" s="6" t="s">
        <v>814</v>
      </c>
      <c r="T13" s="60" t="s">
        <v>3912</v>
      </c>
      <c r="U13" s="93" t="s">
        <v>3913</v>
      </c>
    </row>
    <row r="14" customFormat="false" ht="29.85" hidden="false" customHeight="false" outlineLevel="0" collapsed="false">
      <c r="A14" s="62" t="s">
        <v>3953</v>
      </c>
      <c r="B14" s="5" t="s">
        <v>3954</v>
      </c>
      <c r="C14" s="5" t="s">
        <v>3944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1930</v>
      </c>
      <c r="H14" s="5" t="s">
        <v>3907</v>
      </c>
      <c r="I14" s="5" t="s">
        <v>3945</v>
      </c>
      <c r="J14" s="6" t="s">
        <v>3946</v>
      </c>
      <c r="K14" s="5" t="s">
        <v>3947</v>
      </c>
      <c r="L14" s="62" t="s">
        <v>814</v>
      </c>
      <c r="M14" s="116" t="s">
        <v>814</v>
      </c>
      <c r="N14" s="116" t="s">
        <v>814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3953</v>
      </c>
      <c r="R14" s="62" t="s">
        <v>3948</v>
      </c>
      <c r="S14" s="6" t="s">
        <v>814</v>
      </c>
      <c r="T14" s="60" t="s">
        <v>3912</v>
      </c>
      <c r="U14" s="93" t="s">
        <v>3913</v>
      </c>
    </row>
    <row r="15" customFormat="false" ht="29.85" hidden="false" customHeight="false" outlineLevel="0" collapsed="false">
      <c r="A15" s="62" t="s">
        <v>3955</v>
      </c>
      <c r="B15" s="5" t="s">
        <v>3956</v>
      </c>
      <c r="C15" s="6" t="s">
        <v>3957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1054</v>
      </c>
      <c r="H15" s="5" t="s">
        <v>3907</v>
      </c>
      <c r="I15" s="5" t="s">
        <v>3958</v>
      </c>
      <c r="J15" s="5" t="s">
        <v>3959</v>
      </c>
      <c r="K15" s="5" t="s">
        <v>3947</v>
      </c>
      <c r="L15" s="62" t="s">
        <v>814</v>
      </c>
      <c r="M15" s="116" t="s">
        <v>814</v>
      </c>
      <c r="N15" s="116" t="s">
        <v>814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3955</v>
      </c>
      <c r="R15" s="62" t="s">
        <v>3960</v>
      </c>
      <c r="S15" s="6" t="s">
        <v>814</v>
      </c>
      <c r="T15" s="60" t="s">
        <v>3912</v>
      </c>
      <c r="U15" s="93" t="s">
        <v>3913</v>
      </c>
    </row>
    <row r="16" customFormat="false" ht="44" hidden="false" customHeight="false" outlineLevel="0" collapsed="false">
      <c r="A16" s="62" t="s">
        <v>3961</v>
      </c>
      <c r="B16" s="5" t="s">
        <v>3962</v>
      </c>
      <c r="C16" s="6" t="s">
        <v>3957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1054</v>
      </c>
      <c r="H16" s="5" t="s">
        <v>3907</v>
      </c>
      <c r="I16" s="5" t="s">
        <v>3958</v>
      </c>
      <c r="J16" s="5" t="s">
        <v>3959</v>
      </c>
      <c r="K16" s="5" t="s">
        <v>3947</v>
      </c>
      <c r="L16" s="62" t="s">
        <v>3963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3961</v>
      </c>
      <c r="R16" s="62" t="s">
        <v>3960</v>
      </c>
      <c r="S16" s="5" t="s">
        <v>3964</v>
      </c>
      <c r="T16" s="60" t="s">
        <v>3912</v>
      </c>
      <c r="U16" s="93" t="s">
        <v>3913</v>
      </c>
      <c r="V16" s="65" t="s">
        <v>3965</v>
      </c>
    </row>
    <row r="17" customFormat="false" ht="44" hidden="false" customHeight="false" outlineLevel="0" collapsed="false">
      <c r="A17" s="62" t="s">
        <v>3966</v>
      </c>
      <c r="B17" s="5" t="s">
        <v>3967</v>
      </c>
      <c r="C17" s="6" t="s">
        <v>3957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1054</v>
      </c>
      <c r="H17" s="5" t="s">
        <v>3907</v>
      </c>
      <c r="I17" s="5" t="s">
        <v>3958</v>
      </c>
      <c r="J17" s="5" t="s">
        <v>3959</v>
      </c>
      <c r="K17" s="5" t="s">
        <v>3947</v>
      </c>
      <c r="L17" s="62" t="s">
        <v>3968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3966</v>
      </c>
      <c r="R17" s="62" t="s">
        <v>3960</v>
      </c>
      <c r="S17" s="5" t="s">
        <v>3964</v>
      </c>
      <c r="T17" s="60" t="s">
        <v>3912</v>
      </c>
      <c r="U17" s="93" t="s">
        <v>3913</v>
      </c>
      <c r="V17" s="65" t="s">
        <v>3969</v>
      </c>
    </row>
    <row r="18" customFormat="false" ht="29.85" hidden="false" customHeight="false" outlineLevel="0" collapsed="false">
      <c r="A18" s="62" t="s">
        <v>3970</v>
      </c>
      <c r="B18" s="5" t="s">
        <v>3971</v>
      </c>
      <c r="C18" s="6" t="s">
        <v>3957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1054</v>
      </c>
      <c r="H18" s="5" t="s">
        <v>3907</v>
      </c>
      <c r="I18" s="5" t="s">
        <v>3958</v>
      </c>
      <c r="J18" s="5" t="s">
        <v>3959</v>
      </c>
      <c r="K18" s="5" t="s">
        <v>3947</v>
      </c>
      <c r="L18" s="62" t="s">
        <v>814</v>
      </c>
      <c r="M18" s="116" t="s">
        <v>814</v>
      </c>
      <c r="N18" s="116" t="s">
        <v>814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3970</v>
      </c>
      <c r="R18" s="62" t="s">
        <v>3960</v>
      </c>
      <c r="S18" s="6" t="s">
        <v>814</v>
      </c>
      <c r="T18" s="60" t="s">
        <v>3912</v>
      </c>
      <c r="U18" s="93" t="s">
        <v>3913</v>
      </c>
    </row>
    <row r="19" customFormat="false" ht="44" hidden="false" customHeight="false" outlineLevel="0" collapsed="false">
      <c r="A19" s="62" t="s">
        <v>3972</v>
      </c>
      <c r="B19" s="6" t="s">
        <v>3973</v>
      </c>
      <c r="C19" s="5" t="s">
        <v>3974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1045</v>
      </c>
      <c r="H19" s="5" t="s">
        <v>3907</v>
      </c>
      <c r="I19" s="5" t="s">
        <v>3975</v>
      </c>
      <c r="J19" s="6" t="s">
        <v>3976</v>
      </c>
      <c r="K19" s="5" t="s">
        <v>3977</v>
      </c>
      <c r="L19" s="62" t="s">
        <v>814</v>
      </c>
      <c r="M19" s="116" t="s">
        <v>814</v>
      </c>
      <c r="N19" s="116" t="s">
        <v>814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3972</v>
      </c>
      <c r="R19" s="62" t="s">
        <v>3978</v>
      </c>
      <c r="S19" s="6" t="s">
        <v>3979</v>
      </c>
      <c r="T19" s="60" t="s">
        <v>3912</v>
      </c>
      <c r="U19" s="88" t="s">
        <v>3980</v>
      </c>
    </row>
    <row r="20" customFormat="false" ht="44" hidden="false" customHeight="false" outlineLevel="0" collapsed="false">
      <c r="A20" s="62" t="s">
        <v>3981</v>
      </c>
      <c r="B20" s="6" t="s">
        <v>3982</v>
      </c>
      <c r="C20" s="5" t="s">
        <v>3974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1045</v>
      </c>
      <c r="H20" s="5" t="s">
        <v>3907</v>
      </c>
      <c r="I20" s="5" t="s">
        <v>3975</v>
      </c>
      <c r="J20" s="6" t="s">
        <v>3976</v>
      </c>
      <c r="K20" s="5" t="s">
        <v>3977</v>
      </c>
      <c r="L20" s="62" t="s">
        <v>814</v>
      </c>
      <c r="M20" s="116" t="s">
        <v>814</v>
      </c>
      <c r="N20" s="116" t="s">
        <v>814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3981</v>
      </c>
      <c r="R20" s="62" t="s">
        <v>3978</v>
      </c>
      <c r="S20" s="6" t="s">
        <v>814</v>
      </c>
      <c r="T20" s="60" t="s">
        <v>3912</v>
      </c>
      <c r="U20" s="88" t="s">
        <v>3980</v>
      </c>
    </row>
    <row r="21" customFormat="false" ht="44" hidden="false" customHeight="false" outlineLevel="0" collapsed="false">
      <c r="A21" s="62" t="s">
        <v>3983</v>
      </c>
      <c r="B21" s="6" t="s">
        <v>3984</v>
      </c>
      <c r="C21" s="5" t="s">
        <v>3974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1045</v>
      </c>
      <c r="H21" s="5" t="s">
        <v>3907</v>
      </c>
      <c r="I21" s="5" t="s">
        <v>3975</v>
      </c>
      <c r="J21" s="6" t="s">
        <v>3976</v>
      </c>
      <c r="K21" s="5" t="s">
        <v>3977</v>
      </c>
      <c r="L21" s="62" t="s">
        <v>814</v>
      </c>
      <c r="M21" s="116" t="s">
        <v>814</v>
      </c>
      <c r="N21" s="116" t="s">
        <v>814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3983</v>
      </c>
      <c r="R21" s="62" t="s">
        <v>3978</v>
      </c>
      <c r="S21" s="6" t="s">
        <v>3979</v>
      </c>
      <c r="T21" s="60" t="s">
        <v>3912</v>
      </c>
      <c r="U21" s="88" t="s">
        <v>3980</v>
      </c>
    </row>
    <row r="22" customFormat="false" ht="44" hidden="false" customHeight="false" outlineLevel="0" collapsed="false">
      <c r="A22" s="62" t="s">
        <v>3985</v>
      </c>
      <c r="B22" s="6" t="s">
        <v>3986</v>
      </c>
      <c r="C22" s="5" t="s">
        <v>3974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1045</v>
      </c>
      <c r="H22" s="5" t="s">
        <v>3907</v>
      </c>
      <c r="I22" s="5" t="s">
        <v>3975</v>
      </c>
      <c r="J22" s="6" t="s">
        <v>3976</v>
      </c>
      <c r="K22" s="5" t="s">
        <v>3977</v>
      </c>
      <c r="L22" s="62" t="s">
        <v>814</v>
      </c>
      <c r="M22" s="116" t="s">
        <v>814</v>
      </c>
      <c r="N22" s="116" t="s">
        <v>814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3985</v>
      </c>
      <c r="R22" s="62" t="s">
        <v>3978</v>
      </c>
      <c r="S22" s="6" t="s">
        <v>814</v>
      </c>
      <c r="T22" s="60" t="s">
        <v>3912</v>
      </c>
      <c r="U22" s="88" t="s">
        <v>3980</v>
      </c>
    </row>
    <row r="23" customFormat="false" ht="44" hidden="false" customHeight="false" outlineLevel="0" collapsed="false">
      <c r="A23" s="62" t="s">
        <v>3987</v>
      </c>
      <c r="B23" s="6" t="s">
        <v>3988</v>
      </c>
      <c r="C23" s="5" t="s">
        <v>3974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1045</v>
      </c>
      <c r="H23" s="5" t="s">
        <v>3907</v>
      </c>
      <c r="I23" s="5" t="s">
        <v>3975</v>
      </c>
      <c r="J23" s="6" t="s">
        <v>3976</v>
      </c>
      <c r="K23" s="5" t="s">
        <v>3977</v>
      </c>
      <c r="L23" s="62" t="s">
        <v>814</v>
      </c>
      <c r="M23" s="116" t="s">
        <v>814</v>
      </c>
      <c r="N23" s="116" t="s">
        <v>814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3987</v>
      </c>
      <c r="R23" s="62" t="s">
        <v>3978</v>
      </c>
      <c r="S23" s="6" t="s">
        <v>3979</v>
      </c>
      <c r="T23" s="60" t="s">
        <v>3912</v>
      </c>
      <c r="U23" s="88" t="s">
        <v>3980</v>
      </c>
    </row>
    <row r="24" customFormat="false" ht="44" hidden="false" customHeight="false" outlineLevel="0" collapsed="false">
      <c r="A24" s="62" t="s">
        <v>3989</v>
      </c>
      <c r="B24" s="6" t="s">
        <v>3990</v>
      </c>
      <c r="C24" s="5" t="s">
        <v>3974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1045</v>
      </c>
      <c r="H24" s="5" t="s">
        <v>3907</v>
      </c>
      <c r="I24" s="5" t="s">
        <v>3975</v>
      </c>
      <c r="J24" s="6" t="s">
        <v>3976</v>
      </c>
      <c r="K24" s="5" t="s">
        <v>3977</v>
      </c>
      <c r="L24" s="62" t="s">
        <v>814</v>
      </c>
      <c r="M24" s="116" t="s">
        <v>814</v>
      </c>
      <c r="N24" s="116" t="s">
        <v>814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3989</v>
      </c>
      <c r="R24" s="62" t="s">
        <v>3978</v>
      </c>
      <c r="S24" s="6" t="s">
        <v>814</v>
      </c>
      <c r="T24" s="60" t="s">
        <v>3912</v>
      </c>
      <c r="U24" s="88" t="s">
        <v>3980</v>
      </c>
    </row>
    <row r="25" customFormat="false" ht="29.85" hidden="false" customHeight="false" outlineLevel="0" collapsed="false">
      <c r="A25" s="62" t="s">
        <v>3991</v>
      </c>
      <c r="B25" s="6" t="s">
        <v>3992</v>
      </c>
      <c r="C25" s="5" t="s">
        <v>3993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3994</v>
      </c>
      <c r="H25" s="5" t="s">
        <v>3907</v>
      </c>
      <c r="I25" s="5" t="s">
        <v>3995</v>
      </c>
      <c r="J25" s="5" t="s">
        <v>3996</v>
      </c>
      <c r="K25" s="6" t="s">
        <v>3997</v>
      </c>
      <c r="L25" s="62" t="s">
        <v>3998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3991</v>
      </c>
      <c r="R25" s="62" t="s">
        <v>3999</v>
      </c>
      <c r="S25" s="6" t="s">
        <v>4000</v>
      </c>
      <c r="T25" s="60" t="s">
        <v>3912</v>
      </c>
      <c r="U25" s="88" t="s">
        <v>3980</v>
      </c>
      <c r="V25" s="65" t="s">
        <v>4001</v>
      </c>
    </row>
    <row r="26" customFormat="false" ht="44" hidden="false" customHeight="false" outlineLevel="0" collapsed="false">
      <c r="A26" s="62" t="s">
        <v>4002</v>
      </c>
      <c r="B26" s="5" t="s">
        <v>4003</v>
      </c>
      <c r="C26" s="6" t="s">
        <v>4004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1930</v>
      </c>
      <c r="H26" s="5" t="s">
        <v>4005</v>
      </c>
      <c r="I26" s="5" t="s">
        <v>4006</v>
      </c>
      <c r="J26" s="5" t="s">
        <v>4007</v>
      </c>
      <c r="K26" s="5" t="s">
        <v>4008</v>
      </c>
      <c r="L26" s="62" t="s">
        <v>814</v>
      </c>
      <c r="M26" s="116" t="s">
        <v>814</v>
      </c>
      <c r="N26" s="116" t="s">
        <v>814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4002</v>
      </c>
      <c r="R26" s="62" t="s">
        <v>4009</v>
      </c>
      <c r="S26" s="5" t="s">
        <v>4010</v>
      </c>
      <c r="T26" s="60" t="s">
        <v>3912</v>
      </c>
      <c r="U26" s="93" t="s">
        <v>4011</v>
      </c>
    </row>
    <row r="27" customFormat="false" ht="44" hidden="false" customHeight="false" outlineLevel="0" collapsed="false">
      <c r="A27" s="62" t="s">
        <v>4012</v>
      </c>
      <c r="B27" s="5" t="s">
        <v>4013</v>
      </c>
      <c r="C27" s="6" t="s">
        <v>4004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1930</v>
      </c>
      <c r="H27" s="5" t="s">
        <v>4005</v>
      </c>
      <c r="I27" s="5" t="s">
        <v>4006</v>
      </c>
      <c r="J27" s="5" t="s">
        <v>4007</v>
      </c>
      <c r="K27" s="5" t="s">
        <v>4008</v>
      </c>
      <c r="L27" s="62" t="s">
        <v>814</v>
      </c>
      <c r="M27" s="116" t="s">
        <v>814</v>
      </c>
      <c r="N27" s="116" t="s">
        <v>814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4012</v>
      </c>
      <c r="R27" s="62" t="s">
        <v>4009</v>
      </c>
      <c r="S27" s="5" t="s">
        <v>4010</v>
      </c>
      <c r="T27" s="60" t="s">
        <v>3912</v>
      </c>
      <c r="U27" s="93" t="s">
        <v>4011</v>
      </c>
    </row>
    <row r="28" customFormat="false" ht="44" hidden="false" customHeight="false" outlineLevel="0" collapsed="false">
      <c r="A28" s="62" t="s">
        <v>4014</v>
      </c>
      <c r="B28" s="5" t="s">
        <v>4015</v>
      </c>
      <c r="C28" s="6" t="s">
        <v>4004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1930</v>
      </c>
      <c r="H28" s="5" t="s">
        <v>4005</v>
      </c>
      <c r="I28" s="5" t="s">
        <v>4006</v>
      </c>
      <c r="J28" s="5" t="s">
        <v>4007</v>
      </c>
      <c r="K28" s="5" t="s">
        <v>4008</v>
      </c>
      <c r="L28" s="62" t="s">
        <v>814</v>
      </c>
      <c r="M28" s="116" t="s">
        <v>814</v>
      </c>
      <c r="N28" s="116" t="s">
        <v>814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4014</v>
      </c>
      <c r="R28" s="62" t="s">
        <v>4009</v>
      </c>
      <c r="S28" s="5" t="s">
        <v>4010</v>
      </c>
      <c r="T28" s="60" t="s">
        <v>3912</v>
      </c>
      <c r="U28" s="93" t="s">
        <v>4011</v>
      </c>
    </row>
    <row r="29" customFormat="false" ht="44" hidden="false" customHeight="false" outlineLevel="0" collapsed="false">
      <c r="A29" s="62" t="s">
        <v>4016</v>
      </c>
      <c r="B29" s="6" t="s">
        <v>4017</v>
      </c>
      <c r="C29" s="6" t="s">
        <v>4004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1930</v>
      </c>
      <c r="H29" s="5" t="s">
        <v>4005</v>
      </c>
      <c r="I29" s="5" t="s">
        <v>4006</v>
      </c>
      <c r="J29" s="5" t="s">
        <v>4007</v>
      </c>
      <c r="K29" s="5" t="s">
        <v>4008</v>
      </c>
      <c r="L29" s="62" t="s">
        <v>814</v>
      </c>
      <c r="M29" s="116" t="s">
        <v>814</v>
      </c>
      <c r="N29" s="116" t="s">
        <v>814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4016</v>
      </c>
      <c r="R29" s="62" t="s">
        <v>4009</v>
      </c>
      <c r="S29" s="5" t="s">
        <v>4010</v>
      </c>
      <c r="T29" s="60" t="s">
        <v>3912</v>
      </c>
      <c r="U29" s="93" t="s">
        <v>4011</v>
      </c>
    </row>
    <row r="30" customFormat="false" ht="86.55" hidden="false" customHeight="false" outlineLevel="0" collapsed="false">
      <c r="A30" s="62" t="s">
        <v>4018</v>
      </c>
      <c r="B30" s="5" t="s">
        <v>4019</v>
      </c>
      <c r="C30" s="6" t="s">
        <v>3957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1054</v>
      </c>
      <c r="H30" s="5" t="s">
        <v>3907</v>
      </c>
      <c r="I30" s="5" t="s">
        <v>4020</v>
      </c>
      <c r="J30" s="5" t="s">
        <v>3959</v>
      </c>
      <c r="K30" s="5" t="s">
        <v>4021</v>
      </c>
      <c r="L30" s="62" t="s">
        <v>4022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4018</v>
      </c>
      <c r="R30" s="62" t="s">
        <v>4023</v>
      </c>
      <c r="S30" s="5" t="s">
        <v>4024</v>
      </c>
      <c r="T30" s="60" t="s">
        <v>3912</v>
      </c>
      <c r="U30" s="93" t="s">
        <v>4025</v>
      </c>
      <c r="V30" s="65" t="s">
        <v>4026</v>
      </c>
    </row>
    <row r="31" customFormat="false" ht="114.9" hidden="false" customHeight="false" outlineLevel="0" collapsed="false">
      <c r="A31" s="62" t="s">
        <v>4027</v>
      </c>
      <c r="B31" s="5" t="s">
        <v>4028</v>
      </c>
      <c r="C31" s="6" t="s">
        <v>3957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1054</v>
      </c>
      <c r="H31" s="5" t="s">
        <v>3907</v>
      </c>
      <c r="I31" s="5" t="s">
        <v>4029</v>
      </c>
      <c r="J31" s="5" t="s">
        <v>3959</v>
      </c>
      <c r="K31" s="5" t="s">
        <v>4030</v>
      </c>
      <c r="L31" s="62" t="s">
        <v>4031</v>
      </c>
      <c r="M31" s="94" t="n">
        <f aca="false">SRC_PRC_002*SRC_PRC_047</f>
        <v>3.0345</v>
      </c>
      <c r="N31" s="94" t="n">
        <f aca="false">SRC_PRC_002*SRC_PRC_047</f>
        <v>3.0345</v>
      </c>
      <c r="O31" s="78" t="n">
        <f aca="false">IF(AND(ISNUMBER(D31),ISNUMBER(M31),ISNUMBER(N31)),D31/((M31+N31)/2),"—")</f>
        <v>0.840925230942808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±20% 內</v>
      </c>
      <c r="Q31" s="62" t="s">
        <v>4027</v>
      </c>
      <c r="R31" s="62" t="s">
        <v>4032</v>
      </c>
      <c r="S31" s="5" t="s">
        <v>4033</v>
      </c>
      <c r="T31" s="60" t="s">
        <v>3912</v>
      </c>
      <c r="U31" s="93" t="s">
        <v>4025</v>
      </c>
      <c r="V31" s="65" t="s">
        <v>4034</v>
      </c>
    </row>
    <row r="32" customFormat="false" ht="39.55" hidden="false" customHeight="false" outlineLevel="0" collapsed="false">
      <c r="A32" s="62" t="s">
        <v>3123</v>
      </c>
      <c r="B32" s="6" t="s">
        <v>4035</v>
      </c>
      <c r="C32" s="6" t="s">
        <v>4036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136</v>
      </c>
      <c r="H32" s="6" t="s">
        <v>4037</v>
      </c>
      <c r="I32" s="5" t="s">
        <v>4038</v>
      </c>
      <c r="J32" s="6" t="s">
        <v>4039</v>
      </c>
      <c r="K32" s="6" t="s">
        <v>4040</v>
      </c>
      <c r="L32" s="62" t="s">
        <v>4041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3123</v>
      </c>
      <c r="R32" s="62" t="s">
        <v>4042</v>
      </c>
      <c r="S32" s="5" t="s">
        <v>4043</v>
      </c>
      <c r="T32" s="60" t="s">
        <v>4044</v>
      </c>
      <c r="U32" s="88" t="s">
        <v>4045</v>
      </c>
      <c r="V32" s="65" t="s">
        <v>4046</v>
      </c>
    </row>
    <row r="33" customFormat="false" ht="44" hidden="false" customHeight="false" outlineLevel="0" collapsed="false">
      <c r="A33" s="62" t="s">
        <v>3120</v>
      </c>
      <c r="B33" s="6" t="s">
        <v>4047</v>
      </c>
      <c r="C33" s="6" t="s">
        <v>4036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136</v>
      </c>
      <c r="H33" s="6" t="s">
        <v>4037</v>
      </c>
      <c r="I33" s="5" t="s">
        <v>4048</v>
      </c>
      <c r="J33" s="6" t="s">
        <v>4039</v>
      </c>
      <c r="K33" s="6" t="s">
        <v>4040</v>
      </c>
      <c r="L33" s="62" t="s">
        <v>4049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3120</v>
      </c>
      <c r="R33" s="62" t="s">
        <v>4050</v>
      </c>
      <c r="S33" s="5" t="s">
        <v>4051</v>
      </c>
      <c r="T33" s="60" t="s">
        <v>4044</v>
      </c>
      <c r="U33" s="88" t="s">
        <v>4045</v>
      </c>
      <c r="V33" s="65" t="s">
        <v>4052</v>
      </c>
    </row>
    <row r="34" customFormat="false" ht="29.85" hidden="false" customHeight="false" outlineLevel="0" collapsed="false">
      <c r="A34" s="62" t="s">
        <v>4053</v>
      </c>
      <c r="B34" s="5" t="s">
        <v>4054</v>
      </c>
      <c r="C34" s="6" t="s">
        <v>4055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131</v>
      </c>
      <c r="H34" s="5" t="s">
        <v>4056</v>
      </c>
      <c r="I34" s="5" t="s">
        <v>4057</v>
      </c>
      <c r="J34" s="5" t="s">
        <v>4058</v>
      </c>
      <c r="K34" s="5" t="s">
        <v>4059</v>
      </c>
      <c r="L34" s="62" t="s">
        <v>4060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4053</v>
      </c>
      <c r="R34" s="62" t="s">
        <v>4061</v>
      </c>
      <c r="S34" s="5" t="s">
        <v>4062</v>
      </c>
      <c r="T34" s="60" t="s">
        <v>4063</v>
      </c>
      <c r="U34" s="93" t="s">
        <v>4064</v>
      </c>
      <c r="V34" s="65" t="s">
        <v>4065</v>
      </c>
    </row>
    <row r="35" customFormat="false" ht="126.1" hidden="false" customHeight="false" outlineLevel="0" collapsed="false">
      <c r="A35" s="62" t="s">
        <v>4066</v>
      </c>
      <c r="B35" s="6" t="s">
        <v>4067</v>
      </c>
      <c r="C35" s="6" t="s">
        <v>4068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2" t="s">
        <v>1930</v>
      </c>
      <c r="H35" s="5" t="s">
        <v>4069</v>
      </c>
      <c r="I35" s="5" t="s">
        <v>4070</v>
      </c>
      <c r="J35" s="6" t="s">
        <v>4071</v>
      </c>
      <c r="K35" s="6" t="s">
        <v>4072</v>
      </c>
      <c r="L35" s="62" t="s">
        <v>4073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4066</v>
      </c>
      <c r="R35" s="62" t="s">
        <v>4074</v>
      </c>
      <c r="S35" s="5" t="s">
        <v>4075</v>
      </c>
      <c r="T35" s="60" t="s">
        <v>3912</v>
      </c>
      <c r="U35" s="93" t="s">
        <v>4011</v>
      </c>
      <c r="V35" s="65" t="s">
        <v>4076</v>
      </c>
    </row>
    <row r="36" customFormat="false" ht="58.2" hidden="false" customHeight="false" outlineLevel="0" collapsed="false">
      <c r="A36" s="62" t="s">
        <v>4077</v>
      </c>
      <c r="B36" s="6" t="s">
        <v>4078</v>
      </c>
      <c r="C36" s="6" t="s">
        <v>4079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359</v>
      </c>
      <c r="H36" s="5" t="s">
        <v>4080</v>
      </c>
      <c r="I36" s="5" t="s">
        <v>4081</v>
      </c>
      <c r="J36" s="6" t="s">
        <v>4082</v>
      </c>
      <c r="K36" s="6" t="s">
        <v>4083</v>
      </c>
      <c r="L36" s="62" t="s">
        <v>4084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4077</v>
      </c>
      <c r="R36" s="62" t="s">
        <v>4085</v>
      </c>
      <c r="S36" s="5" t="s">
        <v>4086</v>
      </c>
      <c r="T36" s="60" t="s">
        <v>3912</v>
      </c>
      <c r="U36" s="93" t="s">
        <v>4087</v>
      </c>
      <c r="V36" s="65" t="s">
        <v>4088</v>
      </c>
    </row>
    <row r="37" customFormat="false" ht="69.4" hidden="false" customHeight="false" outlineLevel="0" collapsed="false">
      <c r="A37" s="62" t="s">
        <v>3105</v>
      </c>
      <c r="B37" s="5" t="s">
        <v>4089</v>
      </c>
      <c r="C37" s="6" t="s">
        <v>4090</v>
      </c>
      <c r="D37" s="125" t="n">
        <f aca="false">IF_AllocQ1</f>
        <v>0.184322317309608</v>
      </c>
      <c r="E37" s="116" t="n">
        <f aca="false">IF(ISNUMBER(IF_AllocQ1),MIN(AL_SensQ1),"—")</f>
        <v>0.101517091423676</v>
      </c>
      <c r="F37" s="116" t="n">
        <f aca="false">IF(ISNUMBER(IF_AllocQ1),MAX(AL_SensQ1),"—")</f>
        <v>0.61267650366603</v>
      </c>
      <c r="G37" s="62" t="s">
        <v>131</v>
      </c>
      <c r="H37" s="6" t="s">
        <v>4091</v>
      </c>
      <c r="I37" s="5" t="s">
        <v>4092</v>
      </c>
      <c r="J37" s="6" t="s">
        <v>4093</v>
      </c>
      <c r="K37" s="5" t="s">
        <v>4094</v>
      </c>
      <c r="L37" s="62" t="s">
        <v>814</v>
      </c>
      <c r="M37" s="116" t="s">
        <v>814</v>
      </c>
      <c r="N37" s="116" t="s">
        <v>814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3105</v>
      </c>
      <c r="R37" s="62" t="s">
        <v>4095</v>
      </c>
      <c r="S37" s="6" t="s">
        <v>4096</v>
      </c>
      <c r="T37" s="60" t="s">
        <v>3912</v>
      </c>
      <c r="U37" s="88" t="s">
        <v>4097</v>
      </c>
    </row>
    <row r="38" customFormat="false" ht="58.2" hidden="false" customHeight="false" outlineLevel="0" collapsed="false">
      <c r="A38" s="62" t="s">
        <v>3108</v>
      </c>
      <c r="B38" s="5" t="s">
        <v>4098</v>
      </c>
      <c r="C38" s="6" t="s">
        <v>4099</v>
      </c>
      <c r="D38" s="125" t="n">
        <f aca="false">IF_AllocQ2</f>
        <v>0.184983490208217</v>
      </c>
      <c r="E38" s="116" t="n">
        <f aca="false">IF(ISNUMBER(IF_AllocQ2),MIN(AL_SensQ2),"—")</f>
        <v>0.101918351271327</v>
      </c>
      <c r="F38" s="116" t="n">
        <f aca="false">IF(ISNUMBER(IF_AllocQ2),MAX(AL_SensQ2),"—")</f>
        <v>0.613718116401616</v>
      </c>
      <c r="G38" s="62" t="s">
        <v>131</v>
      </c>
      <c r="H38" s="6" t="s">
        <v>4100</v>
      </c>
      <c r="I38" s="5" t="s">
        <v>4101</v>
      </c>
      <c r="J38" s="6" t="s">
        <v>4102</v>
      </c>
      <c r="K38" s="5" t="s">
        <v>4094</v>
      </c>
      <c r="L38" s="62" t="s">
        <v>814</v>
      </c>
      <c r="M38" s="116" t="s">
        <v>814</v>
      </c>
      <c r="N38" s="116" t="s">
        <v>814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3108</v>
      </c>
      <c r="R38" s="62" t="s">
        <v>4095</v>
      </c>
      <c r="S38" s="5" t="s">
        <v>4103</v>
      </c>
      <c r="T38" s="60" t="s">
        <v>3912</v>
      </c>
      <c r="U38" s="88" t="s">
        <v>4097</v>
      </c>
    </row>
    <row r="39" customFormat="false" ht="129.1" hidden="false" customHeight="false" outlineLevel="0" collapsed="false">
      <c r="A39" s="62" t="s">
        <v>3111</v>
      </c>
      <c r="B39" s="5" t="s">
        <v>4104</v>
      </c>
      <c r="C39" s="6" t="s">
        <v>4105</v>
      </c>
      <c r="D39" s="125" t="n">
        <f aca="false">AL_RDCost</f>
        <v>1.90653968242434</v>
      </c>
      <c r="E39" s="116" t="n">
        <f aca="false">IF(ISNUMBER(AL_RDCost),MIN(AL_SensCost),"—")</f>
        <v>0.95326984121217</v>
      </c>
      <c r="F39" s="116" t="n">
        <f aca="false">IF(ISNUMBER(AL_RDCost),MAX(AL_SensCost),"—")</f>
        <v>13.3457777769704</v>
      </c>
      <c r="G39" s="62" t="s">
        <v>2262</v>
      </c>
      <c r="H39" s="6" t="s">
        <v>4106</v>
      </c>
      <c r="I39" s="6" t="s">
        <v>4107</v>
      </c>
      <c r="J39" s="6" t="s">
        <v>4108</v>
      </c>
      <c r="K39" s="5" t="s">
        <v>4109</v>
      </c>
      <c r="L39" s="62" t="s">
        <v>4110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3111</v>
      </c>
      <c r="R39" s="62" t="s">
        <v>4111</v>
      </c>
      <c r="S39" s="5" t="s">
        <v>4112</v>
      </c>
      <c r="T39" s="60" t="s">
        <v>3912</v>
      </c>
      <c r="U39" s="88" t="s">
        <v>4097</v>
      </c>
      <c r="V39" s="65" t="s">
        <v>4113</v>
      </c>
    </row>
    <row r="40" customFormat="false" ht="83.55" hidden="false" customHeight="false" outlineLevel="0" collapsed="false">
      <c r="A40" s="62" t="s">
        <v>4114</v>
      </c>
      <c r="B40" s="5" t="s">
        <v>4115</v>
      </c>
      <c r="C40" s="6" t="s">
        <v>4116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1045</v>
      </c>
      <c r="H40" s="5" t="s">
        <v>3907</v>
      </c>
      <c r="I40" s="5" t="s">
        <v>4117</v>
      </c>
      <c r="J40" s="6" t="s">
        <v>3976</v>
      </c>
      <c r="K40" s="5" t="s">
        <v>3977</v>
      </c>
      <c r="L40" s="62" t="s">
        <v>814</v>
      </c>
      <c r="M40" s="116" t="s">
        <v>814</v>
      </c>
      <c r="N40" s="116" t="s">
        <v>814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4114</v>
      </c>
      <c r="R40" s="62" t="s">
        <v>4118</v>
      </c>
      <c r="S40" s="6" t="s">
        <v>4119</v>
      </c>
      <c r="T40" s="60" t="s">
        <v>3912</v>
      </c>
      <c r="U40" s="93" t="s">
        <v>4120</v>
      </c>
    </row>
    <row r="41" customFormat="false" ht="72.35" hidden="false" customHeight="false" outlineLevel="0" collapsed="false">
      <c r="A41" s="62" t="s">
        <v>4121</v>
      </c>
      <c r="B41" s="5" t="s">
        <v>4122</v>
      </c>
      <c r="C41" s="6" t="s">
        <v>4123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1930</v>
      </c>
      <c r="H41" s="5" t="s">
        <v>4005</v>
      </c>
      <c r="I41" s="5" t="s">
        <v>4124</v>
      </c>
      <c r="J41" s="5" t="s">
        <v>4125</v>
      </c>
      <c r="K41" s="5" t="s">
        <v>4126</v>
      </c>
      <c r="L41" s="62" t="s">
        <v>814</v>
      </c>
      <c r="M41" s="116" t="s">
        <v>814</v>
      </c>
      <c r="N41" s="116" t="s">
        <v>814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4121</v>
      </c>
      <c r="R41" s="62" t="s">
        <v>4127</v>
      </c>
      <c r="S41" s="6" t="s">
        <v>814</v>
      </c>
      <c r="T41" s="60" t="s">
        <v>3912</v>
      </c>
      <c r="U41" s="93" t="s">
        <v>4120</v>
      </c>
    </row>
    <row r="42" customFormat="false" ht="58.2" hidden="false" customHeight="false" outlineLevel="0" collapsed="false">
      <c r="A42" s="62" t="s">
        <v>4128</v>
      </c>
      <c r="B42" s="5" t="s">
        <v>4129</v>
      </c>
      <c r="C42" s="5" t="s">
        <v>4130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131</v>
      </c>
      <c r="H42" s="5" t="s">
        <v>4131</v>
      </c>
      <c r="I42" s="6" t="s">
        <v>4132</v>
      </c>
      <c r="J42" s="6" t="s">
        <v>4133</v>
      </c>
      <c r="K42" s="6" t="s">
        <v>4040</v>
      </c>
      <c r="L42" s="62" t="s">
        <v>814</v>
      </c>
      <c r="M42" s="116" t="s">
        <v>814</v>
      </c>
      <c r="N42" s="116" t="s">
        <v>814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4128</v>
      </c>
      <c r="R42" s="62" t="s">
        <v>4134</v>
      </c>
      <c r="S42" s="5" t="s">
        <v>4135</v>
      </c>
      <c r="T42" s="60" t="s">
        <v>3912</v>
      </c>
      <c r="U42" s="93" t="s">
        <v>4120</v>
      </c>
    </row>
    <row r="43" customFormat="false" ht="114.9" hidden="false" customHeight="false" outlineLevel="0" collapsed="false">
      <c r="A43" s="62" t="s">
        <v>4136</v>
      </c>
      <c r="B43" s="5" t="s">
        <v>4137</v>
      </c>
      <c r="C43" s="6" t="s">
        <v>4138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136</v>
      </c>
      <c r="H43" s="5" t="s">
        <v>4131</v>
      </c>
      <c r="I43" s="5" t="s">
        <v>4139</v>
      </c>
      <c r="J43" s="5" t="s">
        <v>4140</v>
      </c>
      <c r="K43" s="6" t="s">
        <v>4141</v>
      </c>
      <c r="L43" s="62" t="s">
        <v>814</v>
      </c>
      <c r="M43" s="116" t="s">
        <v>814</v>
      </c>
      <c r="N43" s="116" t="s">
        <v>814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4136</v>
      </c>
      <c r="R43" s="62" t="s">
        <v>4009</v>
      </c>
      <c r="S43" s="5" t="s">
        <v>4135</v>
      </c>
      <c r="T43" s="60" t="s">
        <v>3912</v>
      </c>
      <c r="U43" s="93" t="s">
        <v>4120</v>
      </c>
    </row>
    <row r="44" customFormat="false" ht="44" hidden="false" customHeight="false" outlineLevel="0" collapsed="false">
      <c r="A44" s="62" t="s">
        <v>4142</v>
      </c>
      <c r="B44" s="5" t="s">
        <v>4143</v>
      </c>
      <c r="C44" s="6" t="s">
        <v>4144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136</v>
      </c>
      <c r="H44" s="5" t="s">
        <v>4131</v>
      </c>
      <c r="I44" s="6" t="s">
        <v>4145</v>
      </c>
      <c r="J44" s="5" t="s">
        <v>4146</v>
      </c>
      <c r="K44" s="6" t="s">
        <v>4147</v>
      </c>
      <c r="L44" s="62" t="s">
        <v>814</v>
      </c>
      <c r="M44" s="116" t="s">
        <v>814</v>
      </c>
      <c r="N44" s="116" t="s">
        <v>814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4142</v>
      </c>
      <c r="R44" s="62" t="s">
        <v>4148</v>
      </c>
      <c r="S44" s="6" t="s">
        <v>814</v>
      </c>
      <c r="T44" s="60" t="s">
        <v>3912</v>
      </c>
      <c r="U44" s="93" t="s">
        <v>4120</v>
      </c>
    </row>
    <row r="45" customFormat="false" ht="58.2" hidden="false" customHeight="false" outlineLevel="0" collapsed="false">
      <c r="A45" s="62" t="s">
        <v>4149</v>
      </c>
      <c r="B45" s="5" t="s">
        <v>4150</v>
      </c>
      <c r="C45" s="6" t="s">
        <v>4151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2517</v>
      </c>
      <c r="H45" s="5" t="s">
        <v>4152</v>
      </c>
      <c r="I45" s="5" t="s">
        <v>4153</v>
      </c>
      <c r="J45" s="6" t="s">
        <v>4154</v>
      </c>
      <c r="K45" s="6" t="s">
        <v>4155</v>
      </c>
      <c r="L45" s="62" t="s">
        <v>814</v>
      </c>
      <c r="M45" s="116" t="s">
        <v>814</v>
      </c>
      <c r="N45" s="116" t="s">
        <v>814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4149</v>
      </c>
      <c r="R45" s="62" t="s">
        <v>4148</v>
      </c>
      <c r="S45" s="5" t="s">
        <v>4156</v>
      </c>
      <c r="T45" s="60" t="s">
        <v>3912</v>
      </c>
      <c r="U45" s="93" t="s">
        <v>4120</v>
      </c>
    </row>
    <row r="46" customFormat="false" ht="126.1" hidden="false" customHeight="false" outlineLevel="0" collapsed="false">
      <c r="A46" s="62" t="s">
        <v>4157</v>
      </c>
      <c r="B46" s="5" t="s">
        <v>4158</v>
      </c>
      <c r="C46" s="6" t="s">
        <v>4159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121</v>
      </c>
      <c r="H46" s="5" t="s">
        <v>4160</v>
      </c>
      <c r="I46" s="5" t="s">
        <v>4161</v>
      </c>
      <c r="J46" s="5" t="s">
        <v>4162</v>
      </c>
      <c r="K46" s="5" t="s">
        <v>4094</v>
      </c>
      <c r="L46" s="62" t="s">
        <v>4163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4157</v>
      </c>
      <c r="R46" s="62" t="s">
        <v>4164</v>
      </c>
      <c r="S46" s="5" t="s">
        <v>4165</v>
      </c>
      <c r="T46" s="60" t="s">
        <v>4044</v>
      </c>
      <c r="U46" s="93" t="s">
        <v>4166</v>
      </c>
      <c r="V46" s="65" t="s">
        <v>4167</v>
      </c>
    </row>
    <row r="47" customFormat="false" ht="44" hidden="false" customHeight="false" outlineLevel="0" collapsed="false">
      <c r="A47" s="62" t="s">
        <v>4168</v>
      </c>
      <c r="B47" s="5" t="s">
        <v>4169</v>
      </c>
      <c r="C47" s="6" t="s">
        <v>4170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2" t="s">
        <v>131</v>
      </c>
      <c r="H47" s="5" t="s">
        <v>4160</v>
      </c>
      <c r="I47" s="6" t="s">
        <v>4171</v>
      </c>
      <c r="J47" s="5" t="s">
        <v>4172</v>
      </c>
      <c r="K47" s="5" t="s">
        <v>4173</v>
      </c>
      <c r="L47" s="62" t="s">
        <v>4174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4168</v>
      </c>
      <c r="R47" s="62" t="s">
        <v>4164</v>
      </c>
      <c r="S47" s="5" t="s">
        <v>4175</v>
      </c>
      <c r="T47" s="60" t="s">
        <v>3912</v>
      </c>
      <c r="U47" s="93" t="s">
        <v>4176</v>
      </c>
      <c r="V47" s="65" t="s">
        <v>4177</v>
      </c>
    </row>
    <row r="48" customFormat="false" ht="72.35" hidden="false" customHeight="false" outlineLevel="0" collapsed="false">
      <c r="A48" s="62" t="s">
        <v>4178</v>
      </c>
      <c r="B48" s="5" t="s">
        <v>4179</v>
      </c>
      <c r="C48" s="6" t="s">
        <v>4180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1613</v>
      </c>
      <c r="H48" s="5" t="s">
        <v>4160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4181</v>
      </c>
      <c r="K48" s="5" t="s">
        <v>4094</v>
      </c>
      <c r="L48" s="62" t="s">
        <v>4182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4178</v>
      </c>
      <c r="R48" s="62" t="s">
        <v>4183</v>
      </c>
      <c r="S48" s="6" t="s">
        <v>4184</v>
      </c>
      <c r="T48" s="60" t="s">
        <v>3912</v>
      </c>
      <c r="U48" s="93" t="s">
        <v>4185</v>
      </c>
      <c r="V48" s="65" t="s">
        <v>4186</v>
      </c>
    </row>
    <row r="49" customFormat="false" ht="143.25" hidden="false" customHeight="false" outlineLevel="0" collapsed="false">
      <c r="A49" s="62" t="s">
        <v>4187</v>
      </c>
      <c r="B49" s="5" t="s">
        <v>4188</v>
      </c>
      <c r="C49" s="6" t="s">
        <v>4189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131</v>
      </c>
      <c r="H49" s="5" t="s">
        <v>4190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4191</v>
      </c>
      <c r="K49" s="5" t="s">
        <v>4126</v>
      </c>
      <c r="L49" s="62" t="s">
        <v>4192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4187</v>
      </c>
      <c r="R49" s="62" t="s">
        <v>4193</v>
      </c>
      <c r="S49" s="5" t="s">
        <v>4194</v>
      </c>
      <c r="T49" s="60" t="s">
        <v>3912</v>
      </c>
      <c r="U49" s="93" t="s">
        <v>4120</v>
      </c>
      <c r="V49" s="65" t="s">
        <v>4195</v>
      </c>
    </row>
    <row r="50" customFormat="false" ht="69.4" hidden="false" customHeight="false" outlineLevel="0" collapsed="false">
      <c r="A50" s="62" t="s">
        <v>3114</v>
      </c>
      <c r="B50" s="5" t="s">
        <v>4196</v>
      </c>
      <c r="C50" s="6" t="s">
        <v>4189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131</v>
      </c>
      <c r="H50" s="5" t="s">
        <v>4190</v>
      </c>
      <c r="I50" s="6" t="s">
        <v>4197</v>
      </c>
      <c r="J50" s="5" t="s">
        <v>4198</v>
      </c>
      <c r="K50" s="5" t="s">
        <v>4126</v>
      </c>
      <c r="L50" s="62" t="s">
        <v>814</v>
      </c>
      <c r="M50" s="116" t="s">
        <v>814</v>
      </c>
      <c r="N50" s="116" t="s">
        <v>814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3114</v>
      </c>
      <c r="R50" s="62" t="s">
        <v>4199</v>
      </c>
      <c r="S50" s="6" t="s">
        <v>814</v>
      </c>
      <c r="T50" s="60" t="s">
        <v>3912</v>
      </c>
      <c r="U50" s="93" t="s">
        <v>4120</v>
      </c>
    </row>
    <row r="51" customFormat="false" ht="44" hidden="false" customHeight="false" outlineLevel="0" collapsed="false">
      <c r="A51" s="62" t="s">
        <v>3117</v>
      </c>
      <c r="B51" s="5" t="s">
        <v>4200</v>
      </c>
      <c r="C51" s="5" t="s">
        <v>4130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131</v>
      </c>
      <c r="H51" s="5" t="s">
        <v>4131</v>
      </c>
      <c r="I51" s="6" t="s">
        <v>4201</v>
      </c>
      <c r="J51" s="6" t="s">
        <v>4133</v>
      </c>
      <c r="K51" s="6" t="s">
        <v>4040</v>
      </c>
      <c r="L51" s="62" t="s">
        <v>814</v>
      </c>
      <c r="M51" s="116" t="s">
        <v>814</v>
      </c>
      <c r="N51" s="116" t="s">
        <v>814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3117</v>
      </c>
      <c r="R51" s="62" t="s">
        <v>4134</v>
      </c>
      <c r="S51" s="6" t="s">
        <v>814</v>
      </c>
      <c r="T51" s="60" t="s">
        <v>3912</v>
      </c>
      <c r="U51" s="93" t="s">
        <v>4120</v>
      </c>
    </row>
    <row r="52" customFormat="false" ht="171.6" hidden="false" customHeight="false" outlineLevel="0" collapsed="false">
      <c r="A52" s="62" t="s">
        <v>4202</v>
      </c>
      <c r="B52" s="5" t="s">
        <v>4203</v>
      </c>
      <c r="C52" s="6" t="s">
        <v>4204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136</v>
      </c>
      <c r="H52" s="5" t="s">
        <v>3907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4205</v>
      </c>
      <c r="K52" s="5" t="s">
        <v>4206</v>
      </c>
      <c r="L52" s="62" t="s">
        <v>814</v>
      </c>
      <c r="M52" s="116" t="s">
        <v>814</v>
      </c>
      <c r="N52" s="116" t="s">
        <v>814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4202</v>
      </c>
      <c r="R52" s="62" t="s">
        <v>4207</v>
      </c>
      <c r="S52" s="6" t="s">
        <v>814</v>
      </c>
      <c r="T52" s="60" t="s">
        <v>4044</v>
      </c>
      <c r="U52" s="93" t="s">
        <v>4208</v>
      </c>
      <c r="V52" s="65" t="s">
        <v>4209</v>
      </c>
    </row>
    <row r="53" customFormat="false" ht="154.45" hidden="false" customHeight="false" outlineLevel="0" collapsed="false">
      <c r="A53" s="62" t="s">
        <v>4210</v>
      </c>
      <c r="B53" s="5" t="s">
        <v>4211</v>
      </c>
      <c r="C53" s="6" t="s">
        <v>4212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136</v>
      </c>
      <c r="H53" s="5" t="s">
        <v>4213</v>
      </c>
      <c r="I53" s="5" t="s">
        <v>4214</v>
      </c>
      <c r="J53" s="5" t="s">
        <v>4215</v>
      </c>
      <c r="K53" s="5" t="s">
        <v>4216</v>
      </c>
      <c r="L53" s="62" t="s">
        <v>814</v>
      </c>
      <c r="M53" s="116" t="s">
        <v>814</v>
      </c>
      <c r="N53" s="116" t="s">
        <v>814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4210</v>
      </c>
      <c r="R53" s="62" t="s">
        <v>4217</v>
      </c>
      <c r="S53" s="5" t="s">
        <v>4218</v>
      </c>
      <c r="T53" s="60" t="s">
        <v>3912</v>
      </c>
      <c r="U53" s="93" t="s">
        <v>4219</v>
      </c>
    </row>
    <row r="54" customFormat="false" ht="44" hidden="false" customHeight="false" outlineLevel="0" collapsed="false">
      <c r="A54" s="62" t="s">
        <v>4220</v>
      </c>
      <c r="B54" s="5" t="s">
        <v>4221</v>
      </c>
      <c r="C54" s="5" t="s">
        <v>4222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4223</v>
      </c>
      <c r="H54" s="5" t="s">
        <v>3907</v>
      </c>
      <c r="I54" s="5" t="s">
        <v>4224</v>
      </c>
      <c r="J54" s="6" t="s">
        <v>4225</v>
      </c>
      <c r="K54" s="5" t="s">
        <v>3947</v>
      </c>
      <c r="L54" s="62" t="s">
        <v>814</v>
      </c>
      <c r="M54" s="116" t="s">
        <v>814</v>
      </c>
      <c r="N54" s="116" t="s">
        <v>814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4220</v>
      </c>
      <c r="R54" s="62" t="s">
        <v>4226</v>
      </c>
      <c r="S54" s="6" t="s">
        <v>814</v>
      </c>
      <c r="T54" s="60" t="s">
        <v>4063</v>
      </c>
      <c r="U54" s="93" t="s">
        <v>4227</v>
      </c>
    </row>
    <row r="55" customFormat="false" ht="44" hidden="false" customHeight="false" outlineLevel="0" collapsed="false">
      <c r="A55" s="62" t="s">
        <v>4228</v>
      </c>
      <c r="B55" s="5" t="s">
        <v>4229</v>
      </c>
      <c r="C55" s="5" t="s">
        <v>4222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4223</v>
      </c>
      <c r="H55" s="5" t="s">
        <v>3907</v>
      </c>
      <c r="I55" s="5" t="s">
        <v>4224</v>
      </c>
      <c r="J55" s="6" t="s">
        <v>4225</v>
      </c>
      <c r="K55" s="5" t="s">
        <v>3947</v>
      </c>
      <c r="L55" s="62" t="s">
        <v>814</v>
      </c>
      <c r="M55" s="116" t="s">
        <v>814</v>
      </c>
      <c r="N55" s="116" t="s">
        <v>814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4228</v>
      </c>
      <c r="R55" s="62" t="s">
        <v>4226</v>
      </c>
      <c r="S55" s="6" t="s">
        <v>814</v>
      </c>
      <c r="T55" s="60" t="s">
        <v>4063</v>
      </c>
      <c r="U55" s="93" t="s">
        <v>4227</v>
      </c>
    </row>
    <row r="56" customFormat="false" ht="100.7" hidden="false" customHeight="false" outlineLevel="0" collapsed="false">
      <c r="A56" s="62" t="s">
        <v>4230</v>
      </c>
      <c r="B56" s="5" t="s">
        <v>4231</v>
      </c>
      <c r="C56" s="5" t="s">
        <v>4222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4223</v>
      </c>
      <c r="H56" s="5" t="s">
        <v>3907</v>
      </c>
      <c r="I56" s="5" t="s">
        <v>4232</v>
      </c>
      <c r="J56" s="6" t="s">
        <v>4225</v>
      </c>
      <c r="K56" s="5" t="s">
        <v>3947</v>
      </c>
      <c r="L56" s="62" t="s">
        <v>814</v>
      </c>
      <c r="M56" s="116" t="s">
        <v>814</v>
      </c>
      <c r="N56" s="116" t="s">
        <v>814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4230</v>
      </c>
      <c r="R56" s="62" t="s">
        <v>4226</v>
      </c>
      <c r="S56" s="5" t="s">
        <v>4233</v>
      </c>
      <c r="T56" s="60" t="s">
        <v>4063</v>
      </c>
      <c r="U56" s="93" t="s">
        <v>4227</v>
      </c>
    </row>
    <row r="57" customFormat="false" ht="44" hidden="false" customHeight="false" outlineLevel="0" collapsed="false">
      <c r="A57" s="62" t="s">
        <v>4234</v>
      </c>
      <c r="B57" s="5" t="s">
        <v>4235</v>
      </c>
      <c r="C57" s="5" t="s">
        <v>4222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4223</v>
      </c>
      <c r="H57" s="5" t="s">
        <v>3907</v>
      </c>
      <c r="I57" s="5" t="s">
        <v>4224</v>
      </c>
      <c r="J57" s="6" t="s">
        <v>4225</v>
      </c>
      <c r="K57" s="5" t="s">
        <v>3947</v>
      </c>
      <c r="L57" s="62" t="s">
        <v>814</v>
      </c>
      <c r="M57" s="116" t="s">
        <v>814</v>
      </c>
      <c r="N57" s="116" t="s">
        <v>814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4234</v>
      </c>
      <c r="R57" s="62" t="s">
        <v>4226</v>
      </c>
      <c r="S57" s="6" t="s">
        <v>814</v>
      </c>
      <c r="T57" s="60" t="s">
        <v>4063</v>
      </c>
      <c r="U57" s="93" t="s">
        <v>4227</v>
      </c>
    </row>
    <row r="58" customFormat="false" ht="69.4" hidden="false" customHeight="false" outlineLevel="0" collapsed="false">
      <c r="A58" s="62" t="s">
        <v>4236</v>
      </c>
      <c r="B58" s="5" t="s">
        <v>4237</v>
      </c>
      <c r="C58" s="5" t="s">
        <v>4238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2" t="s">
        <v>136</v>
      </c>
      <c r="H58" s="5" t="s">
        <v>4239</v>
      </c>
      <c r="I58" s="5" t="s">
        <v>4240</v>
      </c>
      <c r="J58" s="6" t="s">
        <v>4241</v>
      </c>
      <c r="K58" s="6" t="s">
        <v>4242</v>
      </c>
      <c r="L58" s="62" t="s">
        <v>814</v>
      </c>
      <c r="M58" s="116" t="s">
        <v>814</v>
      </c>
      <c r="N58" s="116" t="s">
        <v>814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4236</v>
      </c>
      <c r="R58" s="62" t="s">
        <v>4243</v>
      </c>
      <c r="S58" s="6" t="s">
        <v>4244</v>
      </c>
      <c r="T58" s="60" t="s">
        <v>3912</v>
      </c>
      <c r="U58" s="93" t="s">
        <v>4245</v>
      </c>
    </row>
    <row r="59" customFormat="false" ht="171.6" hidden="false" customHeight="false" outlineLevel="0" collapsed="false">
      <c r="A59" s="62" t="s">
        <v>4246</v>
      </c>
      <c r="B59" s="5" t="s">
        <v>4247</v>
      </c>
      <c r="C59" s="5" t="s">
        <v>4238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2" t="s">
        <v>136</v>
      </c>
      <c r="H59" s="5" t="s">
        <v>4239</v>
      </c>
      <c r="I59" s="5" t="s">
        <v>4240</v>
      </c>
      <c r="J59" s="6" t="s">
        <v>4241</v>
      </c>
      <c r="K59" s="6" t="s">
        <v>4242</v>
      </c>
      <c r="L59" s="62" t="s">
        <v>4248</v>
      </c>
      <c r="M59" s="94" t="n">
        <f aca="false">SRC_PERF_024/SRC_PERF_025*INDEX(IF_RacksPerGW,1,8)/INDEX(IF_RacksPerGW,1,5)</f>
        <v>1.01224774672005</v>
      </c>
      <c r="N59" s="94" t="n">
        <f aca="false">SRC_PERF_024/SRC_PERF_025*INDEX(IF_RacksPerGW,1,8)/INDEX(IF_RacksPerGW,1,5)</f>
        <v>1.01224774672005</v>
      </c>
      <c r="O59" s="78" t="n">
        <f aca="false">IF(AND(ISNUMBER(D59),ISNUMBER(M59),ISNUMBER(N59)),D59/((M59+N59)/2),"—")</f>
        <v>1.43826057119146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4246</v>
      </c>
      <c r="R59" s="62" t="s">
        <v>4243</v>
      </c>
      <c r="S59" s="5" t="s">
        <v>4249</v>
      </c>
      <c r="T59" s="60" t="s">
        <v>3912</v>
      </c>
      <c r="U59" s="93" t="s">
        <v>4245</v>
      </c>
      <c r="V59" s="65" t="s">
        <v>4250</v>
      </c>
    </row>
    <row r="60" customFormat="false" ht="129.1" hidden="false" customHeight="false" outlineLevel="0" collapsed="false">
      <c r="A60" s="62" t="s">
        <v>4251</v>
      </c>
      <c r="B60" s="5" t="s">
        <v>4252</v>
      </c>
      <c r="C60" s="5" t="s">
        <v>4238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136</v>
      </c>
      <c r="H60" s="6" t="s">
        <v>4253</v>
      </c>
      <c r="I60" s="5" t="s">
        <v>4240</v>
      </c>
      <c r="J60" s="6" t="s">
        <v>4241</v>
      </c>
      <c r="K60" s="6" t="s">
        <v>4242</v>
      </c>
      <c r="L60" s="62" t="s">
        <v>4254</v>
      </c>
      <c r="M60" s="94" t="n">
        <f aca="false">SRC_PERF_027/SRC_PERF_028*INDEX(IF_RacksPerGW,1,11)/INDEX(IF_RacksPerGW,1,8)</f>
        <v>1.54249752389113</v>
      </c>
      <c r="N60" s="94" t="n">
        <f aca="false">SRC_PERF_027/SRC_PERF_028*INDEX(IF_RacksPerGW,1,11)/INDEX(IF_RacksPerGW,1,8)</f>
        <v>1.54249752389113</v>
      </c>
      <c r="O60" s="78" t="n">
        <f aca="false">IF(AND(ISNUMBER(D60),ISNUMBER(M60),ISNUMBER(N60)),D60/((M60+N60)/2),"—")</f>
        <v>0.973924851818582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±20% 內</v>
      </c>
      <c r="Q60" s="62" t="s">
        <v>4251</v>
      </c>
      <c r="R60" s="62" t="s">
        <v>4243</v>
      </c>
      <c r="S60" s="5" t="s">
        <v>4255</v>
      </c>
      <c r="T60" s="60" t="s">
        <v>3912</v>
      </c>
      <c r="U60" s="93" t="s">
        <v>4245</v>
      </c>
      <c r="V60" s="65" t="s">
        <v>4256</v>
      </c>
    </row>
    <row r="61" customFormat="false" ht="143.25" hidden="false" customHeight="false" outlineLevel="0" collapsed="false">
      <c r="A61" s="62" t="s">
        <v>4257</v>
      </c>
      <c r="B61" s="6" t="s">
        <v>4258</v>
      </c>
      <c r="C61" s="6" t="s">
        <v>4259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136</v>
      </c>
      <c r="H61" s="5" t="s">
        <v>4260</v>
      </c>
      <c r="I61" s="6" t="s">
        <v>4261</v>
      </c>
      <c r="J61" s="6" t="s">
        <v>4262</v>
      </c>
      <c r="K61" s="6" t="s">
        <v>4147</v>
      </c>
      <c r="L61" s="62" t="s">
        <v>4263</v>
      </c>
      <c r="M61" s="94" t="n">
        <f aca="false">IF(AND(ISNUMBER(INDEX(IF_CostDec_Sol,1,11)),ISNUMBER(INDEX(IF_CostDec_Sol,1,8))),SRC_HAR_006/SRC_HAR_004/(INDEX(IF_CostDec_Sol,1,11)/INDEX(IF_CostDec_Sol,1,8)),"—")</f>
        <v>0.901546166041105</v>
      </c>
      <c r="N61" s="94" t="n">
        <f aca="false">IF(AND(ISNUMBER(INDEX(IF_CostDec_Sol,1,11)),ISNUMBER(INDEX(IF_CostDec_Sol,1,8))),SRC_HAR_006/SRC_HAR_004/(INDEX(IF_CostDec_Sol,1,11)/INDEX(IF_CostDec_Sol,1,8)),"—")</f>
        <v>0.901546166041105</v>
      </c>
      <c r="O61" s="78" t="n">
        <f aca="false">IF(AND(ISNUMBER(D61),ISNUMBER(M61),ISNUMBER(N61)),D61/((M61+N61)/2),"—")</f>
        <v>1.50576967459035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4257</v>
      </c>
      <c r="R61" s="62" t="s">
        <v>4264</v>
      </c>
      <c r="S61" s="5" t="s">
        <v>4265</v>
      </c>
      <c r="T61" s="60" t="s">
        <v>3912</v>
      </c>
      <c r="U61" s="93" t="s">
        <v>4245</v>
      </c>
      <c r="V61" s="65" t="s">
        <v>4266</v>
      </c>
    </row>
    <row r="62" customFormat="false" ht="143.25" hidden="false" customHeight="false" outlineLevel="0" collapsed="false">
      <c r="A62" s="62" t="s">
        <v>4267</v>
      </c>
      <c r="B62" s="6" t="s">
        <v>4268</v>
      </c>
      <c r="C62" s="6" t="s">
        <v>4269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136</v>
      </c>
      <c r="H62" s="5" t="s">
        <v>4260</v>
      </c>
      <c r="I62" s="6" t="s">
        <v>4261</v>
      </c>
      <c r="J62" s="6" t="s">
        <v>4262</v>
      </c>
      <c r="K62" s="6" t="s">
        <v>4147</v>
      </c>
      <c r="L62" s="62" t="s">
        <v>4263</v>
      </c>
      <c r="M62" s="94" t="n">
        <f aca="false">IF(AND(ISNUMBER(INDEX(IF_CostDec_Sol,1,11)),ISNUMBER(INDEX(IF_CostDec_Sol,1,8))),SRC_HAR_006/SRC_HAR_004/(INDEX(IF_CostDec_Sol,1,11)/INDEX(IF_CostDec_Sol,1,8)),"—")</f>
        <v>0.901546166041105</v>
      </c>
      <c r="N62" s="94" t="n">
        <f aca="false">IF(AND(ISNUMBER(INDEX(IF_CostDec_Sol,1,11)),ISNUMBER(INDEX(IF_CostDec_Sol,1,8))),SRC_HAR_006/SRC_HAR_004/(INDEX(IF_CostDec_Sol,1,11)/INDEX(IF_CostDec_Sol,1,8)),"—")</f>
        <v>0.901546166041105</v>
      </c>
      <c r="O62" s="78" t="n">
        <f aca="false">IF(AND(ISNUMBER(D62),ISNUMBER(M62),ISNUMBER(N62)),D62/((M62+N62)/2),"—")</f>
        <v>1.50576967459035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4267</v>
      </c>
      <c r="R62" s="62" t="s">
        <v>4264</v>
      </c>
      <c r="S62" s="5" t="s">
        <v>4265</v>
      </c>
      <c r="T62" s="60" t="s">
        <v>3912</v>
      </c>
      <c r="U62" s="93" t="s">
        <v>4245</v>
      </c>
      <c r="V62" s="65" t="s">
        <v>4270</v>
      </c>
    </row>
    <row r="63" customFormat="false" ht="143.25" hidden="false" customHeight="false" outlineLevel="0" collapsed="false">
      <c r="A63" s="62" t="s">
        <v>4271</v>
      </c>
      <c r="B63" s="6" t="s">
        <v>4272</v>
      </c>
      <c r="C63" s="6" t="s">
        <v>4273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136</v>
      </c>
      <c r="H63" s="5" t="s">
        <v>4260</v>
      </c>
      <c r="I63" s="6" t="s">
        <v>4261</v>
      </c>
      <c r="J63" s="6" t="s">
        <v>4262</v>
      </c>
      <c r="K63" s="6" t="s">
        <v>4147</v>
      </c>
      <c r="L63" s="62" t="s">
        <v>4263</v>
      </c>
      <c r="M63" s="94" t="n">
        <f aca="false">IF(AND(ISNUMBER(INDEX(IF_CostDec_Sol,1,11)),ISNUMBER(INDEX(IF_CostDec_Sol,1,8))),SRC_HAR_006/SRC_HAR_004/(INDEX(IF_CostDec_Sol,1,11)/INDEX(IF_CostDec_Sol,1,8)),"—")</f>
        <v>0.901546166041105</v>
      </c>
      <c r="N63" s="94" t="n">
        <f aca="false">IF(AND(ISNUMBER(INDEX(IF_CostDec_Sol,1,11)),ISNUMBER(INDEX(IF_CostDec_Sol,1,8))),SRC_HAR_006/SRC_HAR_004/(INDEX(IF_CostDec_Sol,1,11)/INDEX(IF_CostDec_Sol,1,8)),"—")</f>
        <v>0.901546166041105</v>
      </c>
      <c r="O63" s="78" t="n">
        <f aca="false">IF(AND(ISNUMBER(D63),ISNUMBER(M63),ISNUMBER(N63)),D63/((M63+N63)/2),"—")</f>
        <v>0.912999965681767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±20% 內</v>
      </c>
      <c r="Q63" s="62" t="s">
        <v>4271</v>
      </c>
      <c r="R63" s="62" t="s">
        <v>4264</v>
      </c>
      <c r="S63" s="5" t="s">
        <v>4265</v>
      </c>
      <c r="T63" s="60" t="s">
        <v>3912</v>
      </c>
      <c r="U63" s="93" t="s">
        <v>4245</v>
      </c>
      <c r="V63" s="65" t="s">
        <v>4274</v>
      </c>
    </row>
    <row r="64" customFormat="false" ht="143.25" hidden="false" customHeight="false" outlineLevel="0" collapsed="false">
      <c r="A64" s="62" t="s">
        <v>4275</v>
      </c>
      <c r="B64" s="6" t="s">
        <v>4276</v>
      </c>
      <c r="C64" s="6" t="s">
        <v>4277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136</v>
      </c>
      <c r="H64" s="5" t="s">
        <v>4260</v>
      </c>
      <c r="I64" s="6" t="s">
        <v>4261</v>
      </c>
      <c r="J64" s="6" t="s">
        <v>4262</v>
      </c>
      <c r="K64" s="6" t="s">
        <v>4147</v>
      </c>
      <c r="L64" s="62" t="s">
        <v>4263</v>
      </c>
      <c r="M64" s="94" t="n">
        <f aca="false">IF(AND(ISNUMBER(INDEX(IF_CostDec_Sol,1,11)),ISNUMBER(INDEX(IF_CostDec_Sol,1,8))),SRC_HAR_006/SRC_HAR_004/(INDEX(IF_CostDec_Sol,1,11)/INDEX(IF_CostDec_Sol,1,8)),"—")</f>
        <v>0.901546166041105</v>
      </c>
      <c r="N64" s="94" t="n">
        <f aca="false">IF(AND(ISNUMBER(INDEX(IF_CostDec_Sol,1,11)),ISNUMBER(INDEX(IF_CostDec_Sol,1,8))),SRC_HAR_006/SRC_HAR_004/(INDEX(IF_CostDec_Sol,1,11)/INDEX(IF_CostDec_Sol,1,8)),"—")</f>
        <v>0.901546166041105</v>
      </c>
      <c r="O64" s="78" t="n">
        <f aca="false">IF(AND(ISNUMBER(D64),ISNUMBER(M64),ISNUMBER(N64)),D64/((M64+N64)/2),"—")</f>
        <v>0.828080490877812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4275</v>
      </c>
      <c r="R64" s="62" t="s">
        <v>4264</v>
      </c>
      <c r="S64" s="5" t="s">
        <v>4265</v>
      </c>
      <c r="T64" s="60" t="s">
        <v>3912</v>
      </c>
      <c r="U64" s="93" t="s">
        <v>4245</v>
      </c>
      <c r="V64" s="65" t="s">
        <v>4278</v>
      </c>
    </row>
    <row r="65" customFormat="false" ht="143.25" hidden="false" customHeight="false" outlineLevel="0" collapsed="false">
      <c r="A65" s="62" t="s">
        <v>4279</v>
      </c>
      <c r="B65" s="6" t="s">
        <v>4280</v>
      </c>
      <c r="C65" s="6" t="s">
        <v>4281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136</v>
      </c>
      <c r="H65" s="6" t="s">
        <v>4282</v>
      </c>
      <c r="I65" s="6" t="s">
        <v>4261</v>
      </c>
      <c r="J65" s="6" t="s">
        <v>4262</v>
      </c>
      <c r="K65" s="6" t="s">
        <v>4147</v>
      </c>
      <c r="L65" s="62" t="s">
        <v>4263</v>
      </c>
      <c r="M65" s="94" t="n">
        <f aca="false">IF(AND(ISNUMBER(INDEX(IF_CostDec_Sol,1,11)),ISNUMBER(INDEX(IF_CostDec_Sol,1,8))),SRC_HAR_006/SRC_HAR_004/(INDEX(IF_CostDec_Sol,1,11)/INDEX(IF_CostDec_Sol,1,8)),"—")</f>
        <v>0.901546166041105</v>
      </c>
      <c r="N65" s="94" t="n">
        <f aca="false">IF(AND(ISNUMBER(INDEX(IF_CostDec_Sol,1,11)),ISNUMBER(INDEX(IF_CostDec_Sol,1,8))),SRC_HAR_006/SRC_HAR_004/(INDEX(IF_CostDec_Sol,1,11)/INDEX(IF_CostDec_Sol,1,8)),"—")</f>
        <v>0.901546166041105</v>
      </c>
      <c r="O65" s="78" t="n">
        <f aca="false">IF(AND(ISNUMBER(D65),ISNUMBER(M65),ISNUMBER(N65)),D65/((M65+N65)/2),"—")</f>
        <v>0.719875568232564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差距 &gt;20%</v>
      </c>
      <c r="Q65" s="62" t="s">
        <v>4279</v>
      </c>
      <c r="R65" s="62" t="s">
        <v>4264</v>
      </c>
      <c r="S65" s="5" t="s">
        <v>4265</v>
      </c>
      <c r="T65" s="60" t="s">
        <v>3912</v>
      </c>
      <c r="U65" s="93" t="s">
        <v>4245</v>
      </c>
      <c r="V65" s="65" t="s">
        <v>4283</v>
      </c>
    </row>
    <row r="66" customFormat="false" ht="83.55" hidden="false" customHeight="false" outlineLevel="0" collapsed="false">
      <c r="A66" s="62" t="s">
        <v>4284</v>
      </c>
      <c r="B66" s="6" t="s">
        <v>4285</v>
      </c>
      <c r="C66" s="6" t="s">
        <v>4286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359</v>
      </c>
      <c r="H66" s="6" t="s">
        <v>4287</v>
      </c>
      <c r="I66" s="5" t="s">
        <v>4288</v>
      </c>
      <c r="J66" s="6" t="s">
        <v>4289</v>
      </c>
      <c r="K66" s="6" t="s">
        <v>4290</v>
      </c>
      <c r="L66" s="62" t="s">
        <v>4084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4284</v>
      </c>
      <c r="R66" s="62" t="s">
        <v>4291</v>
      </c>
      <c r="S66" s="6" t="s">
        <v>814</v>
      </c>
      <c r="T66" s="60" t="s">
        <v>3912</v>
      </c>
      <c r="U66" s="93" t="s">
        <v>4292</v>
      </c>
      <c r="V66" s="65" t="s">
        <v>4293</v>
      </c>
    </row>
    <row r="67" customFormat="false" ht="44" hidden="false" customHeight="false" outlineLevel="0" collapsed="false">
      <c r="A67" s="62" t="s">
        <v>4294</v>
      </c>
      <c r="B67" s="6" t="s">
        <v>4295</v>
      </c>
      <c r="C67" s="6" t="s">
        <v>4296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136</v>
      </c>
      <c r="H67" s="5" t="s">
        <v>4297</v>
      </c>
      <c r="I67" s="5" t="s">
        <v>4298</v>
      </c>
      <c r="J67" s="6" t="s">
        <v>4082</v>
      </c>
      <c r="K67" s="6" t="s">
        <v>4083</v>
      </c>
      <c r="L67" s="62" t="s">
        <v>814</v>
      </c>
      <c r="M67" s="116" t="s">
        <v>814</v>
      </c>
      <c r="N67" s="116" t="s">
        <v>814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4294</v>
      </c>
      <c r="R67" s="62" t="s">
        <v>4299</v>
      </c>
      <c r="S67" s="6" t="s">
        <v>814</v>
      </c>
      <c r="T67" s="60" t="s">
        <v>4300</v>
      </c>
      <c r="U67" s="93" t="s">
        <v>4301</v>
      </c>
    </row>
    <row r="68" customFormat="false" ht="44" hidden="false" customHeight="false" outlineLevel="0" collapsed="false">
      <c r="A68" s="62" t="s">
        <v>3126</v>
      </c>
      <c r="B68" s="5" t="s">
        <v>4302</v>
      </c>
      <c r="C68" s="6" t="s">
        <v>4303</v>
      </c>
      <c r="D68" s="125" t="n">
        <f aca="false">IF(ISNUMBER(L1_Ans3),SRC_DEM_006/L1_Ans3,"—")</f>
        <v>6.29412548326343</v>
      </c>
      <c r="E68" s="116" t="n">
        <f aca="false">IF(ISNUMBER(L1_Ans3_Hi),SRC_DEM_006/L1_Ans3_Hi,"—")</f>
        <v>0.899160783323347</v>
      </c>
      <c r="F68" s="116" t="n">
        <f aca="false">IF(ISNUMBER(L1_Ans3_Lo),SRC_DEM_006/L1_Ans3_Lo,"—")</f>
        <v>12.5882509665269</v>
      </c>
      <c r="G68" s="62" t="s">
        <v>136</v>
      </c>
      <c r="H68" s="5" t="s">
        <v>4304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4108</v>
      </c>
      <c r="K68" s="5" t="s">
        <v>4109</v>
      </c>
      <c r="L68" s="62" t="s">
        <v>4305</v>
      </c>
      <c r="M68" s="116" t="s">
        <v>814</v>
      </c>
      <c r="N68" s="116" t="s">
        <v>814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3126</v>
      </c>
      <c r="R68" s="62" t="s">
        <v>4306</v>
      </c>
      <c r="S68" s="5" t="s">
        <v>4307</v>
      </c>
      <c r="T68" s="60" t="s">
        <v>4300</v>
      </c>
      <c r="U68" s="88" t="s">
        <v>4308</v>
      </c>
      <c r="V68" s="65" t="s">
        <v>4309</v>
      </c>
    </row>
    <row r="69" customFormat="false" ht="72.35" hidden="false" customHeight="false" outlineLevel="0" collapsed="false">
      <c r="A69" s="62" t="s">
        <v>4310</v>
      </c>
      <c r="B69" s="5" t="s">
        <v>4311</v>
      </c>
      <c r="C69" s="6" t="s">
        <v>4312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2" t="s">
        <v>136</v>
      </c>
      <c r="H69" s="5" t="s">
        <v>4313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4314</v>
      </c>
      <c r="K69" s="5" t="s">
        <v>4315</v>
      </c>
      <c r="L69" s="62" t="s">
        <v>4316</v>
      </c>
      <c r="M69" s="116" t="s">
        <v>814</v>
      </c>
      <c r="N69" s="116" t="s">
        <v>814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4310</v>
      </c>
      <c r="R69" s="62" t="s">
        <v>4317</v>
      </c>
      <c r="S69" s="5" t="s">
        <v>4307</v>
      </c>
      <c r="T69" s="60" t="s">
        <v>4300</v>
      </c>
      <c r="U69" s="93" t="s">
        <v>4318</v>
      </c>
      <c r="V69" s="65" t="s">
        <v>4319</v>
      </c>
    </row>
    <row r="70" customFormat="false" ht="299.25" hidden="false" customHeight="false" outlineLevel="0" collapsed="false">
      <c r="A70" s="62" t="s">
        <v>4320</v>
      </c>
      <c r="B70" s="5" t="s">
        <v>4321</v>
      </c>
      <c r="C70" s="6" t="s">
        <v>4322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2" t="s">
        <v>136</v>
      </c>
      <c r="H70" s="5" t="s">
        <v>4323</v>
      </c>
      <c r="I70" s="5" t="s">
        <v>4324</v>
      </c>
      <c r="J70" s="5" t="s">
        <v>2707</v>
      </c>
      <c r="K70" s="5" t="s">
        <v>4325</v>
      </c>
      <c r="L70" s="62" t="s">
        <v>4326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4320</v>
      </c>
      <c r="R70" s="62" t="s">
        <v>4327</v>
      </c>
      <c r="S70" s="6" t="s">
        <v>814</v>
      </c>
      <c r="T70" s="60" t="s">
        <v>3912</v>
      </c>
      <c r="U70" s="93" t="s">
        <v>4328</v>
      </c>
      <c r="V70" s="65" t="s">
        <v>4329</v>
      </c>
    </row>
    <row r="71" customFormat="false" ht="157.45" hidden="false" customHeight="false" outlineLevel="0" collapsed="false">
      <c r="A71" s="62" t="s">
        <v>4330</v>
      </c>
      <c r="B71" s="5" t="s">
        <v>4331</v>
      </c>
      <c r="C71" s="6" t="s">
        <v>4332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136</v>
      </c>
      <c r="H71" s="6" t="s">
        <v>4333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4334</v>
      </c>
      <c r="K71" s="5" t="s">
        <v>4335</v>
      </c>
      <c r="L71" s="62" t="s">
        <v>814</v>
      </c>
      <c r="M71" s="116" t="s">
        <v>814</v>
      </c>
      <c r="N71" s="116" t="s">
        <v>814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4330</v>
      </c>
      <c r="R71" s="62" t="s">
        <v>4336</v>
      </c>
      <c r="S71" s="5" t="s">
        <v>4337</v>
      </c>
      <c r="T71" s="60" t="s">
        <v>3912</v>
      </c>
      <c r="U71" s="93" t="s">
        <v>4328</v>
      </c>
      <c r="V71" s="65" t="s">
        <v>4338</v>
      </c>
    </row>
    <row r="72" customFormat="false" ht="100.7" hidden="false" customHeight="false" outlineLevel="0" collapsed="false">
      <c r="A72" s="62" t="s">
        <v>4339</v>
      </c>
      <c r="B72" s="5" t="s">
        <v>4340</v>
      </c>
      <c r="C72" s="6" t="s">
        <v>4341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136</v>
      </c>
      <c r="H72" s="5" t="s">
        <v>4342</v>
      </c>
      <c r="I72" s="5" t="s">
        <v>4343</v>
      </c>
      <c r="J72" s="5" t="s">
        <v>4344</v>
      </c>
      <c r="K72" s="6" t="s">
        <v>4345</v>
      </c>
      <c r="L72" s="62" t="s">
        <v>814</v>
      </c>
      <c r="M72" s="116" t="s">
        <v>814</v>
      </c>
      <c r="N72" s="116" t="s">
        <v>814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4339</v>
      </c>
      <c r="R72" s="62" t="s">
        <v>4346</v>
      </c>
      <c r="S72" s="6" t="s">
        <v>814</v>
      </c>
      <c r="T72" s="60" t="s">
        <v>3912</v>
      </c>
      <c r="U72" s="93" t="s">
        <v>4328</v>
      </c>
    </row>
    <row r="73" customFormat="false" ht="86.55" hidden="false" customHeight="false" outlineLevel="0" collapsed="false">
      <c r="A73" s="62" t="s">
        <v>4347</v>
      </c>
      <c r="B73" s="5" t="s">
        <v>4348</v>
      </c>
      <c r="C73" s="6" t="s">
        <v>4349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136</v>
      </c>
      <c r="H73" s="5" t="s">
        <v>4350</v>
      </c>
      <c r="I73" s="5" t="s">
        <v>4351</v>
      </c>
      <c r="J73" s="5" t="s">
        <v>4352</v>
      </c>
      <c r="K73" s="6" t="s">
        <v>4353</v>
      </c>
      <c r="L73" s="62" t="s">
        <v>4354</v>
      </c>
      <c r="M73" s="116" t="s">
        <v>814</v>
      </c>
      <c r="N73" s="116" t="s">
        <v>814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4347</v>
      </c>
      <c r="R73" s="62" t="s">
        <v>4355</v>
      </c>
      <c r="S73" s="6" t="s">
        <v>814</v>
      </c>
      <c r="T73" s="60" t="s">
        <v>3912</v>
      </c>
      <c r="U73" s="93" t="s">
        <v>4328</v>
      </c>
    </row>
    <row r="74" customFormat="false" ht="100.7" hidden="false" customHeight="false" outlineLevel="0" collapsed="false">
      <c r="A74" s="62" t="s">
        <v>4356</v>
      </c>
      <c r="B74" s="5" t="s">
        <v>4357</v>
      </c>
      <c r="C74" s="6" t="s">
        <v>4358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2" t="s">
        <v>136</v>
      </c>
      <c r="H74" s="5" t="s">
        <v>4359</v>
      </c>
      <c r="I74" s="5" t="s">
        <v>4360</v>
      </c>
      <c r="J74" s="5" t="s">
        <v>4361</v>
      </c>
      <c r="K74" s="5" t="s">
        <v>4362</v>
      </c>
      <c r="L74" s="62" t="s">
        <v>4363</v>
      </c>
      <c r="M74" s="94" t="n">
        <f aca="false">L1_ScaleServe2000</f>
        <v>9.53338312707887</v>
      </c>
      <c r="N74" s="94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4356</v>
      </c>
      <c r="R74" s="62" t="s">
        <v>4299</v>
      </c>
      <c r="S74" s="6" t="s">
        <v>814</v>
      </c>
      <c r="T74" s="60" t="s">
        <v>3912</v>
      </c>
      <c r="U74" s="93" t="s">
        <v>4328</v>
      </c>
      <c r="V74" s="65" t="s">
        <v>4364</v>
      </c>
    </row>
    <row r="75" customFormat="false" ht="58.2" hidden="false" customHeight="false" outlineLevel="0" collapsed="false">
      <c r="A75" s="62" t="s">
        <v>4365</v>
      </c>
      <c r="B75" s="5" t="s">
        <v>4366</v>
      </c>
      <c r="C75" s="5" t="s">
        <v>4367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4368</v>
      </c>
      <c r="H75" s="5" t="s">
        <v>3907</v>
      </c>
      <c r="I75" s="6" t="s">
        <v>4369</v>
      </c>
      <c r="J75" s="5" t="s">
        <v>4370</v>
      </c>
      <c r="K75" s="5" t="s">
        <v>4371</v>
      </c>
      <c r="L75" s="62" t="s">
        <v>4372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4365</v>
      </c>
      <c r="R75" s="62" t="s">
        <v>4373</v>
      </c>
      <c r="S75" s="6" t="s">
        <v>4374</v>
      </c>
      <c r="T75" s="60" t="s">
        <v>3912</v>
      </c>
      <c r="U75" s="93" t="s">
        <v>3913</v>
      </c>
      <c r="V75" s="65" t="s">
        <v>4375</v>
      </c>
    </row>
    <row r="76" customFormat="false" ht="143.25" hidden="false" customHeight="false" outlineLevel="0" collapsed="false">
      <c r="A76" s="62" t="s">
        <v>4376</v>
      </c>
      <c r="B76" s="5" t="s">
        <v>4377</v>
      </c>
      <c r="C76" s="6" t="s">
        <v>4378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136</v>
      </c>
      <c r="H76" s="5" t="s">
        <v>4379</v>
      </c>
      <c r="I76" s="6" t="s">
        <v>4380</v>
      </c>
      <c r="J76" s="5" t="s">
        <v>4381</v>
      </c>
      <c r="K76" s="5" t="s">
        <v>4382</v>
      </c>
      <c r="L76" s="62" t="s">
        <v>4383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4376</v>
      </c>
      <c r="R76" s="62" t="s">
        <v>4384</v>
      </c>
      <c r="S76" s="5" t="s">
        <v>4385</v>
      </c>
      <c r="T76" s="60" t="s">
        <v>4386</v>
      </c>
      <c r="U76" s="88" t="s">
        <v>4387</v>
      </c>
      <c r="V76" s="65" t="s">
        <v>4388</v>
      </c>
    </row>
    <row r="77" customFormat="false" ht="157.45" hidden="false" customHeight="false" outlineLevel="0" collapsed="false">
      <c r="A77" s="62" t="s">
        <v>4389</v>
      </c>
      <c r="B77" s="5" t="s">
        <v>4390</v>
      </c>
      <c r="C77" s="6" t="s">
        <v>4391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136</v>
      </c>
      <c r="H77" s="6" t="s">
        <v>4392</v>
      </c>
      <c r="I77" s="5" t="s">
        <v>4393</v>
      </c>
      <c r="J77" s="6" t="s">
        <v>4394</v>
      </c>
      <c r="K77" s="6" t="s">
        <v>4395</v>
      </c>
      <c r="L77" s="62" t="s">
        <v>4383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4389</v>
      </c>
      <c r="R77" s="62" t="s">
        <v>4396</v>
      </c>
      <c r="S77" s="6" t="s">
        <v>4397</v>
      </c>
      <c r="T77" s="60" t="s">
        <v>4386</v>
      </c>
      <c r="U77" s="88" t="s">
        <v>4387</v>
      </c>
      <c r="V77" s="65" t="s">
        <v>4398</v>
      </c>
    </row>
    <row r="78" customFormat="false" ht="214.15" hidden="false" customHeight="false" outlineLevel="0" collapsed="false">
      <c r="A78" s="62" t="s">
        <v>4399</v>
      </c>
      <c r="B78" s="5" t="s">
        <v>4400</v>
      </c>
      <c r="C78" s="6" t="s">
        <v>4401</v>
      </c>
      <c r="D78" s="124" t="n">
        <f aca="false">Cap_In!$C$119</f>
        <v>0.407295434678084</v>
      </c>
      <c r="E78" s="94" t="n">
        <f aca="false">Cap_In!$D$119</f>
        <v>0.215398033949784</v>
      </c>
      <c r="F78" s="94" t="n">
        <f aca="false">Cap_In!$E$119</f>
        <v>1.17876090506834</v>
      </c>
      <c r="G78" s="62" t="s">
        <v>136</v>
      </c>
      <c r="H78" s="5" t="s">
        <v>4402</v>
      </c>
      <c r="I78" s="5" t="s">
        <v>4403</v>
      </c>
      <c r="J78" s="5" t="s">
        <v>4404</v>
      </c>
      <c r="K78" s="6" t="s">
        <v>4405</v>
      </c>
      <c r="L78" s="62" t="s">
        <v>4383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4399</v>
      </c>
      <c r="R78" s="62" t="s">
        <v>4406</v>
      </c>
      <c r="S78" s="5" t="s">
        <v>4407</v>
      </c>
      <c r="T78" s="60" t="s">
        <v>4386</v>
      </c>
      <c r="U78" s="88" t="s">
        <v>4387</v>
      </c>
      <c r="V78" s="65" t="s">
        <v>4408</v>
      </c>
    </row>
    <row r="79" customFormat="false" ht="143.25" hidden="false" customHeight="false" outlineLevel="0" collapsed="false">
      <c r="A79" s="62" t="s">
        <v>4409</v>
      </c>
      <c r="B79" s="5" t="s">
        <v>4410</v>
      </c>
      <c r="C79" s="6" t="s">
        <v>4411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2" t="s">
        <v>998</v>
      </c>
      <c r="H79" s="5" t="s">
        <v>4412</v>
      </c>
      <c r="I79" s="5" t="s">
        <v>4413</v>
      </c>
      <c r="J79" s="5" t="s">
        <v>4414</v>
      </c>
      <c r="K79" s="6" t="s">
        <v>4415</v>
      </c>
      <c r="L79" s="62" t="s">
        <v>4416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4409</v>
      </c>
      <c r="R79" s="62" t="s">
        <v>4417</v>
      </c>
      <c r="S79" s="5" t="s">
        <v>4418</v>
      </c>
      <c r="T79" s="60" t="s">
        <v>3912</v>
      </c>
      <c r="U79" s="93" t="s">
        <v>4419</v>
      </c>
      <c r="V79" s="65" t="s">
        <v>4420</v>
      </c>
    </row>
    <row r="80" customFormat="false" ht="143.25" hidden="false" customHeight="false" outlineLevel="0" collapsed="false">
      <c r="A80" s="62" t="s">
        <v>4421</v>
      </c>
      <c r="B80" s="5" t="s">
        <v>4422</v>
      </c>
      <c r="C80" s="6" t="s">
        <v>4423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136</v>
      </c>
      <c r="H80" s="5" t="s">
        <v>4424</v>
      </c>
      <c r="I80" s="6" t="s">
        <v>4425</v>
      </c>
      <c r="J80" s="5" t="s">
        <v>4426</v>
      </c>
      <c r="K80" s="5" t="s">
        <v>4427</v>
      </c>
      <c r="L80" s="62" t="s">
        <v>4383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4421</v>
      </c>
      <c r="R80" s="62" t="s">
        <v>4428</v>
      </c>
      <c r="S80" s="6" t="s">
        <v>4429</v>
      </c>
      <c r="T80" s="60" t="s">
        <v>4386</v>
      </c>
      <c r="U80" s="88" t="s">
        <v>4387</v>
      </c>
      <c r="V80" s="65" t="s">
        <v>4430</v>
      </c>
    </row>
    <row r="81" customFormat="false" ht="143.25" hidden="false" customHeight="false" outlineLevel="0" collapsed="false">
      <c r="A81" s="62" t="s">
        <v>4431</v>
      </c>
      <c r="B81" s="5" t="s">
        <v>4432</v>
      </c>
      <c r="C81" s="6" t="s">
        <v>4433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136</v>
      </c>
      <c r="H81" s="5" t="s">
        <v>4434</v>
      </c>
      <c r="I81" s="6" t="s">
        <v>4425</v>
      </c>
      <c r="J81" s="5" t="s">
        <v>4435</v>
      </c>
      <c r="K81" s="5" t="s">
        <v>4436</v>
      </c>
      <c r="L81" s="62" t="s">
        <v>4383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4431</v>
      </c>
      <c r="R81" s="62" t="s">
        <v>4437</v>
      </c>
      <c r="S81" s="6" t="s">
        <v>4438</v>
      </c>
      <c r="T81" s="60" t="s">
        <v>4386</v>
      </c>
      <c r="U81" s="88" t="s">
        <v>4387</v>
      </c>
      <c r="V81" s="65" t="s">
        <v>4439</v>
      </c>
    </row>
    <row r="82" customFormat="false" ht="143.25" hidden="false" customHeight="false" outlineLevel="0" collapsed="false">
      <c r="A82" s="62" t="s">
        <v>4440</v>
      </c>
      <c r="B82" s="5" t="s">
        <v>4441</v>
      </c>
      <c r="C82" s="6" t="s">
        <v>4442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136</v>
      </c>
      <c r="H82" s="5" t="s">
        <v>4443</v>
      </c>
      <c r="I82" s="6" t="s">
        <v>4425</v>
      </c>
      <c r="J82" s="5" t="s">
        <v>4444</v>
      </c>
      <c r="K82" s="5" t="s">
        <v>4445</v>
      </c>
      <c r="L82" s="62" t="s">
        <v>4383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4440</v>
      </c>
      <c r="R82" s="62" t="s">
        <v>4446</v>
      </c>
      <c r="S82" s="5" t="s">
        <v>4447</v>
      </c>
      <c r="T82" s="60" t="s">
        <v>4386</v>
      </c>
      <c r="U82" s="88" t="s">
        <v>4387</v>
      </c>
      <c r="V82" s="65" t="s">
        <v>4448</v>
      </c>
    </row>
    <row r="83" customFormat="false" ht="143.25" hidden="false" customHeight="false" outlineLevel="0" collapsed="false">
      <c r="A83" s="62" t="s">
        <v>4449</v>
      </c>
      <c r="B83" s="6" t="s">
        <v>4450</v>
      </c>
      <c r="C83" s="6" t="s">
        <v>4451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136</v>
      </c>
      <c r="H83" s="5" t="s">
        <v>4452</v>
      </c>
      <c r="I83" s="6" t="s">
        <v>4453</v>
      </c>
      <c r="J83" s="6" t="s">
        <v>4454</v>
      </c>
      <c r="K83" s="5" t="s">
        <v>4455</v>
      </c>
      <c r="L83" s="61" t="s">
        <v>4456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4449</v>
      </c>
      <c r="R83" s="62" t="s">
        <v>4457</v>
      </c>
      <c r="S83" s="5" t="s">
        <v>4458</v>
      </c>
      <c r="T83" s="60" t="s">
        <v>4386</v>
      </c>
      <c r="U83" s="88" t="s">
        <v>4387</v>
      </c>
      <c r="V83" s="65" t="s">
        <v>4459</v>
      </c>
    </row>
    <row r="84" customFormat="false" ht="157.45" hidden="false" customHeight="false" outlineLevel="0" collapsed="false">
      <c r="A84" s="62" t="s">
        <v>4460</v>
      </c>
      <c r="B84" s="5" t="s">
        <v>4461</v>
      </c>
      <c r="C84" s="6" t="s">
        <v>4462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2" t="s">
        <v>337</v>
      </c>
      <c r="H84" s="5" t="s">
        <v>4463</v>
      </c>
      <c r="I84" s="5" t="s">
        <v>4464</v>
      </c>
      <c r="J84" s="5" t="s">
        <v>4465</v>
      </c>
      <c r="K84" s="6" t="s">
        <v>4405</v>
      </c>
      <c r="L84" s="62" t="s">
        <v>4466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4460</v>
      </c>
      <c r="R84" s="62" t="s">
        <v>4467</v>
      </c>
      <c r="S84" s="5" t="s">
        <v>4468</v>
      </c>
      <c r="T84" s="60" t="s">
        <v>4044</v>
      </c>
      <c r="U84" s="93" t="s">
        <v>4469</v>
      </c>
      <c r="V84" s="65" t="s">
        <v>4470</v>
      </c>
    </row>
    <row r="85" customFormat="false" ht="143.25" hidden="false" customHeight="false" outlineLevel="0" collapsed="false">
      <c r="A85" s="62" t="s">
        <v>4471</v>
      </c>
      <c r="B85" s="5" t="s">
        <v>4472</v>
      </c>
      <c r="C85" s="6" t="s">
        <v>4473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136</v>
      </c>
      <c r="H85" s="5" t="s">
        <v>4474</v>
      </c>
      <c r="I85" s="6" t="s">
        <v>4475</v>
      </c>
      <c r="J85" s="6" t="s">
        <v>4476</v>
      </c>
      <c r="K85" s="6" t="s">
        <v>4477</v>
      </c>
      <c r="L85" s="62" t="s">
        <v>4478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4471</v>
      </c>
      <c r="R85" s="62" t="s">
        <v>4479</v>
      </c>
      <c r="S85" s="5" t="s">
        <v>4480</v>
      </c>
      <c r="T85" s="60" t="s">
        <v>4386</v>
      </c>
      <c r="U85" s="88" t="s">
        <v>4387</v>
      </c>
      <c r="V85" s="65" t="s">
        <v>4481</v>
      </c>
    </row>
    <row r="86" customFormat="false" ht="143.25" hidden="false" customHeight="false" outlineLevel="0" collapsed="false">
      <c r="A86" s="62" t="s">
        <v>4482</v>
      </c>
      <c r="B86" s="5" t="s">
        <v>4483</v>
      </c>
      <c r="C86" s="5" t="s">
        <v>4484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136</v>
      </c>
      <c r="H86" s="5" t="s">
        <v>4485</v>
      </c>
      <c r="I86" s="6" t="s">
        <v>4486</v>
      </c>
      <c r="J86" s="5" t="s">
        <v>4487</v>
      </c>
      <c r="K86" s="6" t="s">
        <v>4488</v>
      </c>
      <c r="L86" s="61" t="s">
        <v>4489</v>
      </c>
      <c r="M86" s="116" t="s">
        <v>814</v>
      </c>
      <c r="N86" s="116" t="s">
        <v>814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4482</v>
      </c>
      <c r="R86" s="62" t="s">
        <v>4490</v>
      </c>
      <c r="S86" s="5" t="s">
        <v>4491</v>
      </c>
      <c r="T86" s="60" t="s">
        <v>3912</v>
      </c>
      <c r="U86" s="93" t="s">
        <v>4492</v>
      </c>
    </row>
    <row r="87" customFormat="false" ht="143.25" hidden="false" customHeight="false" outlineLevel="0" collapsed="false">
      <c r="A87" s="62" t="s">
        <v>4493</v>
      </c>
      <c r="B87" s="5" t="s">
        <v>4494</v>
      </c>
      <c r="C87" s="5" t="s">
        <v>4495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136</v>
      </c>
      <c r="H87" s="5" t="s">
        <v>4496</v>
      </c>
      <c r="I87" s="6" t="s">
        <v>4486</v>
      </c>
      <c r="J87" s="6" t="s">
        <v>4497</v>
      </c>
      <c r="K87" s="6" t="s">
        <v>4498</v>
      </c>
      <c r="L87" s="61" t="s">
        <v>4499</v>
      </c>
      <c r="M87" s="116" t="s">
        <v>814</v>
      </c>
      <c r="N87" s="116" t="s">
        <v>814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4493</v>
      </c>
      <c r="R87" s="62" t="s">
        <v>4500</v>
      </c>
      <c r="S87" s="5" t="s">
        <v>4501</v>
      </c>
      <c r="T87" s="60" t="s">
        <v>3912</v>
      </c>
      <c r="U87" s="93" t="s">
        <v>4492</v>
      </c>
    </row>
    <row r="88" customFormat="false" ht="143.25" hidden="false" customHeight="false" outlineLevel="0" collapsed="false">
      <c r="A88" s="62" t="s">
        <v>4502</v>
      </c>
      <c r="B88" s="5" t="s">
        <v>4503</v>
      </c>
      <c r="C88" s="6" t="s">
        <v>4504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136</v>
      </c>
      <c r="H88" s="5" t="s">
        <v>4505</v>
      </c>
      <c r="I88" s="6" t="s">
        <v>4486</v>
      </c>
      <c r="J88" s="6" t="s">
        <v>4506</v>
      </c>
      <c r="K88" s="5" t="s">
        <v>4507</v>
      </c>
      <c r="L88" s="62" t="s">
        <v>4508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4502</v>
      </c>
      <c r="R88" s="62" t="s">
        <v>4509</v>
      </c>
      <c r="S88" s="6" t="s">
        <v>4510</v>
      </c>
      <c r="T88" s="60" t="s">
        <v>3912</v>
      </c>
      <c r="U88" s="93" t="s">
        <v>4492</v>
      </c>
      <c r="V88" s="65" t="s">
        <v>4511</v>
      </c>
    </row>
    <row r="89" customFormat="false" ht="168.65" hidden="false" customHeight="false" outlineLevel="0" collapsed="false">
      <c r="A89" s="62" t="s">
        <v>4512</v>
      </c>
      <c r="B89" s="5" t="s">
        <v>4513</v>
      </c>
      <c r="C89" s="6" t="s">
        <v>4514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3.80253905516642</v>
      </c>
      <c r="G89" s="62" t="s">
        <v>136</v>
      </c>
      <c r="H89" s="5" t="s">
        <v>4515</v>
      </c>
      <c r="I89" s="5" t="s">
        <v>4516</v>
      </c>
      <c r="J89" s="5" t="s">
        <v>4517</v>
      </c>
      <c r="K89" s="6" t="s">
        <v>4518</v>
      </c>
      <c r="L89" s="62" t="s">
        <v>4519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4512</v>
      </c>
      <c r="R89" s="62" t="s">
        <v>4520</v>
      </c>
      <c r="S89" s="6" t="s">
        <v>4521</v>
      </c>
      <c r="T89" s="60" t="s">
        <v>4044</v>
      </c>
      <c r="U89" s="93" t="s">
        <v>4522</v>
      </c>
      <c r="V89" s="65" t="s">
        <v>4523</v>
      </c>
    </row>
    <row r="90" customFormat="false" ht="44" hidden="false" customHeight="false" outlineLevel="0" collapsed="false">
      <c r="A90" s="62" t="s">
        <v>4363</v>
      </c>
      <c r="B90" s="5" t="s">
        <v>4524</v>
      </c>
      <c r="C90" s="6" t="s">
        <v>4525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2" t="s">
        <v>136</v>
      </c>
      <c r="H90" s="5" t="s">
        <v>4526</v>
      </c>
      <c r="I90" s="6" t="s">
        <v>4527</v>
      </c>
      <c r="J90" s="5" t="s">
        <v>4528</v>
      </c>
      <c r="K90" s="5" t="s">
        <v>4529</v>
      </c>
      <c r="L90" s="62" t="s">
        <v>4316</v>
      </c>
      <c r="M90" s="116" t="s">
        <v>814</v>
      </c>
      <c r="N90" s="116" t="s">
        <v>814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4363</v>
      </c>
      <c r="R90" s="62" t="s">
        <v>4530</v>
      </c>
      <c r="S90" s="5" t="s">
        <v>4307</v>
      </c>
      <c r="T90" s="60" t="s">
        <v>4300</v>
      </c>
      <c r="U90" s="93" t="s">
        <v>4318</v>
      </c>
    </row>
    <row r="91" customFormat="false" ht="129.1" hidden="false" customHeight="false" outlineLevel="0" collapsed="false">
      <c r="A91" s="62" t="s">
        <v>4531</v>
      </c>
      <c r="B91" s="5" t="s">
        <v>4532</v>
      </c>
      <c r="C91" s="6" t="s">
        <v>4533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0.361920392563785</v>
      </c>
      <c r="F91" s="116" t="n">
        <f aca="false">IF(AND(ISNUMBER(L1_MFleet_Hi),ISNUMBER(AL_PriceFleet25)),L1_MFleet_Hi*AL_PriceFleet25,"m 非數字（本情境）")</f>
        <v>1.98060122313202</v>
      </c>
      <c r="G91" s="62" t="s">
        <v>1045</v>
      </c>
      <c r="H91" s="5" t="s">
        <v>4534</v>
      </c>
      <c r="I91" s="5" t="s">
        <v>4535</v>
      </c>
      <c r="J91" s="5" t="s">
        <v>4536</v>
      </c>
      <c r="K91" s="6" t="s">
        <v>4537</v>
      </c>
      <c r="L91" s="61" t="s">
        <v>4499</v>
      </c>
      <c r="M91" s="116" t="s">
        <v>814</v>
      </c>
      <c r="N91" s="116" t="s">
        <v>814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4531</v>
      </c>
      <c r="R91" s="62" t="s">
        <v>4538</v>
      </c>
      <c r="S91" s="5" t="s">
        <v>4539</v>
      </c>
      <c r="T91" s="60" t="s">
        <v>4386</v>
      </c>
      <c r="U91" s="93" t="s">
        <v>4540</v>
      </c>
    </row>
    <row r="92" customFormat="false" ht="129.1" hidden="false" customHeight="false" outlineLevel="0" collapsed="false">
      <c r="A92" s="62" t="s">
        <v>4541</v>
      </c>
      <c r="B92" s="5" t="s">
        <v>4542</v>
      </c>
      <c r="C92" s="6" t="s">
        <v>4543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1045</v>
      </c>
      <c r="H92" s="5" t="s">
        <v>4544</v>
      </c>
      <c r="I92" s="5" t="s">
        <v>4535</v>
      </c>
      <c r="J92" s="5" t="s">
        <v>4545</v>
      </c>
      <c r="K92" s="5" t="s">
        <v>4546</v>
      </c>
      <c r="L92" s="61" t="s">
        <v>4499</v>
      </c>
      <c r="M92" s="116" t="s">
        <v>814</v>
      </c>
      <c r="N92" s="116" t="s">
        <v>814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4541</v>
      </c>
      <c r="R92" s="62" t="s">
        <v>4538</v>
      </c>
      <c r="S92" s="5" t="s">
        <v>4539</v>
      </c>
      <c r="T92" s="60" t="s">
        <v>4386</v>
      </c>
      <c r="U92" s="93" t="s">
        <v>4540</v>
      </c>
    </row>
    <row r="93" customFormat="false" ht="129.1" hidden="false" customHeight="false" outlineLevel="0" collapsed="false">
      <c r="A93" s="62" t="s">
        <v>4547</v>
      </c>
      <c r="B93" s="5" t="s">
        <v>4548</v>
      </c>
      <c r="C93" s="6" t="s">
        <v>4549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1045</v>
      </c>
      <c r="H93" s="5" t="s">
        <v>4550</v>
      </c>
      <c r="I93" s="5" t="s">
        <v>4535</v>
      </c>
      <c r="J93" s="5" t="s">
        <v>4551</v>
      </c>
      <c r="K93" s="6" t="s">
        <v>4552</v>
      </c>
      <c r="L93" s="61" t="s">
        <v>4553</v>
      </c>
      <c r="M93" s="94" t="n">
        <f aca="false">L1_PriceRealFleet</f>
        <v>0.684354081163504</v>
      </c>
      <c r="N93" s="94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4547</v>
      </c>
      <c r="R93" s="62" t="s">
        <v>4538</v>
      </c>
      <c r="S93" s="5" t="s">
        <v>4554</v>
      </c>
      <c r="T93" s="60" t="s">
        <v>4044</v>
      </c>
      <c r="U93" s="93" t="s">
        <v>4522</v>
      </c>
      <c r="V93" s="65" t="s">
        <v>4555</v>
      </c>
    </row>
    <row r="94" customFormat="false" ht="86.55" hidden="false" customHeight="false" outlineLevel="0" collapsed="false">
      <c r="A94" s="62" t="s">
        <v>4556</v>
      </c>
      <c r="B94" s="5" t="s">
        <v>4557</v>
      </c>
      <c r="C94" s="5" t="s">
        <v>4558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136</v>
      </c>
      <c r="H94" s="5" t="s">
        <v>4559</v>
      </c>
      <c r="I94" s="5" t="s">
        <v>4560</v>
      </c>
      <c r="J94" s="6" t="s">
        <v>4561</v>
      </c>
      <c r="K94" s="5" t="s">
        <v>4562</v>
      </c>
      <c r="L94" s="61" t="s">
        <v>4499</v>
      </c>
      <c r="M94" s="116" t="s">
        <v>814</v>
      </c>
      <c r="N94" s="116" t="s">
        <v>814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4556</v>
      </c>
      <c r="R94" s="62" t="s">
        <v>4563</v>
      </c>
      <c r="S94" s="5" t="s">
        <v>4564</v>
      </c>
      <c r="T94" s="60" t="s">
        <v>3912</v>
      </c>
      <c r="U94" s="93" t="s">
        <v>4492</v>
      </c>
    </row>
    <row r="95" customFormat="false" ht="143.25" hidden="false" customHeight="false" outlineLevel="0" collapsed="false">
      <c r="A95" s="62" t="s">
        <v>4565</v>
      </c>
      <c r="B95" s="5" t="s">
        <v>4566</v>
      </c>
      <c r="C95" s="6" t="s">
        <v>4567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136</v>
      </c>
      <c r="H95" s="6" t="s">
        <v>4568</v>
      </c>
      <c r="I95" s="6" t="s">
        <v>4569</v>
      </c>
      <c r="J95" s="5" t="s">
        <v>4570</v>
      </c>
      <c r="K95" s="6" t="s">
        <v>4571</v>
      </c>
      <c r="L95" s="61" t="s">
        <v>4499</v>
      </c>
      <c r="M95" s="116" t="s">
        <v>814</v>
      </c>
      <c r="N95" s="116" t="s">
        <v>814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4565</v>
      </c>
      <c r="R95" s="62" t="s">
        <v>4572</v>
      </c>
      <c r="S95" s="5" t="s">
        <v>4573</v>
      </c>
      <c r="T95" s="60" t="s">
        <v>3912</v>
      </c>
      <c r="U95" s="93" t="s">
        <v>4219</v>
      </c>
    </row>
    <row r="96" customFormat="false" ht="157.45" hidden="false" customHeight="false" outlineLevel="0" collapsed="false">
      <c r="A96" s="62" t="s">
        <v>4574</v>
      </c>
      <c r="B96" s="5" t="s">
        <v>4575</v>
      </c>
      <c r="C96" s="6" t="s">
        <v>4576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4577</v>
      </c>
      <c r="H96" s="6" t="s">
        <v>4578</v>
      </c>
      <c r="I96" s="5" t="s">
        <v>4579</v>
      </c>
      <c r="J96" s="6" t="s">
        <v>4580</v>
      </c>
      <c r="K96" s="6" t="s">
        <v>4581</v>
      </c>
      <c r="L96" s="61" t="s">
        <v>4499</v>
      </c>
      <c r="M96" s="116" t="s">
        <v>814</v>
      </c>
      <c r="N96" s="116" t="s">
        <v>814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4574</v>
      </c>
      <c r="R96" s="62" t="s">
        <v>4582</v>
      </c>
      <c r="S96" s="5" t="s">
        <v>4583</v>
      </c>
      <c r="T96" s="60" t="s">
        <v>4044</v>
      </c>
      <c r="U96" s="93" t="s">
        <v>4584</v>
      </c>
    </row>
    <row r="97" customFormat="false" ht="157.45" hidden="false" customHeight="false" outlineLevel="0" collapsed="false">
      <c r="A97" s="62" t="s">
        <v>4585</v>
      </c>
      <c r="B97" s="5" t="s">
        <v>4586</v>
      </c>
      <c r="C97" s="6" t="s">
        <v>4587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4577</v>
      </c>
      <c r="H97" s="6" t="s">
        <v>4578</v>
      </c>
      <c r="I97" s="5" t="s">
        <v>4579</v>
      </c>
      <c r="J97" s="6" t="s">
        <v>4588</v>
      </c>
      <c r="K97" s="6" t="s">
        <v>4581</v>
      </c>
      <c r="L97" s="61" t="s">
        <v>4499</v>
      </c>
      <c r="M97" s="116" t="s">
        <v>814</v>
      </c>
      <c r="N97" s="116" t="s">
        <v>814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4585</v>
      </c>
      <c r="R97" s="62" t="s">
        <v>4582</v>
      </c>
      <c r="S97" s="5" t="s">
        <v>4583</v>
      </c>
      <c r="T97" s="60" t="s">
        <v>4044</v>
      </c>
      <c r="U97" s="93" t="s">
        <v>4584</v>
      </c>
    </row>
    <row r="98" customFormat="false" ht="157.45" hidden="false" customHeight="false" outlineLevel="0" collapsed="false">
      <c r="A98" s="62" t="s">
        <v>4589</v>
      </c>
      <c r="B98" s="5" t="s">
        <v>4590</v>
      </c>
      <c r="C98" s="6" t="s">
        <v>4591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4577</v>
      </c>
      <c r="H98" s="6" t="s">
        <v>4592</v>
      </c>
      <c r="I98" s="5" t="s">
        <v>4579</v>
      </c>
      <c r="J98" s="6" t="s">
        <v>4593</v>
      </c>
      <c r="K98" s="6" t="s">
        <v>4581</v>
      </c>
      <c r="L98" s="61" t="s">
        <v>4499</v>
      </c>
      <c r="M98" s="116" t="s">
        <v>814</v>
      </c>
      <c r="N98" s="116" t="s">
        <v>814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4589</v>
      </c>
      <c r="R98" s="62" t="s">
        <v>4582</v>
      </c>
      <c r="S98" s="5" t="s">
        <v>4583</v>
      </c>
      <c r="T98" s="60" t="s">
        <v>4044</v>
      </c>
      <c r="U98" s="93" t="s">
        <v>4584</v>
      </c>
    </row>
    <row r="99" customFormat="false" ht="157.45" hidden="false" customHeight="false" outlineLevel="0" collapsed="false">
      <c r="A99" s="62" t="s">
        <v>4594</v>
      </c>
      <c r="B99" s="5" t="s">
        <v>4595</v>
      </c>
      <c r="C99" s="5" t="s">
        <v>4596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4577</v>
      </c>
      <c r="H99" s="6" t="s">
        <v>4597</v>
      </c>
      <c r="I99" s="5" t="s">
        <v>4579</v>
      </c>
      <c r="J99" s="6" t="s">
        <v>4598</v>
      </c>
      <c r="K99" s="6" t="s">
        <v>4599</v>
      </c>
      <c r="L99" s="61" t="s">
        <v>4499</v>
      </c>
      <c r="M99" s="116" t="s">
        <v>814</v>
      </c>
      <c r="N99" s="116" t="s">
        <v>814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4594</v>
      </c>
      <c r="R99" s="62" t="s">
        <v>4582</v>
      </c>
      <c r="S99" s="5" t="s">
        <v>4600</v>
      </c>
      <c r="T99" s="60" t="s">
        <v>4044</v>
      </c>
      <c r="U99" s="93" t="s">
        <v>4584</v>
      </c>
    </row>
    <row r="100" customFormat="false" ht="157.45" hidden="false" customHeight="false" outlineLevel="0" collapsed="false">
      <c r="A100" s="62" t="s">
        <v>4601</v>
      </c>
      <c r="B100" s="5" t="s">
        <v>4602</v>
      </c>
      <c r="C100" s="5" t="s">
        <v>4603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4577</v>
      </c>
      <c r="H100" s="6" t="s">
        <v>4597</v>
      </c>
      <c r="I100" s="5" t="s">
        <v>4579</v>
      </c>
      <c r="J100" s="6" t="s">
        <v>4604</v>
      </c>
      <c r="K100" s="6" t="s">
        <v>4599</v>
      </c>
      <c r="L100" s="61" t="s">
        <v>4499</v>
      </c>
      <c r="M100" s="116" t="s">
        <v>814</v>
      </c>
      <c r="N100" s="116" t="s">
        <v>814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4601</v>
      </c>
      <c r="R100" s="62" t="s">
        <v>4582</v>
      </c>
      <c r="S100" s="5" t="s">
        <v>4600</v>
      </c>
      <c r="T100" s="60" t="s">
        <v>4044</v>
      </c>
      <c r="U100" s="93" t="s">
        <v>4584</v>
      </c>
    </row>
    <row r="101" customFormat="false" ht="157.45" hidden="false" customHeight="false" outlineLevel="0" collapsed="false">
      <c r="A101" s="62" t="s">
        <v>4605</v>
      </c>
      <c r="B101" s="5" t="s">
        <v>4606</v>
      </c>
      <c r="C101" s="5" t="s">
        <v>4607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4577</v>
      </c>
      <c r="H101" s="6" t="s">
        <v>4597</v>
      </c>
      <c r="I101" s="5" t="s">
        <v>4579</v>
      </c>
      <c r="J101" s="6" t="s">
        <v>4608</v>
      </c>
      <c r="K101" s="6" t="s">
        <v>4599</v>
      </c>
      <c r="L101" s="61" t="s">
        <v>4499</v>
      </c>
      <c r="M101" s="116" t="s">
        <v>814</v>
      </c>
      <c r="N101" s="116" t="s">
        <v>814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4605</v>
      </c>
      <c r="R101" s="62" t="s">
        <v>4582</v>
      </c>
      <c r="S101" s="5" t="s">
        <v>4600</v>
      </c>
      <c r="T101" s="60" t="s">
        <v>4044</v>
      </c>
      <c r="U101" s="93" t="s">
        <v>4584</v>
      </c>
    </row>
    <row r="102" customFormat="false" ht="72.35" hidden="false" customHeight="false" outlineLevel="0" collapsed="false">
      <c r="A102" s="62" t="s">
        <v>4609</v>
      </c>
      <c r="B102" s="6" t="s">
        <v>4610</v>
      </c>
      <c r="C102" s="6" t="s">
        <v>4611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2" t="s">
        <v>136</v>
      </c>
      <c r="H102" s="5" t="s">
        <v>4612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4613</v>
      </c>
      <c r="K102" s="5" t="s">
        <v>4614</v>
      </c>
      <c r="L102" s="61" t="s">
        <v>4499</v>
      </c>
      <c r="M102" s="116" t="s">
        <v>814</v>
      </c>
      <c r="N102" s="116" t="s">
        <v>814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4609</v>
      </c>
      <c r="R102" s="62" t="s">
        <v>4615</v>
      </c>
      <c r="S102" s="5" t="s">
        <v>4539</v>
      </c>
      <c r="T102" s="60" t="s">
        <v>4386</v>
      </c>
      <c r="U102" s="88" t="s">
        <v>4387</v>
      </c>
      <c r="V102" s="65" t="s">
        <v>4616</v>
      </c>
    </row>
    <row r="103" customFormat="false" ht="72.35" hidden="false" customHeight="false" outlineLevel="0" collapsed="false">
      <c r="A103" s="62" t="s">
        <v>4617</v>
      </c>
      <c r="B103" s="6" t="s">
        <v>4618</v>
      </c>
      <c r="C103" s="6" t="s">
        <v>4619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1045</v>
      </c>
      <c r="H103" s="5" t="s">
        <v>4620</v>
      </c>
      <c r="I103" s="5" t="s">
        <v>4621</v>
      </c>
      <c r="J103" s="5" t="s">
        <v>4622</v>
      </c>
      <c r="K103" s="5" t="s">
        <v>4623</v>
      </c>
      <c r="L103" s="61" t="s">
        <v>4499</v>
      </c>
      <c r="M103" s="116" t="s">
        <v>814</v>
      </c>
      <c r="N103" s="116" t="s">
        <v>814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4617</v>
      </c>
      <c r="R103" s="62" t="s">
        <v>4615</v>
      </c>
      <c r="S103" s="5" t="s">
        <v>4624</v>
      </c>
      <c r="T103" s="60" t="s">
        <v>3912</v>
      </c>
      <c r="U103" s="88" t="s">
        <v>4625</v>
      </c>
    </row>
    <row r="104" customFormat="false" ht="58.2" hidden="false" customHeight="false" outlineLevel="0" collapsed="false">
      <c r="A104" s="62" t="s">
        <v>4626</v>
      </c>
      <c r="B104" s="5" t="s">
        <v>4627</v>
      </c>
      <c r="C104" s="6" t="s">
        <v>4628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2" t="s">
        <v>1045</v>
      </c>
      <c r="H104" s="5" t="s">
        <v>4629</v>
      </c>
      <c r="I104" s="5" t="s">
        <v>4630</v>
      </c>
      <c r="J104" s="5" t="s">
        <v>4631</v>
      </c>
      <c r="K104" s="6" t="s">
        <v>4632</v>
      </c>
      <c r="L104" s="61" t="s">
        <v>4499</v>
      </c>
      <c r="M104" s="116" t="s">
        <v>814</v>
      </c>
      <c r="N104" s="116" t="s">
        <v>814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4626</v>
      </c>
      <c r="R104" s="62" t="s">
        <v>4633</v>
      </c>
      <c r="S104" s="5" t="s">
        <v>4539</v>
      </c>
      <c r="T104" s="60" t="s">
        <v>3912</v>
      </c>
      <c r="U104" s="88" t="s">
        <v>4625</v>
      </c>
    </row>
    <row r="105" customFormat="false" ht="86.55" hidden="false" customHeight="false" outlineLevel="0" collapsed="false">
      <c r="A105" s="62" t="s">
        <v>4634</v>
      </c>
      <c r="B105" s="5" t="s">
        <v>4635</v>
      </c>
      <c r="C105" s="5" t="s">
        <v>4636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2" t="s">
        <v>136</v>
      </c>
      <c r="H105" s="6" t="s">
        <v>4637</v>
      </c>
      <c r="I105" s="5" t="s">
        <v>4638</v>
      </c>
      <c r="J105" s="5" t="s">
        <v>4639</v>
      </c>
      <c r="K105" s="5" t="s">
        <v>4640</v>
      </c>
      <c r="L105" s="61" t="s">
        <v>4499</v>
      </c>
      <c r="M105" s="116" t="s">
        <v>814</v>
      </c>
      <c r="N105" s="116" t="s">
        <v>814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4634</v>
      </c>
      <c r="R105" s="62" t="s">
        <v>4633</v>
      </c>
      <c r="S105" s="5" t="s">
        <v>4641</v>
      </c>
      <c r="T105" s="60" t="s">
        <v>4044</v>
      </c>
      <c r="U105" s="93" t="s">
        <v>4208</v>
      </c>
    </row>
    <row r="106" customFormat="false" ht="58.2" hidden="false" customHeight="false" outlineLevel="0" collapsed="false">
      <c r="A106" s="62" t="s">
        <v>4642</v>
      </c>
      <c r="B106" s="5" t="s">
        <v>4643</v>
      </c>
      <c r="C106" s="6" t="s">
        <v>4644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2" t="s">
        <v>136</v>
      </c>
      <c r="H106" s="5" t="s">
        <v>4645</v>
      </c>
      <c r="I106" s="6" t="s">
        <v>4646</v>
      </c>
      <c r="J106" s="6" t="s">
        <v>4647</v>
      </c>
      <c r="K106" s="5" t="s">
        <v>4648</v>
      </c>
      <c r="L106" s="61" t="s">
        <v>4499</v>
      </c>
      <c r="M106" s="116" t="s">
        <v>814</v>
      </c>
      <c r="N106" s="116" t="s">
        <v>814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4642</v>
      </c>
      <c r="R106" s="62" t="s">
        <v>4615</v>
      </c>
      <c r="S106" s="5" t="s">
        <v>4539</v>
      </c>
      <c r="T106" s="60" t="s">
        <v>4044</v>
      </c>
      <c r="U106" s="93" t="s">
        <v>4522</v>
      </c>
    </row>
    <row r="107" customFormat="false" ht="86.55" hidden="false" customHeight="false" outlineLevel="0" collapsed="false">
      <c r="A107" s="62" t="s">
        <v>4649</v>
      </c>
      <c r="B107" s="5" t="s">
        <v>4650</v>
      </c>
      <c r="C107" s="5" t="s">
        <v>4651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136</v>
      </c>
      <c r="H107" s="5" t="s">
        <v>4652</v>
      </c>
      <c r="I107" s="5" t="s">
        <v>4653</v>
      </c>
      <c r="J107" s="5" t="s">
        <v>4654</v>
      </c>
      <c r="K107" s="5" t="s">
        <v>4655</v>
      </c>
      <c r="L107" s="61" t="s">
        <v>4499</v>
      </c>
      <c r="M107" s="116" t="s">
        <v>814</v>
      </c>
      <c r="N107" s="116" t="s">
        <v>814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4649</v>
      </c>
      <c r="R107" s="62" t="s">
        <v>4615</v>
      </c>
      <c r="S107" s="5" t="s">
        <v>4656</v>
      </c>
      <c r="T107" s="60" t="s">
        <v>4063</v>
      </c>
      <c r="U107" s="93" t="s">
        <v>4657</v>
      </c>
    </row>
    <row r="108" customFormat="false" ht="58.2" hidden="false" customHeight="false" outlineLevel="0" collapsed="false">
      <c r="A108" s="62" t="s">
        <v>4658</v>
      </c>
      <c r="B108" s="6" t="s">
        <v>4659</v>
      </c>
      <c r="C108" s="6" t="s">
        <v>4660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2089</v>
      </c>
      <c r="H108" s="5" t="s">
        <v>4661</v>
      </c>
      <c r="I108" s="5" t="s">
        <v>4662</v>
      </c>
      <c r="J108" s="5" t="s">
        <v>4663</v>
      </c>
      <c r="K108" s="6" t="s">
        <v>4664</v>
      </c>
      <c r="L108" s="62" t="s">
        <v>4084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4658</v>
      </c>
      <c r="R108" s="62" t="s">
        <v>4615</v>
      </c>
      <c r="S108" s="5" t="s">
        <v>4539</v>
      </c>
      <c r="T108" s="60" t="s">
        <v>4044</v>
      </c>
      <c r="U108" s="88" t="s">
        <v>4665</v>
      </c>
      <c r="V108" s="65" t="s">
        <v>4666</v>
      </c>
    </row>
    <row r="109" customFormat="false" ht="58.2" hidden="false" customHeight="false" outlineLevel="0" collapsed="false">
      <c r="A109" s="62" t="s">
        <v>4667</v>
      </c>
      <c r="B109" s="6" t="s">
        <v>4668</v>
      </c>
      <c r="C109" s="6" t="s">
        <v>4660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2089</v>
      </c>
      <c r="H109" s="5" t="s">
        <v>4661</v>
      </c>
      <c r="I109" s="5" t="s">
        <v>4662</v>
      </c>
      <c r="J109" s="5" t="s">
        <v>4663</v>
      </c>
      <c r="K109" s="6" t="s">
        <v>4664</v>
      </c>
      <c r="L109" s="62" t="s">
        <v>4084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4667</v>
      </c>
      <c r="R109" s="62" t="s">
        <v>4615</v>
      </c>
      <c r="S109" s="5" t="s">
        <v>4539</v>
      </c>
      <c r="T109" s="60" t="s">
        <v>4044</v>
      </c>
      <c r="U109" s="88" t="s">
        <v>4665</v>
      </c>
      <c r="V109" s="65" t="s">
        <v>4669</v>
      </c>
    </row>
    <row r="110" customFormat="false" ht="58.2" hidden="false" customHeight="false" outlineLevel="0" collapsed="false">
      <c r="A110" s="62" t="s">
        <v>4670</v>
      </c>
      <c r="B110" s="6" t="s">
        <v>4671</v>
      </c>
      <c r="C110" s="6" t="s">
        <v>4660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2089</v>
      </c>
      <c r="H110" s="5" t="s">
        <v>4661</v>
      </c>
      <c r="I110" s="5" t="s">
        <v>4662</v>
      </c>
      <c r="J110" s="5" t="s">
        <v>4663</v>
      </c>
      <c r="K110" s="6" t="s">
        <v>4664</v>
      </c>
      <c r="L110" s="62" t="s">
        <v>4084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4670</v>
      </c>
      <c r="R110" s="62" t="s">
        <v>4615</v>
      </c>
      <c r="S110" s="5" t="s">
        <v>4539</v>
      </c>
      <c r="T110" s="60" t="s">
        <v>4044</v>
      </c>
      <c r="U110" s="88" t="s">
        <v>4665</v>
      </c>
      <c r="V110" s="65" t="s">
        <v>4672</v>
      </c>
    </row>
    <row r="111" customFormat="false" ht="72.35" hidden="false" customHeight="false" outlineLevel="0" collapsed="false">
      <c r="A111" s="62" t="s">
        <v>4673</v>
      </c>
      <c r="B111" s="5" t="s">
        <v>4674</v>
      </c>
      <c r="C111" s="6" t="s">
        <v>4675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2" t="s">
        <v>136</v>
      </c>
      <c r="H111" s="5" t="s">
        <v>4676</v>
      </c>
      <c r="I111" s="6" t="s">
        <v>4677</v>
      </c>
      <c r="J111" s="6" t="s">
        <v>4678</v>
      </c>
      <c r="K111" s="5" t="s">
        <v>4679</v>
      </c>
      <c r="L111" s="61" t="s">
        <v>4539</v>
      </c>
      <c r="M111" s="116" t="s">
        <v>814</v>
      </c>
      <c r="N111" s="116" t="s">
        <v>814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4673</v>
      </c>
      <c r="R111" s="62" t="s">
        <v>4673</v>
      </c>
      <c r="S111" s="6" t="s">
        <v>4680</v>
      </c>
      <c r="T111" s="60" t="s">
        <v>4300</v>
      </c>
      <c r="U111" s="93" t="s">
        <v>4681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4682</v>
      </c>
    </row>
    <row r="2" customFormat="false" ht="15" hidden="false" customHeight="false" outlineLevel="0" collapsed="false">
      <c r="A2" s="59" t="s">
        <v>4683</v>
      </c>
    </row>
    <row r="3" customFormat="false" ht="15" hidden="false" customHeight="false" outlineLevel="0" collapsed="false">
      <c r="A3" s="65" t="s">
        <v>4684</v>
      </c>
      <c r="C3" s="62" t="s">
        <v>4685</v>
      </c>
    </row>
    <row r="4" customFormat="false" ht="58.2" hidden="false" customHeight="false" outlineLevel="0" collapsed="false">
      <c r="A4" s="85" t="s">
        <v>4686</v>
      </c>
      <c r="B4" s="84" t="s">
        <v>12</v>
      </c>
      <c r="C4" s="84" t="s">
        <v>4687</v>
      </c>
      <c r="D4" s="84" t="s">
        <v>4688</v>
      </c>
      <c r="E4" s="84" t="s">
        <v>4689</v>
      </c>
      <c r="F4" s="84" t="s">
        <v>1440</v>
      </c>
      <c r="G4" s="84" t="s">
        <v>1441</v>
      </c>
      <c r="H4" s="85" t="s">
        <v>4690</v>
      </c>
      <c r="I4" s="85" t="s">
        <v>4691</v>
      </c>
      <c r="J4" s="84" t="s">
        <v>4692</v>
      </c>
      <c r="K4" s="84" t="s">
        <v>4693</v>
      </c>
      <c r="L4" s="84" t="s">
        <v>4694</v>
      </c>
      <c r="M4" s="84" t="s">
        <v>4695</v>
      </c>
      <c r="N4" s="84" t="s">
        <v>4696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1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4697</v>
      </c>
      <c r="K5" s="221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4698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1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4699</v>
      </c>
      <c r="K6" s="221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4700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1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4701</v>
      </c>
      <c r="K7" s="221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4702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1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4703</v>
      </c>
      <c r="K8" s="221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4704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1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4705</v>
      </c>
      <c r="K9" s="221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4706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1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4699</v>
      </c>
      <c r="K10" s="221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4707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1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4708</v>
      </c>
      <c r="K11" s="221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4709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1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4708</v>
      </c>
      <c r="K12" s="221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4710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1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4708</v>
      </c>
      <c r="K13" s="221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4711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1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4708</v>
      </c>
      <c r="K14" s="221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4712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1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4708</v>
      </c>
      <c r="K15" s="221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4713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1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4708</v>
      </c>
      <c r="K16" s="221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4714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1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4715</v>
      </c>
      <c r="K17" s="221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4716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1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4715</v>
      </c>
      <c r="K18" s="221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4717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1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4715</v>
      </c>
      <c r="K19" s="221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4718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1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4715</v>
      </c>
      <c r="K20" s="221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4719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1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4715</v>
      </c>
      <c r="K21" s="221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4720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1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4715</v>
      </c>
      <c r="K22" s="221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4721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1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4715</v>
      </c>
      <c r="K23" s="221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4722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1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4715</v>
      </c>
      <c r="K24" s="221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4723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1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4715</v>
      </c>
      <c r="K25" s="221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4724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1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4715</v>
      </c>
      <c r="K26" s="221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4725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1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4715</v>
      </c>
      <c r="K27" s="221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4726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1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4715</v>
      </c>
      <c r="K28" s="221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4727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1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4715</v>
      </c>
      <c r="K29" s="221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4728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1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4699</v>
      </c>
      <c r="K30" s="221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4729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21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8" t="s">
        <v>4699</v>
      </c>
      <c r="K31" s="221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4730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21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8" t="s">
        <v>4699</v>
      </c>
      <c r="K32" s="221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4731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21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8" t="s">
        <v>4699</v>
      </c>
      <c r="K33" s="221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4732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21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8" t="s">
        <v>4699</v>
      </c>
      <c r="K34" s="221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4733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21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1.5</v>
      </c>
      <c r="H35" s="92" t="str">
        <f aca="false">Gov_Map!$P$350</f>
        <v>高</v>
      </c>
      <c r="I35" s="92" t="str">
        <f aca="false">Gov_Map!$T$350</f>
        <v>—</v>
      </c>
      <c r="J35" s="88" t="s">
        <v>4699</v>
      </c>
      <c r="K35" s="221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4734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21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8" t="s">
        <v>4699</v>
      </c>
      <c r="K36" s="221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4735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21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8" t="s">
        <v>4699</v>
      </c>
      <c r="K37" s="221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4736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21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8" t="s">
        <v>4699</v>
      </c>
      <c r="K38" s="221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4737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21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8" t="s">
        <v>4699</v>
      </c>
      <c r="K39" s="221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4738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21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8" t="s">
        <v>4699</v>
      </c>
      <c r="K40" s="221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4739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21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8" t="s">
        <v>814</v>
      </c>
      <c r="K41" s="221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4740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21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8" t="s">
        <v>814</v>
      </c>
      <c r="K42" s="221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4741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21" t="str">
        <f aca="false">Gov_Map!$E$463</f>
        <v>儲存層（1＝SSD；2＝DRAM；3＝HBM）</v>
      </c>
      <c r="E43" s="92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8" t="s">
        <v>4742</v>
      </c>
      <c r="K43" s="221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4743</v>
      </c>
      <c r="N43" s="105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21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8" t="s">
        <v>4744</v>
      </c>
      <c r="K44" s="221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4745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21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8" t="s">
        <v>4744</v>
      </c>
      <c r="K45" s="221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4746</v>
      </c>
      <c r="N45" s="105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21" t="str">
        <f aca="false">Gov_Map!$E$530</f>
        <v>研發倍數（研發總 GPU 小時 ÷ 最終訓練）</v>
      </c>
      <c r="E46" s="92" t="str">
        <f aca="false">Gov_Map!$F$530</f>
        <v>Analogy</v>
      </c>
      <c r="F46" s="111" t="n">
        <f aca="false">Gov_Map!$K$530</f>
        <v>4.4</v>
      </c>
      <c r="G46" s="111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8" t="s">
        <v>4747</v>
      </c>
      <c r="K46" s="221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4748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21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8" t="s">
        <v>4744</v>
      </c>
      <c r="K47" s="221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4749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21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8" t="s">
        <v>4750</v>
      </c>
      <c r="K48" s="221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4751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（停用）C34:E34</v>
      </c>
      <c r="D49" s="221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8" t="s">
        <v>4752</v>
      </c>
      <c r="K49" s="221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4753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21" t="str">
        <f aca="false">Gov_Map!$E$580</f>
        <v>家族計畫數 N_major（個／年）</v>
      </c>
      <c r="E50" s="92" t="str">
        <f aca="false">Gov_Map!$F$580</f>
        <v>Assumed</v>
      </c>
      <c r="F50" s="111" t="n">
        <f aca="false">Gov_Map!$K$580</f>
        <v>1</v>
      </c>
      <c r="G50" s="111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8" t="s">
        <v>4754</v>
      </c>
      <c r="K50" s="221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4755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21" t="str">
        <f aca="false">Gov_Map!$E$582</f>
        <v>改版計畫數 N_refresh（個／年）</v>
      </c>
      <c r="E51" s="92" t="str">
        <f aca="false">Gov_Map!$F$582</f>
        <v>Assumed</v>
      </c>
      <c r="F51" s="111" t="n">
        <f aca="false">Gov_Map!$K$582</f>
        <v>0</v>
      </c>
      <c r="G51" s="111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8" t="s">
        <v>4754</v>
      </c>
      <c r="K51" s="221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4756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21" t="str">
        <f aca="false">Gov_Map!$E$584</f>
        <v>計畫規模倍數 k（相對 Block 3）</v>
      </c>
      <c r="E52" s="92" t="str">
        <f aca="false">Gov_Map!$F$584</f>
        <v>Assumed</v>
      </c>
      <c r="F52" s="111" t="n">
        <f aca="false">Gov_Map!$K$584</f>
        <v>0.5</v>
      </c>
      <c r="G52" s="111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8" t="s">
        <v>4754</v>
      </c>
      <c r="K52" s="221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4757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21" t="str">
        <f aca="false">Gov_Map!$E$590</f>
        <v>每則提示 token 數</v>
      </c>
      <c r="E53" s="92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8" t="s">
        <v>4758</v>
      </c>
      <c r="K53" s="221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4759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21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8" t="s">
        <v>4760</v>
      </c>
      <c r="K54" s="221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4761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21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8" t="s">
        <v>4752</v>
      </c>
      <c r="K55" s="221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4762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21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8" t="s">
        <v>4752</v>
      </c>
      <c r="K56" s="221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4763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21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8" t="s">
        <v>4752</v>
      </c>
      <c r="K57" s="221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4764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21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8" t="s">
        <v>4701</v>
      </c>
      <c r="K58" s="221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4765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21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8" t="s">
        <v>814</v>
      </c>
      <c r="K59" s="221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4766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21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8" t="s">
        <v>814</v>
      </c>
      <c r="K60" s="221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4767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2" t="str">
        <f aca="false">Gov_Map!$A$691</f>
        <v>GM687</v>
      </c>
      <c r="B61" s="92" t="str">
        <f aca="false">Gov_Map!$C$691</f>
        <v>Calib</v>
      </c>
      <c r="C61" s="92" t="str">
        <f aca="false">Gov_Map!$D$691</f>
        <v>C156</v>
      </c>
      <c r="D61" s="221" t="str">
        <f aca="false">Gov_Map!$E$691</f>
        <v>批次口徑 η_d 倍數：Hopper（CAL_BatchEtaD）</v>
      </c>
      <c r="E61" s="92" t="str">
        <f aca="false">Gov_Map!$F$691</f>
        <v>Assumed</v>
      </c>
      <c r="F61" s="92" t="n">
        <f aca="false">Gov_Map!$K$691</f>
        <v>1</v>
      </c>
      <c r="G61" s="92" t="n">
        <f aca="false">Gov_Map!$L$691</f>
        <v>3.74</v>
      </c>
      <c r="H61" s="92" t="str">
        <f aca="false">Gov_Map!$P$691</f>
        <v>高</v>
      </c>
      <c r="I61" s="92" t="str">
        <f aca="false">Gov_Map!$T$691</f>
        <v>—</v>
      </c>
      <c r="J61" s="88" t="s">
        <v>4744</v>
      </c>
      <c r="K61" s="221" t="str">
        <f aca="false">IF(Gov_Map!$AK$691="","—",Gov_Map!$AK$691)</f>
        <v>—</v>
      </c>
      <c r="L61" s="92" t="str">
        <f aca="false">IF(ISNUMBER(Gov_Map!$AF$691),INDEX(IDX_SrcDate,Gov_Map!$AF$691),"—")</f>
        <v>—</v>
      </c>
      <c r="M61" s="93" t="s">
        <v>4768</v>
      </c>
      <c r="N61" s="105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4769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4770</v>
      </c>
    </row>
    <row r="2" customFormat="false" ht="15" hidden="false" customHeight="false" outlineLevel="0" collapsed="false">
      <c r="A2" s="65" t="s">
        <v>4771</v>
      </c>
    </row>
    <row r="4" customFormat="false" ht="15" hidden="false" customHeight="false" outlineLevel="0" collapsed="false">
      <c r="A4" s="60" t="s">
        <v>4772</v>
      </c>
    </row>
    <row r="5" customFormat="false" ht="15" hidden="false" customHeight="false" outlineLevel="0" collapsed="false">
      <c r="A5" s="62" t="s">
        <v>4773</v>
      </c>
      <c r="B5" s="62" t="s">
        <v>131</v>
      </c>
      <c r="C5" s="67" t="n">
        <v>0.6</v>
      </c>
      <c r="F5" s="59" t="s">
        <v>4774</v>
      </c>
    </row>
    <row r="6" customFormat="false" ht="15" hidden="false" customHeight="false" outlineLevel="0" collapsed="false">
      <c r="A6" s="62" t="s">
        <v>4775</v>
      </c>
      <c r="B6" s="62" t="s">
        <v>4776</v>
      </c>
      <c r="C6" s="68" t="n">
        <v>10</v>
      </c>
      <c r="F6" s="59" t="s">
        <v>4777</v>
      </c>
    </row>
    <row r="7" customFormat="false" ht="15" hidden="false" customHeight="false" outlineLevel="0" collapsed="false">
      <c r="A7" s="62" t="s">
        <v>4778</v>
      </c>
      <c r="B7" s="62" t="s">
        <v>4776</v>
      </c>
      <c r="C7" s="68" t="n">
        <v>40</v>
      </c>
      <c r="F7" s="59" t="s">
        <v>4779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4780</v>
      </c>
    </row>
    <row r="2" customFormat="false" ht="15" hidden="false" customHeight="false" outlineLevel="0" collapsed="false">
      <c r="A2" s="65" t="s">
        <v>4781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4782</v>
      </c>
      <c r="B4" s="84" t="s">
        <v>4783</v>
      </c>
      <c r="C4" s="84" t="s">
        <v>4784</v>
      </c>
      <c r="D4" s="84" t="s">
        <v>4785</v>
      </c>
      <c r="E4" s="84" t="s">
        <v>4786</v>
      </c>
      <c r="F4" s="84" t="s">
        <v>4787</v>
      </c>
      <c r="G4" s="84" t="s">
        <v>4788</v>
      </c>
      <c r="H4" s="84" t="s">
        <v>4789</v>
      </c>
      <c r="I4" s="84" t="s">
        <v>4790</v>
      </c>
      <c r="J4" s="84" t="s">
        <v>4791</v>
      </c>
      <c r="K4" s="84" t="s">
        <v>117</v>
      </c>
      <c r="L4" s="84" t="s">
        <v>383</v>
      </c>
    </row>
    <row r="5" customFormat="false" ht="15" hidden="false" customHeight="false" outlineLevel="0" collapsed="false">
      <c r="A5" s="62" t="s">
        <v>4792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132</v>
      </c>
      <c r="L5" s="59" t="s">
        <v>4793</v>
      </c>
      <c r="M5" s="65" t="s">
        <v>4794</v>
      </c>
    </row>
    <row r="6" customFormat="false" ht="15" hidden="false" customHeight="false" outlineLevel="0" collapsed="false">
      <c r="A6" s="62" t="s">
        <v>4795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132</v>
      </c>
      <c r="L6" s="65" t="s">
        <v>4796</v>
      </c>
      <c r="M6" s="65" t="s">
        <v>4797</v>
      </c>
    </row>
    <row r="7" customFormat="false" ht="15" hidden="false" customHeight="false" outlineLevel="0" collapsed="false">
      <c r="A7" s="62" t="s">
        <v>4798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132</v>
      </c>
      <c r="L7" s="59" t="s">
        <v>4799</v>
      </c>
      <c r="M7" s="65" t="s">
        <v>4800</v>
      </c>
    </row>
    <row r="8" customFormat="false" ht="15" hidden="false" customHeight="false" outlineLevel="0" collapsed="false">
      <c r="A8" s="62" t="s">
        <v>4801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132</v>
      </c>
      <c r="L8" s="65" t="s">
        <v>4802</v>
      </c>
      <c r="M8" s="65" t="s">
        <v>4803</v>
      </c>
    </row>
    <row r="9" customFormat="false" ht="15" hidden="false" customHeight="false" outlineLevel="0" collapsed="false">
      <c r="A9" s="62" t="s">
        <v>4804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132</v>
      </c>
      <c r="L9" s="65" t="s">
        <v>4805</v>
      </c>
      <c r="M9" s="65" t="s">
        <v>4806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4807</v>
      </c>
    </row>
    <row r="2" customFormat="false" ht="15" hidden="false" customHeight="true" outlineLevel="0" collapsed="false">
      <c r="A2" s="11" t="s">
        <v>4808</v>
      </c>
    </row>
    <row r="4" customFormat="false" ht="30" hidden="false" customHeight="true" outlineLevel="0" collapsed="false">
      <c r="A4" s="22" t="s">
        <v>1028</v>
      </c>
      <c r="C4" s="222" t="s">
        <v>115</v>
      </c>
      <c r="D4" s="222" t="s">
        <v>4809</v>
      </c>
      <c r="E4" s="222" t="s">
        <v>4810</v>
      </c>
      <c r="F4" s="222" t="s">
        <v>4811</v>
      </c>
      <c r="G4" s="222" t="s">
        <v>4812</v>
      </c>
      <c r="H4" s="222" t="s">
        <v>4813</v>
      </c>
      <c r="I4" s="222" t="s">
        <v>4814</v>
      </c>
      <c r="J4" s="222" t="s">
        <v>4815</v>
      </c>
      <c r="K4" s="222" t="s">
        <v>4816</v>
      </c>
      <c r="L4" s="222" t="s">
        <v>4817</v>
      </c>
      <c r="M4" s="222" t="s">
        <v>4818</v>
      </c>
      <c r="N4" s="223" t="s">
        <v>4819</v>
      </c>
      <c r="O4" s="223" t="s">
        <v>4820</v>
      </c>
      <c r="P4" s="223" t="s">
        <v>4821</v>
      </c>
      <c r="Q4" s="223" t="s">
        <v>4822</v>
      </c>
      <c r="R4" s="222" t="s">
        <v>4823</v>
      </c>
      <c r="S4" s="222" t="s">
        <v>4824</v>
      </c>
      <c r="T4" s="223" t="s">
        <v>4825</v>
      </c>
      <c r="U4" s="223" t="s">
        <v>4826</v>
      </c>
      <c r="V4" s="222" t="s">
        <v>4827</v>
      </c>
      <c r="W4" s="222" t="s">
        <v>4828</v>
      </c>
      <c r="X4" s="222" t="s">
        <v>4829</v>
      </c>
      <c r="Y4" s="222" t="s">
        <v>4830</v>
      </c>
    </row>
    <row r="6" customFormat="false" ht="15" hidden="false" customHeight="true" outlineLevel="0" collapsed="false">
      <c r="A6" s="27" t="s">
        <v>1083</v>
      </c>
      <c r="B6" s="15"/>
      <c r="C6" s="15"/>
    </row>
    <row r="7" customFormat="false" ht="15" hidden="false" customHeight="true" outlineLevel="0" collapsed="false">
      <c r="A7" s="16" t="s">
        <v>4831</v>
      </c>
      <c r="B7" s="17" t="s">
        <v>1085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130</v>
      </c>
      <c r="B8" s="17" t="s">
        <v>131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4" t="n">
        <v>0.05</v>
      </c>
      <c r="Y8" s="224" t="n">
        <v>0.12</v>
      </c>
    </row>
    <row r="9" customFormat="false" ht="15" hidden="false" customHeight="true" outlineLevel="0" collapsed="false">
      <c r="A9" s="22" t="s">
        <v>1086</v>
      </c>
      <c r="B9" s="17" t="s">
        <v>1085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938</v>
      </c>
      <c r="B10" s="17" t="s">
        <v>939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6" t="n">
        <f aca="false">Spec_Rack!F8</f>
        <v>188</v>
      </c>
      <c r="G10" s="186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3503</v>
      </c>
      <c r="B11" s="23" t="s">
        <v>937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217</v>
      </c>
      <c r="B12" s="23" t="s">
        <v>931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3505</v>
      </c>
      <c r="B13" s="23" t="s">
        <v>931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135</v>
      </c>
      <c r="B14" s="17" t="s">
        <v>136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8" t="n">
        <f aca="false">Inputs!$D$9</f>
        <v>1.1</v>
      </c>
      <c r="U14" s="188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1089</v>
      </c>
      <c r="B15" s="17" t="s">
        <v>1085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4832</v>
      </c>
      <c r="B16" s="15"/>
      <c r="C16" s="15"/>
    </row>
    <row r="17" customFormat="false" ht="15" hidden="false" customHeight="true" outlineLevel="0" collapsed="false">
      <c r="A17" s="22" t="s">
        <v>1091</v>
      </c>
      <c r="B17" s="17" t="s">
        <v>1092</v>
      </c>
      <c r="C17" s="38" t="n">
        <f aca="false">Spec_Rack!F12</f>
        <v>8.4</v>
      </c>
      <c r="D17" s="189" t="n">
        <f aca="false">Spec_Rack!F11</f>
        <v>7.8</v>
      </c>
      <c r="E17" s="189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1093</v>
      </c>
      <c r="B18" s="17" t="s">
        <v>1094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146</v>
      </c>
      <c r="B19" s="17" t="s">
        <v>131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5" t="n">
        <f aca="false">Inputs!$D$13</f>
        <v>0.05</v>
      </c>
      <c r="I19" s="225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1095</v>
      </c>
      <c r="B20" s="17" t="s">
        <v>1094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1096</v>
      </c>
      <c r="B21" s="17" t="s">
        <v>149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1096</v>
      </c>
      <c r="B22" s="17" t="s">
        <v>1094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1097</v>
      </c>
      <c r="B23" s="17" t="s">
        <v>1094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152</v>
      </c>
      <c r="B24" s="17" t="s">
        <v>1094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1098</v>
      </c>
      <c r="B25" s="17" t="s">
        <v>1094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1099</v>
      </c>
      <c r="B26" s="17" t="s">
        <v>1094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1100</v>
      </c>
      <c r="B27" s="17" t="s">
        <v>1094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1101</v>
      </c>
      <c r="B28" s="17" t="s">
        <v>1094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1102</v>
      </c>
      <c r="B29" s="17" t="s">
        <v>131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162</v>
      </c>
      <c r="B30" s="17" t="s">
        <v>1094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1103</v>
      </c>
      <c r="B31" s="17" t="s">
        <v>1094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4833</v>
      </c>
      <c r="B32" s="17" t="s">
        <v>1094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1105</v>
      </c>
      <c r="B33" s="17" t="s">
        <v>1106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1108</v>
      </c>
      <c r="B34" s="17" t="s">
        <v>1092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1110</v>
      </c>
      <c r="B35" s="17" t="s">
        <v>1092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4834</v>
      </c>
      <c r="B36" s="15"/>
      <c r="C36" s="15"/>
    </row>
    <row r="37" customFormat="false" ht="15" hidden="false" customHeight="true" outlineLevel="0" collapsed="false">
      <c r="A37" s="16" t="s">
        <v>1113</v>
      </c>
      <c r="B37" s="23" t="s">
        <v>167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6" t="n">
        <v>7</v>
      </c>
      <c r="O37" s="227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1114</v>
      </c>
      <c r="B38" s="17" t="s">
        <v>1094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1115</v>
      </c>
      <c r="B39" s="17" t="s">
        <v>1094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139</v>
      </c>
      <c r="B40" s="17" t="s">
        <v>131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5" t="n">
        <f aca="false">Inputs!$D$10</f>
        <v>0.7</v>
      </c>
      <c r="W40" s="225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141</v>
      </c>
      <c r="B41" s="17" t="s">
        <v>142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8" t="n">
        <f aca="false">Inputs!$D$11</f>
        <v>0.06</v>
      </c>
      <c r="S41" s="228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1116</v>
      </c>
      <c r="B42" s="17" t="s">
        <v>1094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1117</v>
      </c>
      <c r="B43" s="17" t="s">
        <v>1094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182</v>
      </c>
      <c r="B44" s="17" t="s">
        <v>1094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4835</v>
      </c>
      <c r="B45" s="17" t="s">
        <v>1094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193</v>
      </c>
      <c r="B46" s="17" t="s">
        <v>1094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1119</v>
      </c>
      <c r="B47" s="17" t="s">
        <v>1094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1120</v>
      </c>
      <c r="B48" s="17" t="s">
        <v>1094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4836</v>
      </c>
      <c r="B49" s="15"/>
      <c r="C49" s="15"/>
    </row>
    <row r="50" customFormat="false" ht="15" hidden="false" customHeight="true" outlineLevel="0" collapsed="false">
      <c r="A50" s="16" t="s">
        <v>1122</v>
      </c>
      <c r="B50" s="17" t="s">
        <v>131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5" t="n">
        <f aca="false">Inputs!$D$28</f>
        <v>0.08</v>
      </c>
      <c r="Q50" s="225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1123</v>
      </c>
      <c r="B51" s="17" t="s">
        <v>136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1124</v>
      </c>
      <c r="B52" s="17" t="s">
        <v>1094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1125</v>
      </c>
      <c r="B53" s="17" t="s">
        <v>1094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1126</v>
      </c>
      <c r="B54" s="17" t="s">
        <v>1094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1127</v>
      </c>
      <c r="B55" s="15"/>
      <c r="C55" s="15"/>
    </row>
    <row r="56" customFormat="false" ht="15" hidden="false" customHeight="true" outlineLevel="0" collapsed="false">
      <c r="A56" s="22" t="s">
        <v>1128</v>
      </c>
      <c r="B56" s="17" t="s">
        <v>1054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1129</v>
      </c>
      <c r="B57" s="17" t="s">
        <v>1054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1130</v>
      </c>
      <c r="B58" s="17" t="s">
        <v>1131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1133</v>
      </c>
      <c r="B59" s="17" t="s">
        <v>1134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1136</v>
      </c>
      <c r="B60" s="17" t="s">
        <v>131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1138</v>
      </c>
      <c r="B61" s="17" t="s">
        <v>131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4837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4838</v>
      </c>
      <c r="B65" s="36"/>
      <c r="C65" s="36" t="s">
        <v>4839</v>
      </c>
      <c r="D65" s="36" t="s">
        <v>4840</v>
      </c>
      <c r="E65" s="36" t="s">
        <v>4841</v>
      </c>
      <c r="F65" s="36" t="s">
        <v>4842</v>
      </c>
      <c r="G65" s="36" t="s">
        <v>4843</v>
      </c>
      <c r="H65" s="36" t="s">
        <v>4844</v>
      </c>
      <c r="I65" s="229" t="s">
        <v>4845</v>
      </c>
      <c r="J65" s="229" t="s">
        <v>4846</v>
      </c>
    </row>
    <row r="66" customFormat="false" ht="15" hidden="false" customHeight="true" outlineLevel="0" collapsed="false">
      <c r="A66" s="22" t="s">
        <v>115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4847</v>
      </c>
      <c r="C67" s="39" t="n">
        <f aca="false">D32</f>
        <v>47.582032</v>
      </c>
      <c r="D67" s="39" t="n">
        <f aca="false">E32</f>
        <v>53.376392</v>
      </c>
      <c r="E67" s="230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4848</v>
      </c>
      <c r="C68" s="39" t="n">
        <f aca="false">F32</f>
        <v>58.057468</v>
      </c>
      <c r="D68" s="39" t="n">
        <f aca="false">G32</f>
        <v>49.774</v>
      </c>
      <c r="E68" s="230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4849</v>
      </c>
      <c r="C69" s="39" t="n">
        <f aca="false">H32</f>
        <v>48.554512</v>
      </c>
      <c r="D69" s="39" t="n">
        <f aca="false">I32</f>
        <v>51.958192</v>
      </c>
      <c r="E69" s="230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4850</v>
      </c>
      <c r="C70" s="39" t="n">
        <f aca="false">J32</f>
        <v>49.566352</v>
      </c>
      <c r="D70" s="39" t="n">
        <f aca="false">K32</f>
        <v>51.291352</v>
      </c>
      <c r="E70" s="230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4851</v>
      </c>
      <c r="C71" s="39" t="n">
        <f aca="false">L32</f>
        <v>49.451352</v>
      </c>
      <c r="D71" s="39" t="n">
        <f aca="false">M32</f>
        <v>51.406352</v>
      </c>
      <c r="E71" s="230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4852</v>
      </c>
      <c r="C72" s="39" t="n">
        <f aca="false">N32</f>
        <v>50.256352</v>
      </c>
      <c r="D72" s="39" t="n">
        <f aca="false">O32</f>
        <v>50.256352</v>
      </c>
      <c r="E72" s="230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1122</v>
      </c>
      <c r="C73" s="39" t="n">
        <f aca="false">P32</f>
        <v>50.256352</v>
      </c>
      <c r="D73" s="39" t="n">
        <f aca="false">Q32</f>
        <v>50.256352</v>
      </c>
      <c r="E73" s="230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141</v>
      </c>
      <c r="C74" s="39" t="n">
        <f aca="false">R32</f>
        <v>50.256352</v>
      </c>
      <c r="D74" s="39" t="n">
        <f aca="false">S32</f>
        <v>50.256352</v>
      </c>
      <c r="E74" s="230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135</v>
      </c>
      <c r="C75" s="39" t="n">
        <f aca="false">T32</f>
        <v>50.256352</v>
      </c>
      <c r="D75" s="39" t="n">
        <f aca="false">U32</f>
        <v>50.256352</v>
      </c>
      <c r="E75" s="230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4853</v>
      </c>
      <c r="C76" s="39" t="n">
        <f aca="false">V32</f>
        <v>50.256352</v>
      </c>
      <c r="D76" s="39" t="n">
        <f aca="false">W32</f>
        <v>50.256352</v>
      </c>
      <c r="E76" s="230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4854</v>
      </c>
      <c r="C77" s="39" t="n">
        <f aca="false">X32</f>
        <v>51.49006</v>
      </c>
      <c r="D77" s="39" t="n">
        <f aca="false">Y32</f>
        <v>48.623776</v>
      </c>
      <c r="E77" s="230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4855</v>
      </c>
    </row>
    <row r="2" customFormat="false" ht="15" hidden="false" customHeight="true" outlineLevel="0" collapsed="false">
      <c r="A2" s="3" t="s">
        <v>4856</v>
      </c>
    </row>
    <row r="3" customFormat="false" ht="15" hidden="false" customHeight="true" outlineLevel="0" collapsed="false">
      <c r="A3" s="12" t="s">
        <v>415</v>
      </c>
      <c r="B3" s="12" t="s">
        <v>4857</v>
      </c>
      <c r="C3" s="12" t="s">
        <v>4858</v>
      </c>
      <c r="D3" s="12" t="s">
        <v>113</v>
      </c>
      <c r="E3" s="12" t="s">
        <v>647</v>
      </c>
      <c r="F3" s="12" t="s">
        <v>516</v>
      </c>
      <c r="G3" s="9" t="s">
        <v>4859</v>
      </c>
    </row>
    <row r="4" customFormat="false" ht="15" hidden="false" customHeight="true" outlineLevel="0" collapsed="false">
      <c r="A4" s="16" t="s">
        <v>4860</v>
      </c>
      <c r="B4" s="190" t="n">
        <f aca="false">(DC_Cost!M33)/CTL_GW</f>
        <v>50.256352</v>
      </c>
      <c r="C4" s="231" t="str">
        <f aca="false">TEXT(SRC_DC_010_Lo,"0")&amp;"–"&amp;TEXT(SRC_DC_010_Hi,"0")</f>
        <v>50–60</v>
      </c>
      <c r="D4" s="17" t="s">
        <v>3906</v>
      </c>
      <c r="E4" s="22" t="str">
        <f aca="false">IF(AND(B4&gt;=SRC_DC_010_Lo,B4&lt;=SRC_DC_010_Hi),"落在區間",IF(B4&lt;SRC_DC_010_Lo,"低於參照","高於參照"))</f>
        <v>落在區間</v>
      </c>
      <c r="F4" s="20" t="s">
        <v>4861</v>
      </c>
      <c r="G4" s="21" t="s">
        <v>4862</v>
      </c>
    </row>
    <row r="5" customFormat="false" ht="15" hidden="false" customHeight="true" outlineLevel="0" collapsed="false">
      <c r="A5" s="16" t="s">
        <v>4863</v>
      </c>
      <c r="B5" s="190" t="n">
        <f aca="false">(DC_Cost!M19)/CTL_GW</f>
        <v>34.0368</v>
      </c>
      <c r="C5" s="190" t="n">
        <f aca="false">SRC_DC_011</f>
        <v>35</v>
      </c>
      <c r="D5" s="17" t="s">
        <v>3906</v>
      </c>
      <c r="E5" s="22" t="str">
        <f aca="false">IF(ABS(B5-C5)/C5&lt;=L1_JudgeTol,"±"&amp;TEXT(L1_JudgeTol,"0%")&amp;" 內","差距 &gt;"&amp;TEXT(L1_JudgeTol,"0%"))</f>
        <v>±20% 內</v>
      </c>
      <c r="F5" s="20" t="s">
        <v>4864</v>
      </c>
      <c r="G5" s="21" t="s">
        <v>4862</v>
      </c>
    </row>
    <row r="6" customFormat="false" ht="15" hidden="false" customHeight="true" outlineLevel="0" collapsed="false">
      <c r="A6" s="22" t="s">
        <v>1110</v>
      </c>
      <c r="B6" s="190" t="n">
        <f aca="false">DC_Cost!M36</f>
        <v>12.67</v>
      </c>
      <c r="C6" s="231" t="str">
        <f aca="false">TEXT(SRC_DC_003,"0.0")&amp;" × "&amp;TEXT(1+SRC_DC_004_Lo,"0.00")&amp;"–"&amp;TEXT(1+SRC_DC_004_Hi,"0.00")</f>
        <v>11.3 × 1.07–1.10</v>
      </c>
      <c r="D6" s="17" t="s">
        <v>153</v>
      </c>
      <c r="E6" s="22" t="str">
        <f aca="false">IF(AND(B6&gt;=SRC_DC_003*(1+SRC_DC_004_Lo)*0.9,B6&lt;=SRC_DC_003*(1+SRC_DC_004_Hi)*1.3),"合理區間","需檢查")</f>
        <v>合理區間</v>
      </c>
      <c r="F6" s="6" t="s">
        <v>4865</v>
      </c>
      <c r="G6" s="21" t="s">
        <v>4862</v>
      </c>
    </row>
    <row r="7" customFormat="false" ht="15" hidden="false" customHeight="true" outlineLevel="0" collapsed="false">
      <c r="A7" s="16" t="s">
        <v>4866</v>
      </c>
      <c r="B7" s="190" t="n">
        <f aca="false">DC_Cost!G58</f>
        <v>2.00846099652078</v>
      </c>
      <c r="C7" s="190" t="n">
        <f aca="false">SRC_DC_012</f>
        <v>2.21</v>
      </c>
      <c r="D7" s="17" t="s">
        <v>1054</v>
      </c>
      <c r="E7" s="22" t="str">
        <f aca="false">IF(B7&gt;C7,"高於參照（參照假設未知）","低於參照")</f>
        <v>低於參照</v>
      </c>
      <c r="F7" s="6" t="s">
        <v>4867</v>
      </c>
      <c r="G7" s="21" t="s">
        <v>4862</v>
      </c>
    </row>
    <row r="8" customFormat="false" ht="15" hidden="false" customHeight="true" outlineLevel="0" collapsed="false">
      <c r="A8" s="16" t="s">
        <v>4868</v>
      </c>
      <c r="B8" s="190" t="n">
        <f aca="false">DC_Cost!J58</f>
        <v>2.55178761329595</v>
      </c>
      <c r="C8" s="190" t="n">
        <f aca="false">SRC_DC_013</f>
        <v>2.65</v>
      </c>
      <c r="D8" s="17" t="s">
        <v>1054</v>
      </c>
      <c r="E8" s="22" t="str">
        <f aca="false">IF(B8&gt;C8,"高於參照（參照假設未知）","低於參照")</f>
        <v>低於參照</v>
      </c>
      <c r="F8" s="20" t="s">
        <v>4869</v>
      </c>
      <c r="G8" s="21" t="s">
        <v>4862</v>
      </c>
    </row>
    <row r="9" customFormat="false" ht="15" hidden="false" customHeight="true" outlineLevel="0" collapsed="false">
      <c r="A9" s="16" t="s">
        <v>4870</v>
      </c>
      <c r="B9" s="190" t="n">
        <f aca="false">DC_Cost!G58</f>
        <v>2.00846099652078</v>
      </c>
      <c r="C9" s="190" t="n">
        <f aca="false">L1!$M$30</f>
        <v>10.5</v>
      </c>
      <c r="D9" s="17" t="s">
        <v>1054</v>
      </c>
      <c r="E9" s="22" t="str">
        <f aca="false">"牌價 ÷ 持有成本＝"&amp;TEXT(C9/B9,"0.0")&amp;" 倍"</f>
        <v>牌價 ÷ 持有成本＝5.2 倍</v>
      </c>
      <c r="F9" s="6" t="s">
        <v>4871</v>
      </c>
      <c r="G9" s="21" t="s">
        <v>4862</v>
      </c>
    </row>
    <row r="10" customFormat="false" ht="15" hidden="false" customHeight="true" outlineLevel="0" collapsed="false">
      <c r="A10" s="22" t="s">
        <v>4872</v>
      </c>
      <c r="B10" s="190" t="n">
        <f aca="false">DC_Cost!J58</f>
        <v>2.55178761329595</v>
      </c>
      <c r="C10" s="190" t="n">
        <f aca="false">L1!$M$31</f>
        <v>3.0345</v>
      </c>
      <c r="D10" s="17" t="s">
        <v>1054</v>
      </c>
      <c r="E10" s="22" t="str">
        <f aca="false">"參照 ÷ 本模型＝"&amp;TEXT(C10/B10,"0.00")</f>
        <v>參照 ÷ 本模型＝1.19</v>
      </c>
      <c r="F10" s="20" t="s">
        <v>4873</v>
      </c>
      <c r="G10" s="21" t="s">
        <v>4862</v>
      </c>
    </row>
    <row r="12" customFormat="false" ht="15" hidden="false" customHeight="true" outlineLevel="0" collapsed="false">
      <c r="A12" s="43" t="s">
        <v>4874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415</v>
      </c>
      <c r="B13" s="9" t="s">
        <v>4875</v>
      </c>
      <c r="C13" s="9" t="s">
        <v>4858</v>
      </c>
      <c r="D13" s="9" t="s">
        <v>113</v>
      </c>
      <c r="E13" s="9" t="s">
        <v>647</v>
      </c>
      <c r="F13" s="9" t="s">
        <v>516</v>
      </c>
      <c r="G13" s="9" t="s">
        <v>4859</v>
      </c>
    </row>
    <row r="14" customFormat="false" ht="15" hidden="false" customHeight="true" outlineLevel="0" collapsed="false">
      <c r="A14" s="5" t="s">
        <v>4876</v>
      </c>
      <c r="B14" s="209" t="n">
        <f aca="false">Calib!C86</f>
        <v>1</v>
      </c>
      <c r="C14" s="30" t="s">
        <v>4877</v>
      </c>
      <c r="D14" s="30" t="s">
        <v>136</v>
      </c>
      <c r="E14" s="93" t="s">
        <v>4878</v>
      </c>
      <c r="F14" s="45" t="s">
        <v>4879</v>
      </c>
      <c r="G14" s="21" t="s">
        <v>4880</v>
      </c>
    </row>
    <row r="15" customFormat="false" ht="26.25" hidden="false" customHeight="true" outlineLevel="0" collapsed="false">
      <c r="A15" s="5" t="s">
        <v>4881</v>
      </c>
      <c r="B15" s="209" t="n">
        <f aca="false">Calib!E86</f>
        <v>0.99108369917347</v>
      </c>
      <c r="C15" s="49" t="n">
        <f aca="false">SRC_PERF_004</f>
        <v>11200</v>
      </c>
      <c r="D15" s="44" t="s">
        <v>4882</v>
      </c>
      <c r="E15" s="88" t="s">
        <v>4883</v>
      </c>
      <c r="F15" s="45" t="s">
        <v>4884</v>
      </c>
      <c r="G15" s="9" t="s">
        <v>4885</v>
      </c>
    </row>
    <row r="16" customFormat="false" ht="26.25" hidden="false" customHeight="true" outlineLevel="0" collapsed="false">
      <c r="A16" s="5" t="s">
        <v>4886</v>
      </c>
      <c r="B16" s="209" t="n">
        <f aca="false">Calib!F86</f>
        <v>2.18428412747673</v>
      </c>
      <c r="C16" s="49" t="n">
        <f aca="false">SRC_PERF_001</f>
        <v>6182</v>
      </c>
      <c r="D16" s="44" t="s">
        <v>4882</v>
      </c>
      <c r="E16" s="93" t="s">
        <v>4887</v>
      </c>
      <c r="F16" s="45" t="s">
        <v>4888</v>
      </c>
      <c r="G16" s="9" t="s">
        <v>4885</v>
      </c>
    </row>
    <row r="17" customFormat="false" ht="26.25" hidden="false" customHeight="true" outlineLevel="0" collapsed="false">
      <c r="A17" s="5" t="s">
        <v>4889</v>
      </c>
      <c r="B17" s="209" t="n">
        <f aca="false">Calib!G86</f>
        <v>4.1124545381639</v>
      </c>
      <c r="C17" s="49" t="n">
        <f aca="false">SRC_PERF_002</f>
        <v>2189</v>
      </c>
      <c r="D17" s="44" t="s">
        <v>4882</v>
      </c>
      <c r="E17" s="93" t="s">
        <v>4890</v>
      </c>
      <c r="F17" s="45" t="s">
        <v>4891</v>
      </c>
      <c r="G17" s="9" t="s">
        <v>4885</v>
      </c>
    </row>
    <row r="18" customFormat="false" ht="15" hidden="false" customHeight="true" outlineLevel="0" collapsed="false">
      <c r="A18" s="5" t="s">
        <v>4892</v>
      </c>
      <c r="B18" s="209" t="n">
        <f aca="false">Calib!H86</f>
        <v>1.00253190991747</v>
      </c>
      <c r="C18" s="49" t="n">
        <f aca="false">SRC_PERF_014</f>
        <v>3795.5</v>
      </c>
      <c r="D18" s="44" t="s">
        <v>4882</v>
      </c>
      <c r="E18" s="93" t="s">
        <v>4893</v>
      </c>
      <c r="F18" s="45" t="s">
        <v>4894</v>
      </c>
      <c r="G18" s="21" t="s">
        <v>4862</v>
      </c>
    </row>
    <row r="19" customFormat="false" ht="29.25" hidden="false" customHeight="true" outlineLevel="0" collapsed="false">
      <c r="A19" s="6" t="s">
        <v>4895</v>
      </c>
      <c r="B19" s="209" t="n">
        <f aca="false">DC_Cost!J58/(Calib!C17*3600)*1000000</f>
        <v>0.0758747918114994</v>
      </c>
      <c r="C19" s="187" t="n">
        <f aca="false">SRC_PERF_011</f>
        <v>0.078</v>
      </c>
      <c r="D19" s="30" t="s">
        <v>3994</v>
      </c>
      <c r="E19" s="93" t="s">
        <v>4896</v>
      </c>
      <c r="F19" s="45" t="s">
        <v>4897</v>
      </c>
      <c r="G19" s="21" t="s">
        <v>4862</v>
      </c>
    </row>
    <row r="20" customFormat="false" ht="39" hidden="false" customHeight="true" outlineLevel="0" collapsed="false">
      <c r="A20" s="6" t="s">
        <v>4898</v>
      </c>
      <c r="B20" s="209" t="n">
        <f aca="false">Sens_Perf!C120</f>
        <v>1.50227667238619</v>
      </c>
      <c r="C20" s="187" t="n">
        <f aca="false">DC_Cost!M55/DC_Cost!J55</f>
        <v>1.12300288885056</v>
      </c>
      <c r="D20" s="30" t="s">
        <v>136</v>
      </c>
      <c r="E20" s="93" t="s">
        <v>4899</v>
      </c>
      <c r="F20" s="45" t="s">
        <v>4900</v>
      </c>
      <c r="G20" s="21" t="s">
        <v>4862</v>
      </c>
    </row>
    <row r="21" customFormat="false" ht="39" hidden="false" customHeight="true" outlineLevel="0" collapsed="false">
      <c r="A21" s="6" t="s">
        <v>4901</v>
      </c>
      <c r="B21" s="209" t="n">
        <f aca="false">DC_Cost!J11*Inputs!$E$10/72</f>
        <v>1.51111111111111</v>
      </c>
      <c r="C21" s="30" t="s">
        <v>4902</v>
      </c>
      <c r="D21" s="30" t="s">
        <v>4903</v>
      </c>
      <c r="E21" s="88" t="s">
        <v>4904</v>
      </c>
      <c r="F21" s="45" t="s">
        <v>517</v>
      </c>
      <c r="G21" s="21" t="s">
        <v>4862</v>
      </c>
    </row>
    <row r="22" customFormat="false" ht="29.25" hidden="false" customHeight="true" outlineLevel="0" collapsed="false">
      <c r="A22" s="6" t="s">
        <v>4905</v>
      </c>
      <c r="B22" s="209" t="n">
        <f aca="false">Sens_Perf!C121</f>
        <v>0.736636921680274</v>
      </c>
      <c r="C22" s="30" t="s">
        <v>4906</v>
      </c>
      <c r="D22" s="30" t="s">
        <v>136</v>
      </c>
      <c r="E22" s="93"/>
      <c r="F22" s="45" t="s">
        <v>4900</v>
      </c>
      <c r="G22" s="21" t="s">
        <v>4862</v>
      </c>
    </row>
    <row r="23" customFormat="false" ht="15" hidden="false" customHeight="true" outlineLevel="0" collapsed="false">
      <c r="A23" s="5" t="s">
        <v>4907</v>
      </c>
      <c r="B23" s="209" t="n">
        <f aca="false">Calib!C149</f>
        <v>0.702796711119185</v>
      </c>
      <c r="C23" s="30" t="s">
        <v>4877</v>
      </c>
      <c r="D23" s="30" t="s">
        <v>136</v>
      </c>
      <c r="E23" s="88" t="s">
        <v>4908</v>
      </c>
      <c r="F23" s="45" t="s">
        <v>4909</v>
      </c>
      <c r="G23" s="9" t="s">
        <v>4885</v>
      </c>
    </row>
    <row r="24" customFormat="false" ht="15" hidden="false" customHeight="true" outlineLevel="0" collapsed="false">
      <c r="A24" s="5" t="s">
        <v>4910</v>
      </c>
      <c r="B24" s="209" t="n">
        <f aca="false">Calib!C150</f>
        <v>2.5251262330147</v>
      </c>
      <c r="C24" s="195" t="n">
        <f aca="false">Calib!C151</f>
        <v>2.5748897461993</v>
      </c>
      <c r="D24" s="30" t="s">
        <v>136</v>
      </c>
      <c r="E24" s="93" t="s">
        <v>4911</v>
      </c>
      <c r="F24" s="45" t="s">
        <v>4912</v>
      </c>
      <c r="G24" s="21" t="s">
        <v>4862</v>
      </c>
    </row>
    <row r="25" customFormat="false" ht="39" hidden="false" customHeight="true" outlineLevel="0" collapsed="false">
      <c r="A25" s="5" t="s">
        <v>4913</v>
      </c>
      <c r="B25" s="209" t="n">
        <f aca="false">Calib!C152</f>
        <v>1.5</v>
      </c>
      <c r="C25" s="195" t="n">
        <f aca="false">Calib!D152</f>
        <v>1.05487728759394</v>
      </c>
      <c r="D25" s="30" t="s">
        <v>136</v>
      </c>
      <c r="E25" s="88" t="s">
        <v>4914</v>
      </c>
      <c r="F25" s="45" t="s">
        <v>4915</v>
      </c>
      <c r="G25" s="21" t="s">
        <v>4862</v>
      </c>
    </row>
    <row r="26" customFormat="false" ht="15" hidden="false" customHeight="true" outlineLevel="0" collapsed="false">
      <c r="A26" s="5" t="s">
        <v>4916</v>
      </c>
      <c r="B26" s="232" t="n">
        <f aca="false">MAX(Perf!C116:Q116)</f>
        <v>0.0852702650102943</v>
      </c>
      <c r="C26" s="30" t="s">
        <v>4917</v>
      </c>
      <c r="D26" s="30" t="s">
        <v>131</v>
      </c>
      <c r="E26" s="93" t="s">
        <v>4918</v>
      </c>
      <c r="F26" s="45" t="s">
        <v>4919</v>
      </c>
      <c r="G26" s="9" t="s">
        <v>4885</v>
      </c>
    </row>
    <row r="27" customFormat="false" ht="15" hidden="false" customHeight="true" outlineLevel="0" collapsed="false">
      <c r="A27" s="6" t="s">
        <v>4920</v>
      </c>
      <c r="B27" s="209" t="n">
        <f aca="false">COUNTIF(Perf!C90:Q90,"SLO 不可達")+COUNTIF(Perf!C90:Q90,"TTFT 不可達")</f>
        <v>0</v>
      </c>
      <c r="C27" s="30" t="s">
        <v>814</v>
      </c>
      <c r="D27" s="44" t="s">
        <v>4921</v>
      </c>
      <c r="E27" s="88" t="s">
        <v>4922</v>
      </c>
      <c r="F27" s="45" t="s">
        <v>4923</v>
      </c>
      <c r="G27" s="21" t="s">
        <v>4862</v>
      </c>
    </row>
    <row r="28" customFormat="false" ht="39" hidden="false" customHeight="true" outlineLevel="0" collapsed="false">
      <c r="A28" s="5" t="s">
        <v>4924</v>
      </c>
      <c r="B28" s="209" t="n">
        <f aca="false">((8*1.32+3.96)/9)/((8*Unit_Cost!J32+Unit_Cost!J34)/9)</f>
        <v>15.740792564158</v>
      </c>
      <c r="C28" s="30" t="s">
        <v>814</v>
      </c>
      <c r="D28" s="30" t="s">
        <v>136</v>
      </c>
      <c r="E28" s="88" t="s">
        <v>4925</v>
      </c>
      <c r="F28" s="45" t="s">
        <v>4926</v>
      </c>
      <c r="G28" s="21" t="s">
        <v>4862</v>
      </c>
    </row>
    <row r="30" customFormat="false" ht="15" hidden="false" customHeight="true" outlineLevel="0" collapsed="false">
      <c r="A30" s="43" t="s">
        <v>4927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415</v>
      </c>
      <c r="B31" s="9" t="s">
        <v>4875</v>
      </c>
      <c r="C31" s="9" t="s">
        <v>4858</v>
      </c>
      <c r="D31" s="9" t="s">
        <v>113</v>
      </c>
      <c r="E31" s="9" t="s">
        <v>647</v>
      </c>
      <c r="F31" s="9" t="s">
        <v>516</v>
      </c>
      <c r="G31" s="9" t="s">
        <v>4859</v>
      </c>
    </row>
    <row r="32" customFormat="false" ht="39" hidden="false" customHeight="true" outlineLevel="0" collapsed="false">
      <c r="A32" s="6" t="s">
        <v>4928</v>
      </c>
      <c r="B32" s="200" t="n">
        <f aca="false">3*(2*Calib!$C$101*1000000000+Calib!$C$109*Train_In!$C$43/2)*Train_In!$C$41*1000000000000/(Train_In!$C$42*1000000*3600*Spec_Rack!$C$40*1000000000000000)</f>
        <v>0.197055428667677</v>
      </c>
      <c r="C32" s="199" t="n">
        <f aca="false">Training!C16</f>
        <v>0.25</v>
      </c>
      <c r="D32" s="30" t="s">
        <v>131</v>
      </c>
      <c r="E32" s="93" t="s">
        <v>4929</v>
      </c>
      <c r="F32" s="45" t="s">
        <v>1211</v>
      </c>
      <c r="G32" s="21" t="s">
        <v>4862</v>
      </c>
    </row>
    <row r="33" customFormat="false" ht="26.25" hidden="false" customHeight="true" outlineLevel="0" collapsed="false">
      <c r="A33" s="6" t="s">
        <v>4930</v>
      </c>
      <c r="B33" s="209" t="n">
        <f aca="false">Training!N78</f>
        <v>1.12717162997901</v>
      </c>
      <c r="C33" s="51" t="n">
        <f aca="false">L1!$M$33</f>
        <v>1</v>
      </c>
      <c r="D33" s="30" t="s">
        <v>136</v>
      </c>
      <c r="E33" s="88" t="s">
        <v>4931</v>
      </c>
      <c r="F33" s="45" t="s">
        <v>4932</v>
      </c>
      <c r="G33" s="21" t="s">
        <v>4862</v>
      </c>
    </row>
    <row r="34" customFormat="false" ht="26.25" hidden="false" customHeight="true" outlineLevel="0" collapsed="false">
      <c r="A34" s="6" t="s">
        <v>4933</v>
      </c>
      <c r="B34" s="209" t="n">
        <f aca="false">Training!M78</f>
        <v>0.371397626434424</v>
      </c>
      <c r="C34" s="51" t="n">
        <f aca="false">L1!$M$32</f>
        <v>0.0551801801801802</v>
      </c>
      <c r="D34" s="30" t="s">
        <v>136</v>
      </c>
      <c r="E34" s="88" t="s">
        <v>4934</v>
      </c>
      <c r="F34" s="45" t="s">
        <v>4935</v>
      </c>
      <c r="G34" s="21" t="s">
        <v>4862</v>
      </c>
    </row>
    <row r="35" customFormat="false" ht="15" hidden="false" customHeight="true" outlineLevel="0" collapsed="false">
      <c r="A35" s="6" t="s">
        <v>4936</v>
      </c>
      <c r="B35" s="200" t="n">
        <f aca="false">Training!N77</f>
        <v>0.0679835504547044</v>
      </c>
      <c r="C35" s="215" t="s">
        <v>4937</v>
      </c>
      <c r="D35" s="30" t="s">
        <v>131</v>
      </c>
      <c r="E35" s="93" t="s">
        <v>4938</v>
      </c>
      <c r="F35" s="21" t="s">
        <v>4939</v>
      </c>
      <c r="G35" s="21" t="s">
        <v>4862</v>
      </c>
    </row>
    <row r="36" customFormat="false" ht="29.25" hidden="false" customHeight="true" outlineLevel="0" collapsed="false">
      <c r="A36" s="5" t="s">
        <v>4940</v>
      </c>
      <c r="B36" s="200" t="n">
        <f aca="false">IF(AND(ISNUMBER(Training!N111),ISNUMBER(Training!N110)),Training!N111-Training!N110,Training!N111)</f>
        <v>0.252262860133895</v>
      </c>
      <c r="C36" s="215" t="s">
        <v>4941</v>
      </c>
      <c r="D36" s="30" t="s">
        <v>131</v>
      </c>
      <c r="E36" s="88" t="s">
        <v>4942</v>
      </c>
      <c r="F36" s="45" t="s">
        <v>4943</v>
      </c>
      <c r="G36" s="9" t="s">
        <v>4885</v>
      </c>
    </row>
    <row r="37" customFormat="false" ht="15" hidden="false" customHeight="true" outlineLevel="0" collapsed="false">
      <c r="A37" s="5" t="s">
        <v>4944</v>
      </c>
      <c r="B37" s="200" t="n">
        <f aca="false">1/Train_In!$C$13</f>
        <v>0.125</v>
      </c>
      <c r="C37" s="199" t="str">
        <f aca="false">TEXT(L1!$M$34*100,"0.0")&amp;"%–"&amp;TEXT(L1!$N$34*100,"0.0")&amp;"%"</f>
        <v>9.6%–22.6%</v>
      </c>
      <c r="D37" s="30" t="s">
        <v>131</v>
      </c>
      <c r="E37" s="88" t="s">
        <v>4945</v>
      </c>
      <c r="F37" s="45" t="s">
        <v>4946</v>
      </c>
      <c r="G37" s="21" t="s">
        <v>4862</v>
      </c>
    </row>
    <row r="38" customFormat="false" ht="36.75" hidden="false" customHeight="true" outlineLevel="0" collapsed="false">
      <c r="A38" s="5" t="s">
        <v>4947</v>
      </c>
      <c r="B38" s="209" t="n">
        <f aca="false">Train_In!$C$47/(Training!N34*1000000000)/1000000000000</f>
        <v>438.443429242364</v>
      </c>
      <c r="C38" s="51" t="n">
        <f aca="false">Training!N31</f>
        <v>60</v>
      </c>
      <c r="D38" s="30" t="s">
        <v>1180</v>
      </c>
      <c r="E38" s="88" t="s">
        <v>4948</v>
      </c>
      <c r="F38" s="45" t="s">
        <v>4949</v>
      </c>
      <c r="G38" s="21" t="s">
        <v>4862</v>
      </c>
    </row>
    <row r="39" customFormat="false" ht="29.25" hidden="false" customHeight="true" outlineLevel="0" collapsed="false">
      <c r="A39" s="6" t="s">
        <v>4950</v>
      </c>
      <c r="B39" s="200" t="n">
        <f aca="false">Training!N117</f>
        <v>0.00500223043232874</v>
      </c>
      <c r="C39" s="199" t="n">
        <f aca="false">Training!K117</f>
        <v>0.00819830093710954</v>
      </c>
      <c r="D39" s="30" t="s">
        <v>131</v>
      </c>
      <c r="E39" s="93" t="s">
        <v>4951</v>
      </c>
      <c r="F39" s="45" t="s">
        <v>3370</v>
      </c>
      <c r="G39" s="21" t="s">
        <v>4862</v>
      </c>
    </row>
    <row r="41" customFormat="false" ht="15" hidden="false" customHeight="true" outlineLevel="0" collapsed="false">
      <c r="A41" s="43" t="s">
        <v>4952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415</v>
      </c>
      <c r="B42" s="9" t="s">
        <v>4875</v>
      </c>
      <c r="C42" s="9" t="s">
        <v>4858</v>
      </c>
      <c r="D42" s="9" t="s">
        <v>113</v>
      </c>
      <c r="E42" s="9" t="s">
        <v>647</v>
      </c>
      <c r="F42" s="9" t="s">
        <v>516</v>
      </c>
      <c r="G42" s="9" t="s">
        <v>4859</v>
      </c>
      <c r="H42" s="9" t="s">
        <v>4953</v>
      </c>
    </row>
    <row r="43" customFormat="false" ht="51.75" hidden="false" customHeight="true" outlineLevel="0" collapsed="false">
      <c r="A43" s="6" t="s">
        <v>4954</v>
      </c>
      <c r="B43" s="209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4955</v>
      </c>
      <c r="E43" s="93" t="s">
        <v>4956</v>
      </c>
      <c r="F43" s="45" t="s">
        <v>4957</v>
      </c>
      <c r="G43" s="21" t="s">
        <v>4862</v>
      </c>
      <c r="H43" s="45" t="s">
        <v>4958</v>
      </c>
      <c r="I43" s="195" t="n">
        <f aca="false">SRC_DEM_007</f>
        <v>13.07</v>
      </c>
    </row>
    <row r="44" customFormat="false" ht="43.5" hidden="false" customHeight="true" outlineLevel="0" collapsed="false">
      <c r="A44" s="6" t="s">
        <v>4959</v>
      </c>
      <c r="B44" s="209" t="n">
        <f aca="false">IF(ISNUMBER(Unit_Cost!D34),INDEX(B4_MktOut,8,1)/Unit_Cost!D34,"SLO 不可達")</f>
        <v>1.24663255293038</v>
      </c>
      <c r="C44" s="233" t="str">
        <f aca="false">"約 "&amp;TEXT(MIN(B44:B46),"0.0")&amp;"–"&amp;TEXT(MAX(B44:B46),"0.0")&amp;"（對照，無通過條件）"</f>
        <v>約 1.0–1.2（對照，無通過條件）</v>
      </c>
      <c r="D44" s="30" t="s">
        <v>136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4960</v>
      </c>
      <c r="G44" s="21" t="s">
        <v>4862</v>
      </c>
      <c r="H44" s="45" t="s">
        <v>4961</v>
      </c>
      <c r="I44" s="195" t="n">
        <f aca="false">SRC_DEM_008</f>
        <v>0.6</v>
      </c>
    </row>
    <row r="45" customFormat="false" ht="29.25" hidden="false" customHeight="true" outlineLevel="0" collapsed="false">
      <c r="A45" s="6" t="s">
        <v>4962</v>
      </c>
      <c r="B45" s="209" t="n">
        <f aca="false">IF(ISNUMBER(Unit_Cost!D31),INDEX(B4_MktOut,8,1)*B4_OffPeak/Unit_Cost!D31,"SLO 不可達")</f>
        <v>1.03886046077532</v>
      </c>
      <c r="C45" s="233" t="str">
        <f aca="false">"約 "&amp;TEXT(MIN(B44:B46),"0.0")&amp;"–"&amp;TEXT(MAX(B44:B46),"0.0")&amp;"（對照，無通過條件）"</f>
        <v>約 1.0–1.2（對照，無通過條件）</v>
      </c>
      <c r="D45" s="30" t="s">
        <v>136</v>
      </c>
      <c r="E45" s="93"/>
      <c r="F45" s="45" t="s">
        <v>4963</v>
      </c>
      <c r="G45" s="21" t="s">
        <v>4862</v>
      </c>
      <c r="H45" s="45" t="s">
        <v>4964</v>
      </c>
      <c r="I45" s="195" t="n">
        <f aca="false">SRC_DEM_009</f>
        <v>1.9</v>
      </c>
    </row>
    <row r="46" customFormat="false" ht="43.5" hidden="false" customHeight="true" outlineLevel="0" collapsed="false">
      <c r="A46" s="6" t="s">
        <v>4965</v>
      </c>
      <c r="B46" s="209" t="n">
        <f aca="false">IF(ISNUMBER(Unit_Cost!D21),INDEX(B4_MktOut,7,1)/Unit_Cost!D21,"SLO 不可達")</f>
        <v>1.24307888854465</v>
      </c>
      <c r="C46" s="233" t="str">
        <f aca="false">"約 "&amp;TEXT(MIN(B44:B46),"0.0")&amp;"–"&amp;TEXT(MAX(B44:B46),"0.0")&amp;"（對照，無通過條件）"</f>
        <v>約 1.0–1.2（對照，無通過條件）</v>
      </c>
      <c r="D46" s="30" t="s">
        <v>136</v>
      </c>
      <c r="E46" s="88" t="s">
        <v>4966</v>
      </c>
      <c r="F46" s="45" t="s">
        <v>4963</v>
      </c>
      <c r="G46" s="21" t="s">
        <v>4862</v>
      </c>
      <c r="H46" s="45" t="s">
        <v>4967</v>
      </c>
      <c r="I46" s="54" t="n">
        <v>0.57</v>
      </c>
      <c r="J46" s="45" t="s">
        <v>4968</v>
      </c>
    </row>
    <row r="47" customFormat="false" ht="15" hidden="false" customHeight="true" outlineLevel="0" collapsed="false">
      <c r="A47" s="5" t="s">
        <v>4969</v>
      </c>
      <c r="B47" s="209" t="str">
        <f aca="false">Price_Frontier!C26</f>
        <v>GPT-6 Luna</v>
      </c>
      <c r="C47" s="233" t="s">
        <v>814</v>
      </c>
      <c r="D47" s="44"/>
      <c r="E47" s="88" t="s">
        <v>4970</v>
      </c>
      <c r="F47" s="45" t="s">
        <v>4971</v>
      </c>
      <c r="G47" s="21" t="s">
        <v>4862</v>
      </c>
    </row>
    <row r="48" customFormat="false" ht="15" hidden="false" customHeight="true" outlineLevel="0" collapsed="false">
      <c r="A48" s="5" t="s">
        <v>4972</v>
      </c>
      <c r="B48" s="209" t="str">
        <f aca="false">Price_Frontier!D26</f>
        <v>GPT-6 Sol</v>
      </c>
      <c r="C48" s="233" t="s">
        <v>814</v>
      </c>
      <c r="D48" s="44"/>
      <c r="E48" s="93"/>
      <c r="F48" s="45" t="s">
        <v>4971</v>
      </c>
      <c r="G48" s="21" t="s">
        <v>4862</v>
      </c>
    </row>
    <row r="49" customFormat="false" ht="39" hidden="false" customHeight="true" outlineLevel="0" collapsed="false">
      <c r="A49" s="5" t="s">
        <v>4973</v>
      </c>
      <c r="B49" s="209" t="str">
        <f aca="false">Price_Frontier!E26</f>
        <v>Claude Fable 5.1</v>
      </c>
      <c r="C49" s="233" t="s">
        <v>814</v>
      </c>
      <c r="D49" s="44"/>
      <c r="E49" s="88" t="s">
        <v>4974</v>
      </c>
      <c r="F49" s="45" t="s">
        <v>4971</v>
      </c>
      <c r="G49" s="21" t="s">
        <v>4862</v>
      </c>
    </row>
    <row r="50" customFormat="false" ht="26.25" hidden="false" customHeight="true" outlineLevel="0" collapsed="false">
      <c r="A50" s="5" t="s">
        <v>4975</v>
      </c>
      <c r="B50" s="209" t="n">
        <f aca="false">Price_Frontier!C33</f>
        <v>1.29646017699115</v>
      </c>
      <c r="C50" s="233" t="s">
        <v>4976</v>
      </c>
      <c r="D50" s="30" t="s">
        <v>136</v>
      </c>
      <c r="E50" s="88" t="s">
        <v>4977</v>
      </c>
      <c r="F50" s="45" t="s">
        <v>4971</v>
      </c>
      <c r="G50" s="21" t="s">
        <v>4862</v>
      </c>
    </row>
    <row r="51" customFormat="false" ht="29.25" hidden="false" customHeight="true" outlineLevel="0" collapsed="false">
      <c r="A51" s="5" t="s">
        <v>4978</v>
      </c>
      <c r="B51" s="209" t="n">
        <f aca="false">Fleet_1GW!M34</f>
        <v>12.1291102743968</v>
      </c>
      <c r="C51" s="233" t="s">
        <v>4979</v>
      </c>
      <c r="D51" s="44" t="s">
        <v>374</v>
      </c>
      <c r="E51" s="93" t="s">
        <v>4980</v>
      </c>
      <c r="F51" s="45" t="s">
        <v>3383</v>
      </c>
      <c r="G51" s="21" t="s">
        <v>4862</v>
      </c>
    </row>
    <row r="52" customFormat="false" ht="29.25" hidden="false" customHeight="true" outlineLevel="0" collapsed="false">
      <c r="A52" s="6" t="s">
        <v>4981</v>
      </c>
      <c r="B52" s="209" t="n">
        <f aca="false">Fleet_1GW!M30</f>
        <v>0</v>
      </c>
      <c r="C52" s="233" t="s">
        <v>4982</v>
      </c>
      <c r="D52" s="30" t="s">
        <v>121</v>
      </c>
      <c r="E52" s="93"/>
      <c r="F52" s="45" t="s">
        <v>3383</v>
      </c>
      <c r="G52" s="21" t="s">
        <v>4880</v>
      </c>
    </row>
    <row r="53" customFormat="false" ht="29.25" hidden="false" customHeight="true" outlineLevel="0" collapsed="false">
      <c r="A53" s="5" t="s">
        <v>4983</v>
      </c>
      <c r="B53" s="201" t="n">
        <f aca="false">IF(ISNUMBER(Amortize!M22),Amortize!M22/INDEX(B4_EffRef,1,2),Amortize!M22)</f>
        <v>0.00322644622893335</v>
      </c>
      <c r="C53" s="233" t="s">
        <v>814</v>
      </c>
      <c r="D53" s="30" t="s">
        <v>131</v>
      </c>
      <c r="E53" s="93" t="s">
        <v>4984</v>
      </c>
      <c r="F53" s="45" t="s">
        <v>3384</v>
      </c>
      <c r="G53" s="21" t="s">
        <v>4862</v>
      </c>
    </row>
    <row r="54" customFormat="false" ht="39" hidden="false" customHeight="true" outlineLevel="0" collapsed="false">
      <c r="A54" s="6" t="s">
        <v>4985</v>
      </c>
      <c r="B54" s="209" t="n">
        <f aca="false">Amortize!M41</f>
        <v>9.53746747046569</v>
      </c>
      <c r="C54" s="233" t="s">
        <v>4986</v>
      </c>
      <c r="D54" s="30" t="s">
        <v>136</v>
      </c>
      <c r="E54" s="93" t="s">
        <v>4987</v>
      </c>
      <c r="F54" s="45" t="s">
        <v>3384</v>
      </c>
      <c r="G54" s="21" t="s">
        <v>4862</v>
      </c>
    </row>
    <row r="55" customFormat="false" ht="29.25" hidden="false" customHeight="true" outlineLevel="0" collapsed="false">
      <c r="A55" s="6" t="s">
        <v>4988</v>
      </c>
      <c r="B55" s="201" t="n">
        <f aca="false">IF(ISNUMBER(Amortize!M47),Amortize!M47/INDEX(B4_EffRef,1,3),Amortize!M47)</f>
        <v>0.153422945244743</v>
      </c>
      <c r="C55" s="233" t="s">
        <v>814</v>
      </c>
      <c r="D55" s="30" t="s">
        <v>131</v>
      </c>
      <c r="E55" s="93" t="s">
        <v>4989</v>
      </c>
      <c r="F55" s="45" t="s">
        <v>3384</v>
      </c>
      <c r="G55" s="21" t="s">
        <v>4862</v>
      </c>
    </row>
    <row r="56" customFormat="false" ht="29.25" hidden="false" customHeight="true" outlineLevel="0" collapsed="false">
      <c r="A56" s="5" t="s">
        <v>4990</v>
      </c>
      <c r="B56" s="209" t="n">
        <f aca="false">Theory_Rev!M64+Theory_Rev!M65+Theory_Rev!M66-Theory_Rev!M67</f>
        <v>0</v>
      </c>
      <c r="C56" s="233" t="s">
        <v>4982</v>
      </c>
      <c r="D56" s="30" t="s">
        <v>2262</v>
      </c>
      <c r="E56" s="93"/>
      <c r="F56" s="45" t="s">
        <v>4991</v>
      </c>
      <c r="G56" s="21" t="s">
        <v>4880</v>
      </c>
    </row>
    <row r="58" customFormat="false" ht="15" hidden="false" customHeight="true" outlineLevel="0" collapsed="false">
      <c r="A58" s="43" t="s">
        <v>4992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415</v>
      </c>
      <c r="B59" s="9" t="s">
        <v>4875</v>
      </c>
      <c r="C59" s="9" t="s">
        <v>4858</v>
      </c>
      <c r="D59" s="9" t="s">
        <v>113</v>
      </c>
      <c r="E59" s="9" t="s">
        <v>647</v>
      </c>
      <c r="F59" s="9" t="s">
        <v>516</v>
      </c>
      <c r="G59" s="9" t="s">
        <v>4859</v>
      </c>
    </row>
    <row r="60" customFormat="false" ht="39" hidden="false" customHeight="true" outlineLevel="0" collapsed="false">
      <c r="A60" s="5" t="s">
        <v>4993</v>
      </c>
      <c r="B60" s="234" t="n">
        <f aca="false">B5_W</f>
        <v>0</v>
      </c>
      <c r="C60" s="233" t="s">
        <v>4982</v>
      </c>
      <c r="D60" s="30" t="s">
        <v>136</v>
      </c>
      <c r="E60" s="88" t="s">
        <v>4994</v>
      </c>
      <c r="F60" s="45" t="s">
        <v>4995</v>
      </c>
      <c r="G60" s="21" t="s">
        <v>4880</v>
      </c>
    </row>
    <row r="61" customFormat="false" ht="29.25" hidden="false" customHeight="true" outlineLevel="0" collapsed="false">
      <c r="A61" s="6" t="s">
        <v>4996</v>
      </c>
      <c r="B61" s="209" t="n">
        <f aca="false">ABS(Workload!C35-Harness!C21)+ABS(Workload!D35-Harness!D21)+ABS(Workload!E35-Harness!E21)+ABS(Workload!F35-Harness!F21)+ABS(Workload!G35-Harness!G21)</f>
        <v>0</v>
      </c>
      <c r="C61" s="233" t="s">
        <v>4997</v>
      </c>
      <c r="D61" s="30" t="s">
        <v>337</v>
      </c>
      <c r="E61" s="88" t="s">
        <v>4998</v>
      </c>
      <c r="F61" s="45" t="s">
        <v>4999</v>
      </c>
      <c r="G61" s="21" t="s">
        <v>4880</v>
      </c>
    </row>
    <row r="62" customFormat="false" ht="39" hidden="false" customHeight="true" outlineLevel="0" collapsed="false">
      <c r="A62" s="6" t="s">
        <v>5000</v>
      </c>
      <c r="B62" s="209" t="n">
        <f aca="false">Harness!G45</f>
        <v>0.492530120481928</v>
      </c>
      <c r="C62" s="51" t="n">
        <f aca="false">Har_In!E72</f>
        <v>0.51</v>
      </c>
      <c r="D62" s="30" t="s">
        <v>136</v>
      </c>
      <c r="E62" s="93" t="s">
        <v>5001</v>
      </c>
      <c r="F62" s="45" t="s">
        <v>2454</v>
      </c>
      <c r="G62" s="21" t="s">
        <v>4862</v>
      </c>
    </row>
    <row r="63" customFormat="false" ht="39" hidden="false" customHeight="true" outlineLevel="0" collapsed="false">
      <c r="A63" s="6" t="s">
        <v>5002</v>
      </c>
      <c r="B63" s="209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136</v>
      </c>
      <c r="E63" s="93" t="s">
        <v>5003</v>
      </c>
      <c r="F63" s="45" t="s">
        <v>2454</v>
      </c>
      <c r="G63" s="21" t="s">
        <v>4862</v>
      </c>
    </row>
    <row r="64" customFormat="false" ht="39" hidden="false" customHeight="true" outlineLevel="0" collapsed="false">
      <c r="A64" s="6" t="s">
        <v>5004</v>
      </c>
      <c r="B64" s="209" t="n">
        <f aca="false">((1/Har_In!C70-1)/(1/Har_In!C71-1))^(1/B5_Beta)</f>
        <v>145.519176037217</v>
      </c>
      <c r="C64" s="233" t="s">
        <v>5005</v>
      </c>
      <c r="D64" s="30" t="s">
        <v>136</v>
      </c>
      <c r="E64" s="93" t="s">
        <v>5006</v>
      </c>
      <c r="F64" s="45" t="s">
        <v>5007</v>
      </c>
      <c r="G64" s="21" t="s">
        <v>4862</v>
      </c>
    </row>
    <row r="65" customFormat="false" ht="15" hidden="false" customHeight="true" outlineLevel="0" collapsed="false">
      <c r="A65" s="6" t="s">
        <v>5008</v>
      </c>
      <c r="B65" s="209" t="n">
        <f aca="false">AVERAGE(Har_In!F77:F80)</f>
        <v>0.80134078201291</v>
      </c>
      <c r="C65" s="233" t="n">
        <f aca="false">B5_Beta</f>
        <v>0.75</v>
      </c>
      <c r="D65" s="30" t="s">
        <v>136</v>
      </c>
      <c r="E65" s="93" t="s">
        <v>5009</v>
      </c>
      <c r="F65" s="45" t="s">
        <v>2477</v>
      </c>
      <c r="G65" s="21" t="s">
        <v>4862</v>
      </c>
    </row>
    <row r="66" customFormat="false" ht="29.25" hidden="false" customHeight="true" outlineLevel="0" collapsed="false">
      <c r="A66" s="6" t="s">
        <v>5010</v>
      </c>
      <c r="B66" s="200" t="n">
        <f aca="false">Harness!G62</f>
        <v>0.627115119175411</v>
      </c>
      <c r="C66" s="233" t="s">
        <v>814</v>
      </c>
      <c r="D66" s="30" t="s">
        <v>131</v>
      </c>
      <c r="E66" s="93" t="s">
        <v>5011</v>
      </c>
      <c r="F66" s="45" t="s">
        <v>5012</v>
      </c>
      <c r="G66" s="21" t="s">
        <v>4862</v>
      </c>
    </row>
    <row r="67" customFormat="false" ht="29.25" hidden="false" customHeight="true" outlineLevel="0" collapsed="false">
      <c r="A67" s="5" t="s">
        <v>5013</v>
      </c>
      <c r="B67" s="209" t="str">
        <f aca="false">Harness!G152</f>
        <v>Sol｜選定</v>
      </c>
      <c r="C67" s="51" t="str">
        <f aca="false">Harness!G148</f>
        <v>Luna｜選定</v>
      </c>
      <c r="D67" s="44"/>
      <c r="E67" s="93" t="s">
        <v>5014</v>
      </c>
      <c r="F67" s="45" t="s">
        <v>5015</v>
      </c>
      <c r="G67" s="21" t="s">
        <v>4862</v>
      </c>
    </row>
    <row r="68" customFormat="false" ht="29.25" hidden="false" customHeight="true" outlineLevel="0" collapsed="false">
      <c r="A68" s="6" t="s">
        <v>5016</v>
      </c>
      <c r="B68" s="209" t="n">
        <f aca="false">MIN(Sens_Har!C37:Z37)</f>
        <v>0.46224248549693</v>
      </c>
      <c r="C68" s="51" t="n">
        <f aca="false">MAX(Sens_Har!C37:Z37)</f>
        <v>1.44258441630667</v>
      </c>
      <c r="D68" s="30" t="s">
        <v>136</v>
      </c>
      <c r="E68" s="93" t="s">
        <v>5017</v>
      </c>
      <c r="F68" s="45" t="s">
        <v>5018</v>
      </c>
      <c r="G68" s="21" t="s">
        <v>4862</v>
      </c>
    </row>
    <row r="69" customFormat="false" ht="26.25" hidden="false" customHeight="true" outlineLevel="0" collapsed="false">
      <c r="A69" s="5" t="s">
        <v>5019</v>
      </c>
      <c r="B69" s="214" t="n">
        <f aca="false">B5_PFloor</f>
        <v>0.5</v>
      </c>
      <c r="C69" s="233" t="s">
        <v>5020</v>
      </c>
      <c r="D69" s="30" t="s">
        <v>131</v>
      </c>
      <c r="E69" s="93" t="s">
        <v>5021</v>
      </c>
      <c r="F69" s="45" t="s">
        <v>5022</v>
      </c>
      <c r="G69" s="21" t="s">
        <v>4862</v>
      </c>
    </row>
    <row r="70" customFormat="false" ht="29.25" hidden="false" customHeight="true" outlineLevel="0" collapsed="false">
      <c r="A70" s="5" t="s">
        <v>5023</v>
      </c>
      <c r="B70" s="209" t="n">
        <f aca="false">COUNTIF(Harness!C152:G152,"無合格")</f>
        <v>0</v>
      </c>
      <c r="C70" s="233" t="s">
        <v>5024</v>
      </c>
      <c r="D70" s="44"/>
      <c r="E70" s="88" t="s">
        <v>5025</v>
      </c>
      <c r="F70" s="45" t="s">
        <v>5015</v>
      </c>
      <c r="G70" s="21" t="s">
        <v>4862</v>
      </c>
    </row>
    <row r="72" customFormat="false" ht="15" hidden="false" customHeight="true" outlineLevel="0" collapsed="false">
      <c r="A72" s="43" t="s">
        <v>5026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5027</v>
      </c>
      <c r="B73" s="9" t="s">
        <v>5028</v>
      </c>
      <c r="C73" s="9" t="s">
        <v>5029</v>
      </c>
      <c r="D73" s="9" t="s">
        <v>5030</v>
      </c>
      <c r="E73" s="9" t="s">
        <v>5031</v>
      </c>
      <c r="G73" s="9" t="s">
        <v>4859</v>
      </c>
    </row>
    <row r="74" customFormat="false" ht="15" hidden="false" customHeight="true" outlineLevel="0" collapsed="false">
      <c r="A74" s="30" t="s">
        <v>5032</v>
      </c>
      <c r="B74" s="44" t="s">
        <v>5033</v>
      </c>
      <c r="C74" s="8" t="s">
        <v>5034</v>
      </c>
      <c r="D74" s="32" t="n">
        <f aca="false">COUNTIF(Gov_Map!$V$5:$V$700,1)</f>
        <v>0</v>
      </c>
      <c r="E74" s="45" t="s">
        <v>5035</v>
      </c>
      <c r="G74" s="21" t="s">
        <v>5036</v>
      </c>
    </row>
    <row r="75" customFormat="false" ht="15" hidden="false" customHeight="true" outlineLevel="0" collapsed="false">
      <c r="A75" s="30" t="s">
        <v>5037</v>
      </c>
      <c r="B75" s="30" t="s">
        <v>5038</v>
      </c>
      <c r="C75" s="8" t="s">
        <v>5034</v>
      </c>
      <c r="D75" s="32" t="n">
        <f aca="false">COUNTIF(Gov_Map!$W$5:$W$700,1)</f>
        <v>0</v>
      </c>
      <c r="E75" s="45" t="s">
        <v>5039</v>
      </c>
      <c r="G75" s="21" t="s">
        <v>5036</v>
      </c>
    </row>
    <row r="76" customFormat="false" ht="15" hidden="false" customHeight="true" outlineLevel="0" collapsed="false">
      <c r="A76" s="30" t="s">
        <v>5040</v>
      </c>
      <c r="B76" s="30" t="s">
        <v>5041</v>
      </c>
      <c r="C76" s="8" t="s">
        <v>5034</v>
      </c>
      <c r="D76" s="32" t="n">
        <f aca="false">COUNTIF(Gov_Map!$X$5:$X$700,1)</f>
        <v>0</v>
      </c>
      <c r="E76" s="45" t="s">
        <v>5042</v>
      </c>
      <c r="G76" s="21" t="s">
        <v>5036</v>
      </c>
    </row>
    <row r="77" customFormat="false" ht="15" hidden="false" customHeight="true" outlineLevel="0" collapsed="false">
      <c r="A77" s="30" t="s">
        <v>5043</v>
      </c>
      <c r="B77" s="30" t="s">
        <v>5044</v>
      </c>
      <c r="C77" s="8" t="s">
        <v>5034</v>
      </c>
      <c r="D77" s="32" t="n">
        <f aca="false">COUNTIF(Gov_Map!$Y$5:$Y$700,1)</f>
        <v>0</v>
      </c>
      <c r="E77" s="45" t="s">
        <v>5039</v>
      </c>
      <c r="G77" s="21" t="s">
        <v>5036</v>
      </c>
    </row>
    <row r="78" customFormat="false" ht="15" hidden="false" customHeight="true" outlineLevel="0" collapsed="false">
      <c r="A78" s="30" t="s">
        <v>3144</v>
      </c>
      <c r="B78" s="30" t="s">
        <v>5045</v>
      </c>
      <c r="C78" s="8" t="s">
        <v>5034</v>
      </c>
      <c r="D78" s="32" t="n">
        <f aca="false">COUNTIF(Gov_Map!$Z$5:$Z$700,1)</f>
        <v>0</v>
      </c>
      <c r="E78" s="45" t="s">
        <v>5039</v>
      </c>
      <c r="G78" s="21" t="s">
        <v>5036</v>
      </c>
    </row>
    <row r="79" customFormat="false" ht="15" hidden="false" customHeight="true" outlineLevel="0" collapsed="false">
      <c r="A79" s="30" t="s">
        <v>3145</v>
      </c>
      <c r="B79" s="44" t="s">
        <v>5046</v>
      </c>
      <c r="C79" s="8" t="s">
        <v>5034</v>
      </c>
      <c r="D79" s="32" t="n">
        <f aca="false">COUNTIF(Gov_Map!$AA$5:$AA$700,1)</f>
        <v>0</v>
      </c>
      <c r="E79" s="45" t="s">
        <v>5047</v>
      </c>
      <c r="G79" s="21" t="s">
        <v>5036</v>
      </c>
    </row>
    <row r="80" customFormat="false" ht="15" hidden="false" customHeight="true" outlineLevel="0" collapsed="false">
      <c r="A80" s="30" t="s">
        <v>3245</v>
      </c>
      <c r="B80" s="44" t="s">
        <v>5048</v>
      </c>
      <c r="C80" s="8" t="s">
        <v>5034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5049</v>
      </c>
      <c r="G80" s="21" t="s">
        <v>5036</v>
      </c>
    </row>
    <row r="81" customFormat="false" ht="15" hidden="false" customHeight="true" outlineLevel="0" collapsed="false">
      <c r="A81" s="30" t="s">
        <v>3146</v>
      </c>
      <c r="B81" s="30" t="s">
        <v>5050</v>
      </c>
      <c r="C81" s="8" t="s">
        <v>5034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5051</v>
      </c>
      <c r="G81" s="21" t="s">
        <v>5036</v>
      </c>
    </row>
    <row r="82" customFormat="false" ht="15" hidden="false" customHeight="true" outlineLevel="0" collapsed="false">
      <c r="A82" s="30" t="s">
        <v>3148</v>
      </c>
      <c r="B82" s="44" t="s">
        <v>5052</v>
      </c>
      <c r="C82" s="8" t="s">
        <v>5034</v>
      </c>
      <c r="D82" s="32" t="n">
        <f aca="false">COUNTIF(Gov_Map!$AB$5:$AB$700,1)</f>
        <v>0</v>
      </c>
      <c r="E82" s="45" t="s">
        <v>5053</v>
      </c>
      <c r="G82" s="21" t="s">
        <v>5036</v>
      </c>
    </row>
    <row r="83" customFormat="false" ht="15" hidden="false" customHeight="true" outlineLevel="0" collapsed="false">
      <c r="A83" s="30" t="s">
        <v>3151</v>
      </c>
      <c r="B83" s="44" t="s">
        <v>5054</v>
      </c>
      <c r="C83" s="8" t="s">
        <v>5034</v>
      </c>
      <c r="D83" s="32" t="n">
        <f aca="false">COUNTIF(Gov_Map!$AC$5:$AC$700,1)</f>
        <v>0</v>
      </c>
      <c r="E83" s="45" t="s">
        <v>5055</v>
      </c>
      <c r="G83" s="21" t="s">
        <v>5036</v>
      </c>
    </row>
    <row r="84" customFormat="false" ht="15" hidden="false" customHeight="true" outlineLevel="0" collapsed="false">
      <c r="A84" s="30" t="s">
        <v>3154</v>
      </c>
      <c r="B84" s="30" t="s">
        <v>5056</v>
      </c>
      <c r="C84" s="8" t="s">
        <v>5034</v>
      </c>
      <c r="D84" s="32" t="n">
        <v>0</v>
      </c>
      <c r="E84" s="21" t="s">
        <v>5057</v>
      </c>
      <c r="G84" s="21" t="s">
        <v>5036</v>
      </c>
    </row>
    <row r="85" customFormat="false" ht="15" hidden="false" customHeight="true" outlineLevel="0" collapsed="false">
      <c r="A85" s="30" t="s">
        <v>3218</v>
      </c>
      <c r="B85" s="44" t="s">
        <v>5058</v>
      </c>
      <c r="C85" s="8" t="s">
        <v>5034</v>
      </c>
      <c r="D85" s="32" t="n">
        <f aca="false">COUNTIF(Gov_Map!$AE$5:$AE$700,1)</f>
        <v>0</v>
      </c>
      <c r="E85" s="45" t="s">
        <v>5039</v>
      </c>
      <c r="G85" s="21" t="s">
        <v>5036</v>
      </c>
    </row>
    <row r="86" customFormat="false" ht="15" hidden="false" customHeight="true" outlineLevel="0" collapsed="false">
      <c r="A86" s="30" t="s">
        <v>3157</v>
      </c>
      <c r="B86" s="30" t="s">
        <v>5059</v>
      </c>
      <c r="C86" s="8" t="s">
        <v>5034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$102:$A$400,"&lt;&gt;—")-COUNTIF(SRC_Price!$A$102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5060</v>
      </c>
      <c r="G86" s="21" t="s">
        <v>5036</v>
      </c>
    </row>
    <row r="87" customFormat="false" ht="15" hidden="false" customHeight="true" outlineLevel="0" collapsed="false">
      <c r="A87" s="30" t="s">
        <v>5061</v>
      </c>
      <c r="B87" s="44" t="s">
        <v>5062</v>
      </c>
      <c r="C87" s="30" t="s">
        <v>5063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5064</v>
      </c>
      <c r="G87" s="21" t="s">
        <v>5036</v>
      </c>
    </row>
    <row r="88" customFormat="false" ht="15" hidden="false" customHeight="true" outlineLevel="0" collapsed="false">
      <c r="A88" s="30" t="s">
        <v>5065</v>
      </c>
      <c r="B88" s="30" t="s">
        <v>5066</v>
      </c>
      <c r="C88" s="30" t="s">
        <v>5063</v>
      </c>
      <c r="D88" s="32" t="n">
        <f aca="false">COUNTIF(Gov_Map!$AD$5:$AD$700,1)</f>
        <v>0</v>
      </c>
      <c r="E88" s="45" t="s">
        <v>5067</v>
      </c>
      <c r="G88" s="21" t="s">
        <v>5036</v>
      </c>
    </row>
    <row r="89" customFormat="false" ht="15" hidden="false" customHeight="true" outlineLevel="0" collapsed="false">
      <c r="A89" s="30" t="s">
        <v>5068</v>
      </c>
      <c r="B89" s="30" t="s">
        <v>5069</v>
      </c>
      <c r="C89" s="30" t="s">
        <v>5070</v>
      </c>
      <c r="D89" s="32" t="n">
        <f aca="false">COUNTIF(DB_Evidence!$L$5:$L$500,"待判定")</f>
        <v>6</v>
      </c>
      <c r="E89" s="45" t="s">
        <v>5071</v>
      </c>
      <c r="G89" s="21" t="s">
        <v>5036</v>
      </c>
    </row>
    <row r="90" customFormat="false" ht="15" hidden="false" customHeight="true" outlineLevel="0" collapsed="false">
      <c r="A90" s="30" t="s">
        <v>5072</v>
      </c>
      <c r="B90" s="30" t="s">
        <v>5073</v>
      </c>
      <c r="C90" s="30" t="s">
        <v>5070</v>
      </c>
      <c r="D90" s="32" t="n">
        <f aca="false">COUNTIF(DB_Evidence!$L$5:$L$500,"待 Andy")</f>
        <v>0</v>
      </c>
      <c r="E90" s="45" t="s">
        <v>5071</v>
      </c>
      <c r="G90" s="21" t="s">
        <v>5036</v>
      </c>
    </row>
    <row r="91" customFormat="false" ht="15" hidden="false" customHeight="true" outlineLevel="0" collapsed="false">
      <c r="A91" s="30" t="s">
        <v>5074</v>
      </c>
      <c r="B91" s="30" t="s">
        <v>5075</v>
      </c>
      <c r="C91" s="30" t="s">
        <v>5070</v>
      </c>
      <c r="D91" s="32" t="n">
        <f aca="false">COUNTIF(L1!$P$5:$P$200,"低於外部區間")+COUNTIF(L1!$P$5:$P$200,"高於外部區間")+COUNTIF(L1!$P$5:$P$200,"差距 &gt;"&amp;TEXT(L1_JudgeTol,"0%"))</f>
        <v>18</v>
      </c>
      <c r="E91" s="45" t="s">
        <v>5076</v>
      </c>
      <c r="G91" s="21" t="s">
        <v>5036</v>
      </c>
    </row>
    <row r="92" customFormat="false" ht="15" hidden="false" customHeight="true" outlineLevel="0" collapsed="false">
      <c r="A92" s="30" t="s">
        <v>5077</v>
      </c>
      <c r="B92" s="44" t="s">
        <v>5078</v>
      </c>
      <c r="C92" s="30" t="s">
        <v>5070</v>
      </c>
      <c r="D92" s="32" t="n">
        <f aca="false">COUNTIF(Gov_Map!$F$5:$F$700,"原始數據（G0-2 保留）")</f>
        <v>14</v>
      </c>
      <c r="E92" s="45" t="s">
        <v>5039</v>
      </c>
      <c r="G92" s="21" t="s">
        <v>5036</v>
      </c>
    </row>
    <row r="93" customFormat="false" ht="15" hidden="false" customHeight="true" outlineLevel="0" collapsed="false">
      <c r="A93" s="30" t="s">
        <v>5079</v>
      </c>
      <c r="B93" s="30" t="s">
        <v>5080</v>
      </c>
      <c r="C93" s="30" t="s">
        <v>5070</v>
      </c>
      <c r="D93" s="32" t="n">
        <f aca="false">COUNTIF(Gov_Map!$F$5:$F$700,"Derived（待改公式）")</f>
        <v>0</v>
      </c>
      <c r="E93" s="45" t="s">
        <v>5081</v>
      </c>
      <c r="G93" s="21" t="s">
        <v>5036</v>
      </c>
    </row>
    <row r="94" customFormat="false" ht="15" hidden="false" customHeight="true" outlineLevel="0" collapsed="false">
      <c r="A94" s="30" t="s">
        <v>3337</v>
      </c>
      <c r="B94" s="44" t="s">
        <v>5082</v>
      </c>
      <c r="C94" s="30" t="s">
        <v>5070</v>
      </c>
      <c r="D94" s="32" t="n">
        <f aca="false">COUNTIF(Gov_Map!$M$5:$M$700,"結構選擇（無數值區間）")</f>
        <v>26</v>
      </c>
      <c r="E94" s="45" t="s">
        <v>5039</v>
      </c>
      <c r="G94" s="21" t="s">
        <v>5036</v>
      </c>
    </row>
    <row r="95" customFormat="false" ht="15" hidden="false" customHeight="true" outlineLevel="0" collapsed="false">
      <c r="A95" s="30" t="s">
        <v>3346</v>
      </c>
      <c r="B95" s="44" t="s">
        <v>5083</v>
      </c>
      <c r="C95" s="30" t="s">
        <v>5070</v>
      </c>
      <c r="D95" s="32" t="n">
        <f aca="false">COUNTIF(Gov_Map!$F$5:$F$700,"原始數據（切片二）")</f>
        <v>3</v>
      </c>
      <c r="E95" s="45" t="s">
        <v>5084</v>
      </c>
      <c r="G95" s="21" t="s">
        <v>5036</v>
      </c>
    </row>
    <row r="96" customFormat="false" ht="15" hidden="false" customHeight="true" outlineLevel="0" collapsed="false">
      <c r="A96" s="30" t="s">
        <v>5085</v>
      </c>
      <c r="B96" s="44" t="s">
        <v>5086</v>
      </c>
      <c r="C96" s="30" t="s">
        <v>5070</v>
      </c>
      <c r="D96" s="32" t="n">
        <f aca="false">COUNTIF(Gov_Map!$O$5:$O$700,"&lt;&gt;—")-COUNTIF(Gov_Map!$O$5:$O$700,"")</f>
        <v>58</v>
      </c>
      <c r="E96" s="45" t="s">
        <v>5087</v>
      </c>
      <c r="G96" s="21" t="s">
        <v>5036</v>
      </c>
    </row>
    <row r="97" customFormat="false" ht="15" hidden="false" customHeight="true" outlineLevel="0" collapsed="false">
      <c r="B97" s="8" t="s">
        <v>5088</v>
      </c>
      <c r="D97" s="235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5089</v>
      </c>
      <c r="D98" s="32" t="n">
        <f aca="false">D87+D88+D106+D118+D128+D129+D130+D131+D178+MAX(D179,D180)+D181</f>
        <v>280</v>
      </c>
    </row>
    <row r="99" customFormat="false" ht="15" hidden="false" customHeight="true" outlineLevel="0" collapsed="false">
      <c r="B99" s="8" t="s">
        <v>5090</v>
      </c>
      <c r="D99" s="32" t="n">
        <f aca="false">D89+D90+D91+D92+D93+D94+D95+D96+D121+D122+D123+D124+D132</f>
        <v>182</v>
      </c>
    </row>
    <row r="100" customFormat="false" ht="15" hidden="false" customHeight="true" outlineLevel="0" collapsed="false">
      <c r="B100" s="21" t="s">
        <v>5091</v>
      </c>
    </row>
    <row r="102" customFormat="false" ht="15" hidden="false" customHeight="true" outlineLevel="0" collapsed="false">
      <c r="A102" s="43" t="s">
        <v>5092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5027</v>
      </c>
      <c r="B103" s="9" t="s">
        <v>5028</v>
      </c>
      <c r="C103" s="9" t="s">
        <v>5029</v>
      </c>
      <c r="D103" s="9" t="s">
        <v>5030</v>
      </c>
      <c r="E103" s="9" t="s">
        <v>5031</v>
      </c>
      <c r="G103" s="9" t="s">
        <v>4859</v>
      </c>
    </row>
    <row r="104" customFormat="false" ht="15" hidden="false" customHeight="true" outlineLevel="0" collapsed="false">
      <c r="A104" s="30" t="s">
        <v>5093</v>
      </c>
      <c r="B104" s="44" t="s">
        <v>5094</v>
      </c>
      <c r="C104" s="8" t="s">
        <v>5034</v>
      </c>
      <c r="D104" s="32" t="n">
        <f aca="false">IF(ABS(Alloc_In!$C$18-1)&gt;0.000000001,1,0)</f>
        <v>0</v>
      </c>
      <c r="E104" s="45" t="s">
        <v>5095</v>
      </c>
      <c r="G104" s="21" t="s">
        <v>4880</v>
      </c>
    </row>
    <row r="105" customFormat="false" ht="15" hidden="false" customHeight="true" outlineLevel="0" collapsed="false">
      <c r="A105" s="30" t="s">
        <v>5096</v>
      </c>
      <c r="B105" s="30" t="s">
        <v>5097</v>
      </c>
      <c r="C105" s="8" t="s">
        <v>5034</v>
      </c>
      <c r="D105" s="32" t="n">
        <f aca="false">SUM(AL_SensCheck)</f>
        <v>0</v>
      </c>
      <c r="E105" s="45" t="s">
        <v>5098</v>
      </c>
      <c r="G105" s="21" t="s">
        <v>4880</v>
      </c>
    </row>
    <row r="106" customFormat="false" ht="15" hidden="false" customHeight="true" outlineLevel="0" collapsed="false">
      <c r="A106" s="30" t="s">
        <v>5099</v>
      </c>
      <c r="B106" s="30" t="s">
        <v>5100</v>
      </c>
      <c r="C106" s="8" t="s">
        <v>5063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5101</v>
      </c>
      <c r="G106" s="21" t="s">
        <v>5036</v>
      </c>
    </row>
    <row r="108" customFormat="false" ht="15" hidden="false" customHeight="true" outlineLevel="0" collapsed="false">
      <c r="A108" s="43" t="s">
        <v>5102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5027</v>
      </c>
      <c r="B109" s="9" t="s">
        <v>5028</v>
      </c>
      <c r="C109" s="9" t="s">
        <v>5029</v>
      </c>
      <c r="D109" s="9" t="s">
        <v>5030</v>
      </c>
      <c r="E109" s="9" t="s">
        <v>5031</v>
      </c>
      <c r="G109" s="9" t="s">
        <v>4859</v>
      </c>
    </row>
    <row r="110" customFormat="false" ht="15" hidden="false" customHeight="true" outlineLevel="0" collapsed="false">
      <c r="A110" s="30" t="s">
        <v>5103</v>
      </c>
      <c r="B110" s="44" t="s">
        <v>5104</v>
      </c>
      <c r="C110" s="8" t="s">
        <v>5034</v>
      </c>
      <c r="D110" s="33" t="n">
        <f aca="false">SUM(Theory_Rev_Prod!C90:Q96)</f>
        <v>0</v>
      </c>
      <c r="E110" s="45" t="s">
        <v>5105</v>
      </c>
      <c r="G110" s="21" t="s">
        <v>4880</v>
      </c>
    </row>
    <row r="112" customFormat="false" ht="15" hidden="false" customHeight="true" outlineLevel="0" collapsed="false">
      <c r="A112" s="43" t="s">
        <v>5106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5027</v>
      </c>
      <c r="B113" s="9" t="s">
        <v>5028</v>
      </c>
      <c r="C113" s="9" t="s">
        <v>5029</v>
      </c>
      <c r="D113" s="9" t="s">
        <v>5030</v>
      </c>
      <c r="E113" s="9" t="s">
        <v>5031</v>
      </c>
      <c r="G113" s="9" t="s">
        <v>4859</v>
      </c>
    </row>
    <row r="114" customFormat="false" ht="15" hidden="false" customHeight="true" outlineLevel="0" collapsed="false">
      <c r="A114" s="30" t="s">
        <v>5107</v>
      </c>
      <c r="B114" s="44" t="s">
        <v>5108</v>
      </c>
      <c r="C114" s="8" t="s">
        <v>5034</v>
      </c>
      <c r="D114" s="33" t="n">
        <f aca="false">SUM(Theory_Rev!C96:Q99)</f>
        <v>0</v>
      </c>
      <c r="E114" s="45" t="s">
        <v>5109</v>
      </c>
      <c r="G114" s="21" t="s">
        <v>4880</v>
      </c>
    </row>
    <row r="116" customFormat="false" ht="15" hidden="false" customHeight="true" outlineLevel="0" collapsed="false">
      <c r="A116" s="43" t="s">
        <v>5110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5027</v>
      </c>
      <c r="B117" s="9" t="s">
        <v>5028</v>
      </c>
      <c r="C117" s="9" t="s">
        <v>5029</v>
      </c>
      <c r="D117" s="9" t="s">
        <v>5030</v>
      </c>
      <c r="E117" s="9" t="s">
        <v>5031</v>
      </c>
      <c r="G117" s="9" t="s">
        <v>4859</v>
      </c>
    </row>
    <row r="118" customFormat="false" ht="57.75" hidden="false" customHeight="true" outlineLevel="0" collapsed="false">
      <c r="A118" s="30" t="s">
        <v>5111</v>
      </c>
      <c r="B118" s="6" t="s">
        <v>5112</v>
      </c>
      <c r="C118" s="30" t="s">
        <v>5063</v>
      </c>
      <c r="D118" s="32" t="n">
        <f aca="false">COUNTIF(Interface!$R$6:$R$344,"—")</f>
        <v>0</v>
      </c>
      <c r="E118" s="45" t="s">
        <v>5113</v>
      </c>
      <c r="G118" s="21" t="s">
        <v>5036</v>
      </c>
    </row>
    <row r="119" customFormat="false" ht="72" hidden="false" customHeight="true" outlineLevel="0" collapsed="false">
      <c r="A119" s="30" t="s">
        <v>5114</v>
      </c>
      <c r="B119" s="6" t="s">
        <v>5115</v>
      </c>
      <c r="C119" s="8" t="s">
        <v>5034</v>
      </c>
      <c r="D119" s="32" t="n">
        <f aca="false">SUMPRODUCT((Interface!$R$6:$R$344="A")*(Interface!$Y$6:$Y$344=1)*(Interface!$X$6:$X$344=0))</f>
        <v>0</v>
      </c>
      <c r="E119" s="45" t="s">
        <v>5116</v>
      </c>
      <c r="G119" s="21" t="s">
        <v>5036</v>
      </c>
    </row>
    <row r="120" customFormat="false" ht="86.25" hidden="false" customHeight="true" outlineLevel="0" collapsed="false">
      <c r="A120" s="30" t="s">
        <v>5117</v>
      </c>
      <c r="B120" s="5" t="s">
        <v>5118</v>
      </c>
      <c r="C120" s="8" t="s">
        <v>5034</v>
      </c>
      <c r="D120" s="32" t="n">
        <f aca="false">SUM(Interface!C289:Q310)</f>
        <v>0</v>
      </c>
      <c r="E120" s="45" t="s">
        <v>5119</v>
      </c>
      <c r="G120" s="21" t="s">
        <v>4880</v>
      </c>
    </row>
    <row r="121" customFormat="false" ht="170.25" hidden="false" customHeight="true" outlineLevel="0" collapsed="false">
      <c r="A121" s="30" t="s">
        <v>5120</v>
      </c>
      <c r="B121" s="6" t="s">
        <v>5121</v>
      </c>
      <c r="C121" s="30" t="s">
        <v>5070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5122</v>
      </c>
      <c r="G121" s="21" t="s">
        <v>4880</v>
      </c>
    </row>
    <row r="122" customFormat="false" ht="108.75" hidden="false" customHeight="true" outlineLevel="0" collapsed="false">
      <c r="A122" s="30" t="s">
        <v>5123</v>
      </c>
      <c r="B122" s="6" t="s">
        <v>5124</v>
      </c>
      <c r="C122" s="30" t="s">
        <v>5070</v>
      </c>
      <c r="D122" s="32" t="n">
        <f aca="false">LB_LiveCount</f>
        <v>57</v>
      </c>
      <c r="E122" s="45" t="s">
        <v>5125</v>
      </c>
      <c r="G122" s="21" t="s">
        <v>5036</v>
      </c>
    </row>
    <row r="123" customFormat="false" ht="54.75" hidden="false" customHeight="true" outlineLevel="0" collapsed="false">
      <c r="A123" s="30" t="s">
        <v>3339</v>
      </c>
      <c r="B123" s="6" t="s">
        <v>5126</v>
      </c>
      <c r="C123" s="30" t="s">
        <v>5070</v>
      </c>
      <c r="D123" s="32" t="n">
        <f aca="false">COUNTIF(LB_Days,"&gt;90")</f>
        <v>0</v>
      </c>
      <c r="E123" s="45" t="s">
        <v>5127</v>
      </c>
      <c r="G123" s="21" t="s">
        <v>5036</v>
      </c>
    </row>
    <row r="124" customFormat="false" ht="69" hidden="false" customHeight="true" outlineLevel="0" collapsed="false">
      <c r="A124" s="30" t="s">
        <v>3348</v>
      </c>
      <c r="B124" s="6" t="s">
        <v>5128</v>
      </c>
      <c r="C124" s="30" t="s">
        <v>5070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5129</v>
      </c>
      <c r="G124" s="21" t="s">
        <v>4862</v>
      </c>
    </row>
    <row r="126" customFormat="false" ht="15" hidden="false" customHeight="true" outlineLevel="0" collapsed="false">
      <c r="A126" s="43" t="s">
        <v>5130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5027</v>
      </c>
      <c r="B127" s="9" t="s">
        <v>5028</v>
      </c>
      <c r="C127" s="9" t="s">
        <v>5029</v>
      </c>
      <c r="D127" s="9" t="s">
        <v>5030</v>
      </c>
      <c r="E127" s="9" t="s">
        <v>5031</v>
      </c>
      <c r="G127" s="9" t="s">
        <v>4859</v>
      </c>
    </row>
    <row r="128" customFormat="false" ht="111.75" hidden="false" customHeight="true" outlineLevel="0" collapsed="false">
      <c r="A128" s="30" t="s">
        <v>5131</v>
      </c>
      <c r="B128" s="6" t="s">
        <v>5132</v>
      </c>
      <c r="C128" s="30" t="s">
        <v>5063</v>
      </c>
      <c r="D128" s="32" t="n">
        <f aca="false">IF(ISNUMBER(L1_MImplied),IF(OR(L1_MImplied&lt;Gov_Map!$K$598,L1_MImplied&gt;Gov_Map!$L$598),1,0),0)</f>
        <v>1</v>
      </c>
      <c r="E128" s="45" t="s">
        <v>5133</v>
      </c>
      <c r="G128" s="21" t="s">
        <v>5134</v>
      </c>
    </row>
    <row r="129" customFormat="false" ht="97.5" hidden="false" customHeight="true" outlineLevel="0" collapsed="false">
      <c r="A129" s="30" t="s">
        <v>5135</v>
      </c>
      <c r="B129" s="5" t="s">
        <v>5136</v>
      </c>
      <c r="C129" s="30" t="s">
        <v>5063</v>
      </c>
      <c r="D129" s="32" t="n">
        <f aca="false">IF(AND(ISNUMBER(AL_DPaid),ISNUMBER(L1_TokCeiling)),IF(AL_DPaid&gt;L1_TokCeiling,1,0),0)</f>
        <v>0</v>
      </c>
      <c r="E129" s="45" t="s">
        <v>5137</v>
      </c>
      <c r="G129" s="21" t="s">
        <v>5134</v>
      </c>
    </row>
    <row r="130" customFormat="false" ht="97.5" hidden="false" customHeight="true" outlineLevel="0" collapsed="false">
      <c r="A130" s="30" t="s">
        <v>5138</v>
      </c>
      <c r="B130" s="6" t="s">
        <v>5139</v>
      </c>
      <c r="C130" s="30" t="s">
        <v>5063</v>
      </c>
      <c r="D130" s="32" t="n">
        <f aca="false">IF(ISNUMBER(L1_MFleet),IF(OR(L1_MFleet&lt;Gov_Map!$K$598,L1_MFleet&gt;Gov_Map!$L$598),1,0),0)</f>
        <v>0</v>
      </c>
      <c r="E130" s="45" t="s">
        <v>5140</v>
      </c>
      <c r="G130" s="21" t="s">
        <v>5134</v>
      </c>
    </row>
    <row r="131" customFormat="false" ht="86.25" hidden="false" customHeight="true" outlineLevel="0" collapsed="false">
      <c r="A131" s="30" t="s">
        <v>5141</v>
      </c>
      <c r="B131" s="5" t="s">
        <v>5142</v>
      </c>
      <c r="C131" s="30" t="s">
        <v>5063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5134</v>
      </c>
    </row>
    <row r="132" customFormat="false" ht="143.25" hidden="false" customHeight="true" outlineLevel="0" collapsed="false">
      <c r="A132" s="30" t="s">
        <v>5143</v>
      </c>
      <c r="B132" s="5" t="s">
        <v>5144</v>
      </c>
      <c r="C132" s="30" t="s">
        <v>5070</v>
      </c>
      <c r="D132" s="32" t="n">
        <f aca="false">IF(ISNUMBER(Cap_In!$C$256),IF(ABS(Cap_In!$C$256)&gt;0.000000001,1,0),0)</f>
        <v>0</v>
      </c>
      <c r="E132" s="45" t="s">
        <v>5145</v>
      </c>
      <c r="G132" s="21" t="s">
        <v>4880</v>
      </c>
    </row>
    <row r="134" customFormat="false" ht="15" hidden="false" customHeight="true" outlineLevel="0" collapsed="false">
      <c r="A134" s="43" t="s">
        <v>5146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5027</v>
      </c>
      <c r="B135" s="9" t="s">
        <v>5028</v>
      </c>
      <c r="C135" s="9" t="s">
        <v>5029</v>
      </c>
      <c r="D135" s="9" t="s">
        <v>5030</v>
      </c>
      <c r="E135" s="9" t="s">
        <v>5031</v>
      </c>
      <c r="G135" s="9" t="s">
        <v>4859</v>
      </c>
    </row>
    <row r="136" customFormat="false" ht="15" hidden="false" customHeight="true" outlineLevel="0" collapsed="false">
      <c r="A136" s="30" t="s">
        <v>5147</v>
      </c>
      <c r="B136" s="30" t="s">
        <v>5148</v>
      </c>
      <c r="C136" s="8" t="s">
        <v>5034</v>
      </c>
      <c r="D136" s="33" t="n">
        <f aca="false">SUM(Theory_Rev!C102:Q107)</f>
        <v>0</v>
      </c>
      <c r="E136" s="45" t="s">
        <v>5149</v>
      </c>
      <c r="G136" s="21" t="s">
        <v>4880</v>
      </c>
    </row>
    <row r="138" customFormat="false" ht="15" hidden="false" customHeight="true" outlineLevel="0" collapsed="false">
      <c r="A138" s="43" t="s">
        <v>5150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5027</v>
      </c>
      <c r="B139" s="9" t="s">
        <v>5028</v>
      </c>
      <c r="C139" s="9" t="s">
        <v>5029</v>
      </c>
      <c r="D139" s="9" t="s">
        <v>5030</v>
      </c>
      <c r="E139" s="9" t="s">
        <v>5031</v>
      </c>
      <c r="G139" s="236" t="s">
        <v>5151</v>
      </c>
    </row>
    <row r="140" customFormat="false" ht="15" hidden="false" customHeight="true" outlineLevel="0" collapsed="false">
      <c r="A140" s="30" t="s">
        <v>5152</v>
      </c>
      <c r="B140" s="44" t="s">
        <v>5153</v>
      </c>
      <c r="C140" s="8" t="s">
        <v>5034</v>
      </c>
      <c r="D140" s="32" t="n">
        <f aca="false">IF(ABS(Alloc_In!$C$33-1)&gt;0.000000001,1,0)</f>
        <v>0</v>
      </c>
      <c r="E140" s="45" t="s">
        <v>5154</v>
      </c>
      <c r="G140" s="21" t="s">
        <v>4880</v>
      </c>
    </row>
    <row r="142" customFormat="false" ht="15" hidden="false" customHeight="true" outlineLevel="0" collapsed="false">
      <c r="A142" s="43" t="s">
        <v>5155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5156</v>
      </c>
    </row>
    <row r="144" customFormat="false" ht="15" hidden="false" customHeight="true" outlineLevel="0" collapsed="false">
      <c r="A144" s="30" t="s">
        <v>5157</v>
      </c>
      <c r="B144" s="9" t="s">
        <v>5158</v>
      </c>
      <c r="F144" s="237" t="n">
        <f aca="false">COUNT(F149:F174)+COUNTIF(F149:F174,"警示")</f>
        <v>21</v>
      </c>
    </row>
    <row r="145" customFormat="false" ht="15" hidden="false" customHeight="true" outlineLevel="0" collapsed="false">
      <c r="A145" s="30" t="s">
        <v>5159</v>
      </c>
      <c r="B145" s="9" t="s">
        <v>5160</v>
      </c>
      <c r="F145" s="237" t="n">
        <f aca="false">SUM(F149:F174)</f>
        <v>13</v>
      </c>
    </row>
    <row r="146" customFormat="false" ht="15" hidden="false" customHeight="true" outlineLevel="0" collapsed="false">
      <c r="A146" s="30" t="s">
        <v>5161</v>
      </c>
      <c r="B146" s="9" t="s">
        <v>5162</v>
      </c>
      <c r="F146" s="237" t="n">
        <f aca="false">COUNT(F149:F174)-F145</f>
        <v>7</v>
      </c>
    </row>
    <row r="147" customFormat="false" ht="29.25" hidden="false" customHeight="true" outlineLevel="0" collapsed="false">
      <c r="A147" s="6" t="s">
        <v>5163</v>
      </c>
      <c r="B147" s="84" t="s">
        <v>5164</v>
      </c>
      <c r="C147" s="238"/>
      <c r="D147" s="238"/>
      <c r="E147" s="238"/>
      <c r="F147" s="239" t="n">
        <f aca="false">COUNTIF(F149:F174,"警示")</f>
        <v>1</v>
      </c>
      <c r="G147" s="238"/>
      <c r="H147" s="238"/>
      <c r="I147" s="238"/>
      <c r="J147" s="238"/>
    </row>
    <row r="148" customFormat="false" ht="258.75" hidden="false" customHeight="true" outlineLevel="0" collapsed="false">
      <c r="A148" s="84" t="s">
        <v>5027</v>
      </c>
      <c r="B148" s="84" t="s">
        <v>5165</v>
      </c>
      <c r="C148" s="240" t="s">
        <v>5166</v>
      </c>
      <c r="D148" s="240" t="s">
        <v>5167</v>
      </c>
      <c r="E148" s="241" t="s">
        <v>5168</v>
      </c>
      <c r="F148" s="242" t="s">
        <v>5169</v>
      </c>
      <c r="G148" s="84" t="s">
        <v>5170</v>
      </c>
      <c r="H148" s="243" t="s">
        <v>5171</v>
      </c>
      <c r="I148" s="243" t="s">
        <v>5172</v>
      </c>
      <c r="J148" s="84" t="s">
        <v>5173</v>
      </c>
    </row>
    <row r="149" customFormat="false" ht="96" hidden="false" customHeight="true" outlineLevel="0" collapsed="false">
      <c r="A149" s="30" t="s">
        <v>5174</v>
      </c>
      <c r="B149" s="6" t="s">
        <v>5175</v>
      </c>
      <c r="C149" s="46" t="n">
        <f aca="false">Calib!G148</f>
        <v>677.028015156497</v>
      </c>
      <c r="D149" s="46" t="n">
        <f aca="false">Calib!G120</f>
        <v>556</v>
      </c>
      <c r="E149" s="244" t="n">
        <f aca="false">IF(AND(ISNUMBER(C149),ISNUMBER(D149)),IF(D149&gt;0,C149/D149,"—"),"—")</f>
        <v>1.21767628625269</v>
      </c>
      <c r="F149" s="237" t="str">
        <f aca="false">IF(AND(ISNUMBER(E149),ISNUMBER(H149)),IF(E149&lt;H149,0,IF(IF(ISNUMBER(I149),E149&lt;=I149,TRUE()),1,IF(E149&gt;CHK_SoftCapFail,0,"警示"))),"—")</f>
        <v>警示</v>
      </c>
      <c r="G149" s="21" t="s">
        <v>495</v>
      </c>
      <c r="H149" s="211" t="n">
        <v>0</v>
      </c>
      <c r="I149" s="211" t="n">
        <v>1</v>
      </c>
      <c r="J149" s="88" t="s">
        <v>5176</v>
      </c>
    </row>
    <row r="150" customFormat="false" ht="108.75" hidden="false" customHeight="true" outlineLevel="0" collapsed="false">
      <c r="A150" s="30" t="s">
        <v>5177</v>
      </c>
      <c r="B150" s="6" t="s">
        <v>5178</v>
      </c>
      <c r="C150" s="46" t="n">
        <f aca="false">Calib!H148</f>
        <v>3353.7046978872</v>
      </c>
      <c r="D150" s="46" t="n">
        <f aca="false">Calib!H120</f>
        <v>4668.1</v>
      </c>
      <c r="E150" s="244" t="n">
        <f aca="false">IF(AND(ISNUMBER(C150),ISNUMBER(D150)),IF(D150&gt;0,C150/D150,"—"),"—")</f>
        <v>0.718430345941003</v>
      </c>
      <c r="F150" s="237" t="n">
        <f aca="false">IF(AND(ISNUMBER(E150),ISNUMBER(H150)),IF(E150&lt;H150,0,IF(IF(ISNUMBER(I150),E150&lt;=I150,TRUE()),1,IF(E150&gt;CHK_SoftCapFail,0,"警示"))),"—")</f>
        <v>1</v>
      </c>
      <c r="G150" s="21" t="s">
        <v>495</v>
      </c>
      <c r="H150" s="211" t="n">
        <v>0</v>
      </c>
      <c r="I150" s="211" t="n">
        <v>1</v>
      </c>
      <c r="J150" s="88" t="s">
        <v>5179</v>
      </c>
    </row>
    <row r="151" customFormat="false" ht="121.5" hidden="false" customHeight="true" outlineLevel="0" collapsed="false">
      <c r="A151" s="30" t="s">
        <v>5180</v>
      </c>
      <c r="B151" s="6" t="s">
        <v>5181</v>
      </c>
      <c r="C151" s="46" t="n">
        <f aca="false">Calib!F148</f>
        <v>5030.5570468308</v>
      </c>
      <c r="D151" s="46" t="n">
        <f aca="false">Calib!F120</f>
        <v>5561.6</v>
      </c>
      <c r="E151" s="244" t="n">
        <f aca="false">IF(AND(ISNUMBER(C151),ISNUMBER(D151)),IF(D151&gt;0,C151/D151,"—"),"—")</f>
        <v>0.904516154853064</v>
      </c>
      <c r="F151" s="237" t="n">
        <f aca="false">IF(AND(ISNUMBER(E151),ISNUMBER(H151)),IF(E151&lt;H151,0,IF(IF(ISNUMBER(I151),E151&lt;=I151,TRUE()),1,IF(E151&gt;CHK_SoftCapFail,0,"警示"))),"—")</f>
        <v>1</v>
      </c>
      <c r="G151" s="21" t="s">
        <v>495</v>
      </c>
      <c r="H151" s="211" t="n">
        <v>0</v>
      </c>
      <c r="I151" s="211" t="n">
        <v>1</v>
      </c>
      <c r="J151" s="88" t="s">
        <v>5182</v>
      </c>
    </row>
    <row r="152" customFormat="false" ht="121.5" hidden="false" customHeight="true" outlineLevel="0" collapsed="false">
      <c r="A152" s="30" t="s">
        <v>5183</v>
      </c>
      <c r="B152" s="6" t="s">
        <v>5184</v>
      </c>
      <c r="C152" s="46" t="n">
        <f aca="false">Calib!C148</f>
        <v>2474.48865345806</v>
      </c>
      <c r="D152" s="46" t="n">
        <f aca="false">Calib!C120</f>
        <v>3520.91666666667</v>
      </c>
      <c r="E152" s="244" t="n">
        <f aca="false">IF(AND(ISNUMBER(C152),ISNUMBER(D152)),IF(D152&gt;0,C152/D152,"—"),"—")</f>
        <v>0.702796711119185</v>
      </c>
      <c r="F152" s="237" t="n">
        <f aca="false">IF(AND(ISNUMBER(E152),ISNUMBER(H152)),IF(AND(E152&gt;=H152,IF(ISNUMBER(I152),E152&lt;=I152,TRUE())),1,0),"—")</f>
        <v>1</v>
      </c>
      <c r="G152" s="21" t="s">
        <v>495</v>
      </c>
      <c r="H152" s="211" t="n">
        <v>0</v>
      </c>
      <c r="I152" s="211" t="n">
        <v>1</v>
      </c>
      <c r="J152" s="88" t="s">
        <v>5185</v>
      </c>
    </row>
    <row r="153" customFormat="false" ht="134.25" hidden="false" customHeight="true" outlineLevel="0" collapsed="false">
      <c r="A153" s="30" t="s">
        <v>5186</v>
      </c>
      <c r="B153" s="6" t="s">
        <v>5187</v>
      </c>
      <c r="C153" s="46" t="n">
        <f aca="false">Calib!D148</f>
        <v>1649.65910230537</v>
      </c>
      <c r="D153" s="46" t="n">
        <f aca="false">Calib!D120</f>
        <v>3337.75</v>
      </c>
      <c r="E153" s="244" t="n">
        <f aca="false">IF(AND(ISNUMBER(C153),ISNUMBER(D153)),IF(D153&gt;0,C153/D153,"—"),"—")</f>
        <v>0.494242858903564</v>
      </c>
      <c r="F153" s="237" t="n">
        <f aca="false">IF(AND(ISNUMBER(E153),ISNUMBER(H153)),IF(AND(E153&gt;=H153,IF(ISNUMBER(I153),E153&lt;=I153,TRUE())),1,0),"—")</f>
        <v>1</v>
      </c>
      <c r="G153" s="21" t="s">
        <v>495</v>
      </c>
      <c r="H153" s="211" t="n">
        <v>0</v>
      </c>
      <c r="I153" s="211" t="n">
        <v>1</v>
      </c>
      <c r="J153" s="88" t="s">
        <v>5188</v>
      </c>
    </row>
    <row r="154" customFormat="false" ht="271.5" hidden="false" customHeight="true" outlineLevel="0" collapsed="false">
      <c r="A154" s="30" t="s">
        <v>5189</v>
      </c>
      <c r="B154" s="6" t="s">
        <v>5190</v>
      </c>
      <c r="C154" s="46" t="n">
        <f aca="false">Calib!E148</f>
        <v>6248.39621214415</v>
      </c>
      <c r="D154" s="46" t="n">
        <f aca="false">Calib!E120</f>
        <v>9065.97222222222</v>
      </c>
      <c r="E154" s="244" t="n">
        <f aca="false">IF(AND(ISNUMBER(C154),ISNUMBER(D154)),IF(D154&gt;0,C154/D154,"—"),"—")</f>
        <v>0.689214136000581</v>
      </c>
      <c r="F154" s="237" t="n">
        <f aca="false">IF(AND(ISNUMBER(E154),ISNUMBER(H154)),IF(AND(E154&gt;=H154,IF(ISNUMBER(I154),E154&lt;=I154,TRUE())),1,0),"—")</f>
        <v>1</v>
      </c>
      <c r="G154" s="21" t="s">
        <v>495</v>
      </c>
      <c r="H154" s="211" t="n">
        <v>0</v>
      </c>
      <c r="I154" s="211" t="n">
        <v>1</v>
      </c>
      <c r="J154" s="88" t="s">
        <v>5191</v>
      </c>
    </row>
    <row r="155" customFormat="false" ht="256.5" hidden="false" customHeight="true" outlineLevel="0" collapsed="false">
      <c r="A155" s="30" t="s">
        <v>5192</v>
      </c>
      <c r="B155" s="6" t="s">
        <v>5193</v>
      </c>
      <c r="C155" s="46" t="n">
        <f aca="false">Calib!F194</f>
        <v>744.336162908493</v>
      </c>
      <c r="D155" s="48" t="n">
        <f aca="false">SRC_PERF_062</f>
        <v>2785</v>
      </c>
      <c r="E155" s="244" t="n">
        <f aca="false">IF(AND(ISNUMBER(C155),ISNUMBER(D155)),IF(D155&gt;0,C155/D155,"—"),"—")</f>
        <v>0.267266126717592</v>
      </c>
      <c r="F155" s="237" t="n">
        <f aca="false">IF(AND(ISNUMBER(E155),ISNUMBER(H155)),IF(AND(E155&gt;=H155,IF(ISNUMBER(I155),E155&lt;=I155,TRUE())),1,0),"—")</f>
        <v>0</v>
      </c>
      <c r="G155" s="21" t="s">
        <v>495</v>
      </c>
      <c r="H155" s="211" t="n">
        <v>0.5</v>
      </c>
      <c r="I155" s="211" t="n">
        <v>2</v>
      </c>
      <c r="J155" s="88" t="s">
        <v>5194</v>
      </c>
    </row>
    <row r="156" customFormat="false" ht="292.5" hidden="false" customHeight="true" outlineLevel="0" collapsed="false">
      <c r="A156" s="30" t="s">
        <v>5195</v>
      </c>
      <c r="B156" s="6" t="s">
        <v>5196</v>
      </c>
      <c r="C156" s="46" t="n">
        <f aca="false">Calib!G194</f>
        <v>3494.49310816584</v>
      </c>
      <c r="D156" s="48" t="n">
        <f aca="false">SRC_PERF_063</f>
        <v>13386</v>
      </c>
      <c r="E156" s="244" t="n">
        <f aca="false">IF(AND(ISNUMBER(C156),ISNUMBER(D156)),IF(D156&gt;0,C156/D156,"—"),"—")</f>
        <v>0.261055812652461</v>
      </c>
      <c r="F156" s="237" t="n">
        <f aca="false">IF(AND(ISNUMBER(E156),ISNUMBER(H156)),IF(AND(E156&gt;=H156,IF(ISNUMBER(I156),E156&lt;=I156,TRUE())),1,0),"—")</f>
        <v>0</v>
      </c>
      <c r="G156" s="21" t="s">
        <v>495</v>
      </c>
      <c r="H156" s="211" t="n">
        <v>0.5</v>
      </c>
      <c r="I156" s="211" t="n">
        <v>2</v>
      </c>
      <c r="J156" s="88" t="s">
        <v>5197</v>
      </c>
    </row>
    <row r="157" customFormat="false" ht="69" hidden="false" customHeight="true" outlineLevel="0" collapsed="false">
      <c r="A157" s="30" t="s">
        <v>5198</v>
      </c>
      <c r="B157" s="6" t="s">
        <v>5199</v>
      </c>
      <c r="C157" s="48" t="n">
        <f aca="false">INDEX(TRN_RLRatioH,1,10)</f>
        <v>0.379829822080908</v>
      </c>
      <c r="D157" s="48" t="n">
        <f aca="false">SRC_PERF_064</f>
        <v>0.11</v>
      </c>
      <c r="E157" s="244" t="n">
        <f aca="false">C157</f>
        <v>0.379829822080908</v>
      </c>
      <c r="F157" s="237" t="n">
        <f aca="false">IF(AND(ISNUMBER(E157),ISNUMBER(H157)),IF(AND(E157&gt;=H157,IF(ISNUMBER(I157),E157&lt;=I157,TRUE())),1,0),"—")</f>
        <v>0</v>
      </c>
      <c r="G157" s="21" t="s">
        <v>495</v>
      </c>
      <c r="H157" s="211" t="n">
        <v>0.1</v>
      </c>
      <c r="I157" s="211" t="n">
        <v>0.3</v>
      </c>
      <c r="J157" s="93" t="s">
        <v>5200</v>
      </c>
    </row>
    <row r="158" customFormat="false" ht="294.75" hidden="false" customHeight="true" outlineLevel="0" collapsed="false">
      <c r="A158" s="30" t="s">
        <v>5201</v>
      </c>
      <c r="B158" s="6" t="s">
        <v>5202</v>
      </c>
      <c r="C158" s="48" t="n">
        <f aca="false">INDEX(TRN_RLRatioH,1,11)</f>
        <v>0.371397626434424</v>
      </c>
      <c r="D158" s="48" t="n">
        <f aca="false">SRC_PERF_064</f>
        <v>0.11</v>
      </c>
      <c r="E158" s="244" t="n">
        <f aca="false">C158</f>
        <v>0.371397626434424</v>
      </c>
      <c r="F158" s="237" t="n">
        <f aca="false">IF(AND(ISNUMBER(E158),ISNUMBER(H158)),IF(AND(E158&gt;=H158,IF(ISNUMBER(I158),E158&lt;=I158,TRUE())),1,0),"—")</f>
        <v>0</v>
      </c>
      <c r="G158" s="21" t="s">
        <v>495</v>
      </c>
      <c r="H158" s="211" t="n">
        <v>0.1</v>
      </c>
      <c r="I158" s="211" t="n">
        <v>0.3</v>
      </c>
      <c r="J158" s="93" t="s">
        <v>5203</v>
      </c>
    </row>
    <row r="159" customFormat="false" ht="98.25" hidden="false" customHeight="true" outlineLevel="0" collapsed="false">
      <c r="A159" s="30" t="s">
        <v>5204</v>
      </c>
      <c r="B159" s="6" t="s">
        <v>5205</v>
      </c>
      <c r="C159" s="48" t="n">
        <f aca="false">INDEX(B5_SelT,1,5)</f>
        <v>0.7</v>
      </c>
      <c r="D159" s="48" t="n">
        <f aca="false">SRC_HAR_016_Lo</f>
        <v>1.5</v>
      </c>
      <c r="E159" s="244" t="n">
        <f aca="false">C159</f>
        <v>0.7</v>
      </c>
      <c r="F159" s="237" t="n">
        <f aca="false">IF(AND(ISNUMBER(E159),ISNUMBER(H159)),IF(AND(E159&gt;=H159,IF(ISNUMBER(I159),E159&lt;=I159,TRUE())),1,0),"—")</f>
        <v>0</v>
      </c>
      <c r="G159" s="21" t="s">
        <v>495</v>
      </c>
      <c r="H159" s="211" t="n">
        <v>1</v>
      </c>
      <c r="I159" s="211"/>
      <c r="J159" s="88" t="s">
        <v>5206</v>
      </c>
    </row>
    <row r="160" customFormat="false" ht="86.25" hidden="false" customHeight="true" outlineLevel="0" collapsed="false">
      <c r="A160" s="30" t="s">
        <v>5207</v>
      </c>
      <c r="B160" s="5" t="s">
        <v>5208</v>
      </c>
      <c r="C160" s="48" t="s">
        <v>814</v>
      </c>
      <c r="D160" s="46" t="n">
        <f aca="false">Checks!C15</f>
        <v>11200</v>
      </c>
      <c r="E160" s="217" t="n">
        <f aca="false">Checks!B15</f>
        <v>0.99108369917347</v>
      </c>
      <c r="F160" s="237" t="n">
        <f aca="false">IF(AND(ISNUMBER(E160),ISNUMBER(H160)),IF(AND(E160&gt;=H160,IF(ISNUMBER(I160),E160&lt;=I160,TRUE())),1,0),"—")</f>
        <v>1</v>
      </c>
      <c r="G160" s="21" t="s">
        <v>495</v>
      </c>
      <c r="H160" s="211" t="n">
        <v>0.9</v>
      </c>
      <c r="I160" s="211" t="n">
        <v>1.1</v>
      </c>
      <c r="J160" s="88" t="s">
        <v>5209</v>
      </c>
    </row>
    <row r="161" customFormat="false" ht="111" hidden="false" customHeight="true" outlineLevel="0" collapsed="false">
      <c r="A161" s="30" t="s">
        <v>5210</v>
      </c>
      <c r="B161" s="5" t="s">
        <v>5211</v>
      </c>
      <c r="C161" s="48" t="s">
        <v>814</v>
      </c>
      <c r="D161" s="46" t="n">
        <f aca="false">Checks!C16</f>
        <v>6182</v>
      </c>
      <c r="E161" s="217" t="n">
        <f aca="false">Checks!B16</f>
        <v>2.18428412747673</v>
      </c>
      <c r="F161" s="237" t="n">
        <f aca="false">IF(AND(ISNUMBER(E161),ISNUMBER(H161)),IF(AND(E161&gt;=H161,IF(ISNUMBER(I161),E161&lt;=I161,TRUE())),1,0),"—")</f>
        <v>1</v>
      </c>
      <c r="G161" s="21" t="s">
        <v>495</v>
      </c>
      <c r="H161" s="211" t="n">
        <v>1</v>
      </c>
      <c r="I161" s="211" t="n">
        <v>3</v>
      </c>
      <c r="J161" s="88" t="s">
        <v>5212</v>
      </c>
    </row>
    <row r="162" customFormat="false" ht="243.75" hidden="false" customHeight="true" outlineLevel="0" collapsed="false">
      <c r="A162" s="30" t="s">
        <v>5213</v>
      </c>
      <c r="B162" s="5" t="s">
        <v>5214</v>
      </c>
      <c r="C162" s="48" t="s">
        <v>814</v>
      </c>
      <c r="D162" s="46" t="n">
        <f aca="false">Checks!C17</f>
        <v>2189</v>
      </c>
      <c r="E162" s="217" t="n">
        <f aca="false">Checks!B17</f>
        <v>4.1124545381639</v>
      </c>
      <c r="F162" s="237" t="n">
        <f aca="false">IF(AND(ISNUMBER(E162),ISNUMBER(H162)),IF(AND(E162&gt;=H162,IF(ISNUMBER(I162),E162&lt;=I162,TRUE())),1,0),"—")</f>
        <v>0</v>
      </c>
      <c r="G162" s="21" t="s">
        <v>495</v>
      </c>
      <c r="H162" s="211" t="n">
        <v>1</v>
      </c>
      <c r="I162" s="211" t="n">
        <v>3</v>
      </c>
      <c r="J162" s="88" t="s">
        <v>5215</v>
      </c>
    </row>
    <row r="163" customFormat="false" ht="128.25" hidden="false" customHeight="true" outlineLevel="0" collapsed="false">
      <c r="A163" s="30" t="s">
        <v>5216</v>
      </c>
      <c r="B163" s="6" t="s">
        <v>5217</v>
      </c>
      <c r="C163" s="46" t="n">
        <f aca="false">Calib!E194</f>
        <v>492.632569994785</v>
      </c>
      <c r="D163" s="48" t="n">
        <f aca="false">SRC_PERF_073</f>
        <v>1850</v>
      </c>
      <c r="E163" s="244" t="n">
        <f aca="false">IF(AND(ISNUMBER(C163),ISNUMBER(D163)),IF(D163&gt;0,C163/D163,"—"),"—")</f>
        <v>0.266287875672857</v>
      </c>
      <c r="F163" s="237" t="n">
        <f aca="false">IF(AND(ISNUMBER(E163),ISNUMBER(H163)),IF(AND(E163&gt;=H163,IF(ISNUMBER(I163),E163&lt;=I163,TRUE())),1,0),"—")</f>
        <v>0</v>
      </c>
      <c r="G163" s="21" t="s">
        <v>495</v>
      </c>
      <c r="H163" s="211" t="n">
        <v>0.5</v>
      </c>
      <c r="I163" s="211" t="n">
        <v>2</v>
      </c>
      <c r="J163" s="88" t="s">
        <v>5218</v>
      </c>
    </row>
    <row r="164" customFormat="false" ht="128.25" hidden="false" customHeight="true" outlineLevel="0" collapsed="false">
      <c r="A164" s="30" t="s">
        <v>5219</v>
      </c>
      <c r="B164" s="5" t="s">
        <v>5220</v>
      </c>
      <c r="C164" s="48" t="s">
        <v>814</v>
      </c>
      <c r="D164" s="48" t="s">
        <v>814</v>
      </c>
      <c r="E164" s="217" t="n">
        <f aca="false">Checks!B26</f>
        <v>0.0852702650102943</v>
      </c>
      <c r="F164" s="237" t="str">
        <f aca="false">IF(AND(ISNUMBER(E164),ISNUMBER(H164)),IF(AND(E164&gt;=H164,IF(ISNUMBER(I164),E164&lt;=I164,TRUE())),"恆等式（非驗證）","恆等式不成立"),"—")</f>
        <v>恆等式（非驗證）</v>
      </c>
      <c r="G164" s="21" t="s">
        <v>4880</v>
      </c>
      <c r="H164" s="211" t="n">
        <v>0</v>
      </c>
      <c r="I164" s="211" t="n">
        <v>1</v>
      </c>
      <c r="J164" s="93" t="s">
        <v>5221</v>
      </c>
    </row>
    <row r="165" customFormat="false" ht="432.75" hidden="false" customHeight="true" outlineLevel="0" collapsed="false">
      <c r="A165" s="30" t="s">
        <v>5222</v>
      </c>
      <c r="B165" s="5" t="s">
        <v>5223</v>
      </c>
      <c r="C165" s="48" t="s">
        <v>814</v>
      </c>
      <c r="D165" s="48" t="s">
        <v>814</v>
      </c>
      <c r="E165" s="217" t="n">
        <f aca="false">Checks!B36</f>
        <v>0.252262860133895</v>
      </c>
      <c r="F165" s="237" t="n">
        <f aca="false">IF(AND(ISNUMBER(E165),ISNUMBER(H165)),IF(AND(E165&gt;=H165,IF(ISNUMBER(I165),E165&lt;=I165,TRUE())),1,0),"—")</f>
        <v>1</v>
      </c>
      <c r="G165" s="21" t="s">
        <v>495</v>
      </c>
      <c r="H165" s="211" t="n">
        <v>0</v>
      </c>
      <c r="I165" s="211"/>
      <c r="J165" s="93" t="s">
        <v>5224</v>
      </c>
    </row>
    <row r="166" customFormat="false" ht="318" hidden="false" customHeight="true" outlineLevel="0" collapsed="false">
      <c r="A166" s="30" t="s">
        <v>5225</v>
      </c>
      <c r="B166" s="6" t="s">
        <v>5226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7" t="n">
        <f aca="false">IF(AND(ISNUMBER(C166),ISNUMBER(D166)),SUMPRODUCT(--((Tech_Registry!$K$5:$K$16="主流")&lt;&gt;(Tech_Registry!$J$5:$J$16&gt;=CST_MainMin))),"—")</f>
        <v>0</v>
      </c>
      <c r="F166" s="237" t="str">
        <f aca="false">IF(ISNUMBER(E166),IF(E166=0,"恆等式（非驗證）","恆等式不成立（K 被改寫）"),"—")</f>
        <v>恆等式（非驗證）</v>
      </c>
      <c r="G166" s="21" t="s">
        <v>4880</v>
      </c>
      <c r="H166" s="211" t="n">
        <v>0</v>
      </c>
      <c r="I166" s="211" t="n">
        <v>0</v>
      </c>
      <c r="J166" s="88" t="s">
        <v>5227</v>
      </c>
    </row>
    <row r="167" customFormat="false" ht="318" hidden="false" customHeight="true" outlineLevel="0" collapsed="false">
      <c r="A167" s="30" t="s">
        <v>5228</v>
      </c>
      <c r="B167" s="6" t="s">
        <v>5229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7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7" t="n">
        <f aca="false">IF(AND(ISNUMBER(E167),ISNUMBER(H167)),IF(AND(E167&gt;=H167,IF(ISNUMBER(I167),E167&lt;=I167,TRUE())),1,0),"—")</f>
        <v>1</v>
      </c>
      <c r="G167" s="21" t="s">
        <v>495</v>
      </c>
      <c r="H167" s="211" t="n">
        <v>0</v>
      </c>
      <c r="I167" s="211" t="n">
        <v>0</v>
      </c>
      <c r="J167" s="88" t="s">
        <v>5230</v>
      </c>
    </row>
    <row r="168" customFormat="false" ht="446.25" hidden="false" customHeight="true" outlineLevel="0" collapsed="false">
      <c r="A168" s="30" t="s">
        <v>5231</v>
      </c>
      <c r="B168" s="6" t="s">
        <v>5232</v>
      </c>
      <c r="C168" s="46" t="n">
        <f aca="false">Calib!C248</f>
        <v>8475.6133196664</v>
      </c>
      <c r="D168" s="48" t="n">
        <f aca="false">SRC_PERF_079</f>
        <v>6752</v>
      </c>
      <c r="E168" s="244" t="n">
        <f aca="false">IF(AND(ISNUMBER(C168),ISNUMBER(D168)),IF(D168&gt;0,C168/D168,"—"),"—")</f>
        <v>1.25527448454775</v>
      </c>
      <c r="F168" s="237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5233</v>
      </c>
      <c r="H168" s="211" t="n">
        <v>0.5</v>
      </c>
      <c r="I168" s="211" t="n">
        <v>2</v>
      </c>
      <c r="J168" s="88" t="s">
        <v>5234</v>
      </c>
    </row>
    <row r="169" customFormat="false" ht="241.5" hidden="false" customHeight="true" outlineLevel="0" collapsed="false">
      <c r="A169" s="30" t="s">
        <v>5235</v>
      </c>
      <c r="B169" s="6" t="s">
        <v>5236</v>
      </c>
      <c r="C169" s="46" t="n">
        <f aca="false">Calib!D248</f>
        <v>5802.00777128097</v>
      </c>
      <c r="D169" s="48" t="n">
        <f aca="false">SRC_PERF_080</f>
        <v>8987.2</v>
      </c>
      <c r="E169" s="244" t="n">
        <f aca="false">IF(AND(ISNUMBER(C169),ISNUMBER(D169)),IF(D169&gt;0,C169/D169,"—"),"—")</f>
        <v>0.645585696466193</v>
      </c>
      <c r="F169" s="237" t="n">
        <f aca="false">IF(AND(ISNUMBER(E169),ISNUMBER(H169)),IF(AND(E169&gt;=H169,IF(ISNUMBER(I169),E169&lt;=I169,TRUE())),1,0),"—")</f>
        <v>1</v>
      </c>
      <c r="G169" s="21" t="s">
        <v>495</v>
      </c>
      <c r="H169" s="211" t="n">
        <v>0.5</v>
      </c>
      <c r="I169" s="211" t="n">
        <v>2</v>
      </c>
      <c r="J169" s="88" t="s">
        <v>5237</v>
      </c>
    </row>
    <row r="170" customFormat="false" ht="450" hidden="false" customHeight="true" outlineLevel="0" collapsed="false">
      <c r="A170" s="30" t="s">
        <v>5238</v>
      </c>
      <c r="B170" s="6" t="s">
        <v>5239</v>
      </c>
      <c r="C170" s="46" t="n">
        <f aca="false">Calib!E248</f>
        <v>719.536983133322</v>
      </c>
      <c r="D170" s="48" t="n">
        <f aca="false">SRC_PERF_081</f>
        <v>1436.2</v>
      </c>
      <c r="E170" s="244" t="n">
        <f aca="false">IF(AND(ISNUMBER(C170),ISNUMBER(D170)),IF(D170&gt;0,C170/D170,"—"),"—")</f>
        <v>0.501000545281522</v>
      </c>
      <c r="F170" s="237" t="n">
        <f aca="false">IF(AND(ISNUMBER(E170),ISNUMBER(H170)),IF(AND(E170&gt;=H170,IF(ISNUMBER(I170),E170&lt;=I170,TRUE())),1,0),"—")</f>
        <v>1</v>
      </c>
      <c r="G170" s="21" t="s">
        <v>495</v>
      </c>
      <c r="H170" s="211" t="n">
        <v>0.5</v>
      </c>
      <c r="I170" s="211" t="n">
        <v>2</v>
      </c>
      <c r="J170" s="88" t="s">
        <v>5240</v>
      </c>
    </row>
    <row r="171" customFormat="false" ht="476.25" hidden="false" customHeight="true" outlineLevel="0" collapsed="false">
      <c r="A171" s="30" t="s">
        <v>5241</v>
      </c>
      <c r="B171" s="5" t="s">
        <v>5242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4" t="n">
        <f aca="false">IF(AND(ISNUMBER(C171),ISNUMBER(D171)),IF(D171&gt;0,C171,1),"—")</f>
        <v>0</v>
      </c>
      <c r="F171" s="237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4880</v>
      </c>
      <c r="H171" s="32" t="n">
        <v>0</v>
      </c>
      <c r="I171" s="32" t="n">
        <v>0</v>
      </c>
      <c r="J171" s="88" t="s">
        <v>5243</v>
      </c>
    </row>
    <row r="172" customFormat="false" ht="15" hidden="false" customHeight="true" outlineLevel="0" collapsed="false">
      <c r="A172" s="30" t="s">
        <v>5244</v>
      </c>
      <c r="B172" s="6" t="s">
        <v>5245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4" t="n">
        <f aca="false">IF(ISNUMBER(C172),C172,"—")</f>
        <v>0</v>
      </c>
      <c r="F172" s="237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4880</v>
      </c>
      <c r="H172" s="245" t="n">
        <v>0</v>
      </c>
      <c r="I172" s="245" t="n">
        <v>1E-009</v>
      </c>
      <c r="J172" s="88" t="s">
        <v>5246</v>
      </c>
    </row>
    <row r="173" customFormat="false" ht="15" hidden="false" customHeight="true" outlineLevel="0" collapsed="false">
      <c r="A173" s="30" t="s">
        <v>5247</v>
      </c>
      <c r="B173" s="5" t="s">
        <v>5248</v>
      </c>
      <c r="C173" s="46" t="n">
        <f aca="false">IF(COUNT(Cap_In!$C$175:$E$175)=3,MAX(Cap_In!$C$175:$E$175),"—")</f>
        <v>0.245362088692091</v>
      </c>
      <c r="D173" s="47" t="n">
        <v>1</v>
      </c>
      <c r="E173" s="244" t="n">
        <f aca="false">IF(AND(ISNUMBER(C173),ISNUMBER(D173)),IF(D173&gt;0,C173/D173,"—"),"—")</f>
        <v>0.245362088692091</v>
      </c>
      <c r="F173" s="237" t="n">
        <f aca="false">IF(AND(ISNUMBER(E173),ISNUMBER(H173)),IF(AND(E173&gt;=H173,IF(ISNUMBER(I173),E173&lt;=I173,TRUE())),1,0),"—")</f>
        <v>1</v>
      </c>
      <c r="G173" s="21" t="s">
        <v>495</v>
      </c>
      <c r="H173" s="211" t="n">
        <v>0</v>
      </c>
      <c r="I173" s="211" t="n">
        <v>1</v>
      </c>
      <c r="J173" s="88" t="s">
        <v>5249</v>
      </c>
    </row>
    <row r="174" customFormat="false" ht="114.75" hidden="false" customHeight="true" outlineLevel="0" collapsed="false">
      <c r="A174" s="30" t="s">
        <v>5250</v>
      </c>
      <c r="B174" s="6" t="s">
        <v>5251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4" t="n">
        <f aca="false">IF(ISNUMBER(C174),C174,"—")</f>
        <v>0</v>
      </c>
      <c r="F174" s="237" t="n">
        <f aca="false">IF(AND(ISNUMBER(E174),ISNUMBER(H174)),IF(AND(E174&gt;=H174,IF(ISNUMBER(I174),E174&lt;=I174,TRUE())),1,0),"—")</f>
        <v>1</v>
      </c>
      <c r="G174" s="21" t="s">
        <v>495</v>
      </c>
      <c r="H174" s="245" t="n">
        <v>0</v>
      </c>
      <c r="I174" s="245" t="n">
        <v>1E-009</v>
      </c>
      <c r="J174" s="88" t="s">
        <v>5252</v>
      </c>
    </row>
    <row r="175" customFormat="false" ht="165" hidden="false" customHeight="true" outlineLevel="0" collapsed="false">
      <c r="A175" s="208"/>
      <c r="B175" s="246"/>
      <c r="C175" s="208"/>
      <c r="D175" s="32"/>
      <c r="E175" s="247"/>
    </row>
    <row r="176" customFormat="false" ht="168" hidden="false" customHeight="true" outlineLevel="0" collapsed="false">
      <c r="A176" s="43" t="s">
        <v>5253</v>
      </c>
      <c r="B176" s="248"/>
      <c r="C176" s="249"/>
      <c r="D176" s="250"/>
      <c r="E176" s="251"/>
      <c r="F176" s="15"/>
    </row>
    <row r="177" customFormat="false" ht="15" hidden="false" customHeight="true" outlineLevel="0" collapsed="false">
      <c r="A177" s="9" t="s">
        <v>5027</v>
      </c>
      <c r="B177" s="9" t="s">
        <v>5028</v>
      </c>
      <c r="C177" s="9" t="s">
        <v>5029</v>
      </c>
      <c r="D177" s="9" t="s">
        <v>5030</v>
      </c>
      <c r="E177" s="9" t="s">
        <v>5031</v>
      </c>
    </row>
    <row r="178" customFormat="false" ht="114.75" hidden="false" customHeight="true" outlineLevel="0" collapsed="false">
      <c r="A178" s="30" t="s">
        <v>5254</v>
      </c>
      <c r="B178" s="5" t="s">
        <v>5255</v>
      </c>
      <c r="C178" s="30" t="s">
        <v>5063</v>
      </c>
      <c r="D178" s="32" t="n">
        <f aca="false">IF(RNG_Version=RNG_Current,0,1)</f>
        <v>0</v>
      </c>
      <c r="E178" s="45" t="s">
        <v>5256</v>
      </c>
    </row>
    <row r="179" customFormat="false" ht="165" hidden="false" customHeight="true" outlineLevel="0" collapsed="false">
      <c r="A179" s="30" t="s">
        <v>5257</v>
      </c>
      <c r="B179" s="5" t="s">
        <v>5258</v>
      </c>
      <c r="C179" s="30" t="s">
        <v>5063</v>
      </c>
      <c r="D179" s="32" t="n">
        <f aca="false">IF(RNG_OutCount&gt;0,1,0)</f>
        <v>0</v>
      </c>
      <c r="E179" s="45" t="s">
        <v>5259</v>
      </c>
    </row>
    <row r="180" customFormat="false" ht="168" hidden="false" customHeight="true" outlineLevel="0" collapsed="false">
      <c r="A180" s="30" t="s">
        <v>5260</v>
      </c>
      <c r="B180" s="5" t="s">
        <v>5261</v>
      </c>
      <c r="C180" s="30" t="s">
        <v>5063</v>
      </c>
      <c r="D180" s="32" t="n">
        <f aca="false">IF(Alloc!$C$404&gt;0,1,0)</f>
        <v>0</v>
      </c>
      <c r="E180" s="45" t="s">
        <v>5262</v>
      </c>
    </row>
    <row r="181" customFormat="false" ht="162.65" hidden="false" customHeight="false" outlineLevel="0" collapsed="false">
      <c r="A181" s="62" t="s">
        <v>5263</v>
      </c>
      <c r="B181" s="5" t="s">
        <v>5264</v>
      </c>
      <c r="C181" s="62" t="s">
        <v>5063</v>
      </c>
      <c r="D181" s="105" t="n">
        <f aca="false">IF(RNG_Dem004_OutCount&gt;0,1,0)</f>
        <v>0</v>
      </c>
      <c r="E181" s="59" t="s">
        <v>5265</v>
      </c>
    </row>
    <row r="183" customFormat="false" ht="15" hidden="false" customHeight="false" outlineLevel="0" collapsed="false">
      <c r="A183" s="77" t="s">
        <v>5266</v>
      </c>
      <c r="B183" s="71"/>
      <c r="C183" s="71"/>
      <c r="D183" s="71"/>
      <c r="E183" s="71"/>
      <c r="F183" s="71"/>
    </row>
    <row r="184" customFormat="false" ht="15" hidden="false" customHeight="false" outlineLevel="0" collapsed="false">
      <c r="A184" s="60" t="s">
        <v>5027</v>
      </c>
      <c r="B184" s="60" t="s">
        <v>5028</v>
      </c>
      <c r="C184" s="60" t="s">
        <v>5029</v>
      </c>
      <c r="D184" s="60" t="s">
        <v>382</v>
      </c>
      <c r="E184" s="60" t="s">
        <v>383</v>
      </c>
    </row>
    <row r="185" customFormat="false" ht="44" hidden="false" customHeight="false" outlineLevel="0" collapsed="false">
      <c r="A185" s="62" t="s">
        <v>5267</v>
      </c>
      <c r="B185" s="6" t="s">
        <v>5268</v>
      </c>
      <c r="C185" s="62" t="s">
        <v>5070</v>
      </c>
      <c r="D185" s="107" t="n">
        <f aca="false">AL_KappaCalc/AL_Kappa</f>
        <v>0.852117502107205</v>
      </c>
      <c r="E185" s="59" t="s">
        <v>5269</v>
      </c>
    </row>
    <row r="186" customFormat="false" ht="44" hidden="false" customHeight="false" outlineLevel="0" collapsed="false">
      <c r="A186" s="62" t="s">
        <v>5270</v>
      </c>
      <c r="B186" s="6" t="s">
        <v>5271</v>
      </c>
      <c r="C186" s="62" t="s">
        <v>5070</v>
      </c>
      <c r="D186" s="105" t="n">
        <f aca="false">AL_KappaCalcIn</f>
        <v>1</v>
      </c>
      <c r="E186" s="59" t="s">
        <v>5272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2" t="s">
        <v>5273</v>
      </c>
    </row>
    <row r="2" customFormat="false" ht="15" hidden="false" customHeight="true" outlineLevel="0" collapsed="false">
      <c r="A2" s="45" t="s">
        <v>5274</v>
      </c>
    </row>
    <row r="4" customFormat="false" ht="43.5" hidden="false" customHeight="true" outlineLevel="0" collapsed="false">
      <c r="A4" s="85" t="s">
        <v>4686</v>
      </c>
      <c r="B4" s="253" t="s">
        <v>5275</v>
      </c>
      <c r="C4" s="253" t="s">
        <v>12</v>
      </c>
      <c r="D4" s="253" t="s">
        <v>4687</v>
      </c>
      <c r="E4" s="253" t="s">
        <v>4688</v>
      </c>
      <c r="F4" s="253" t="s">
        <v>4689</v>
      </c>
      <c r="G4" s="253" t="s">
        <v>5276</v>
      </c>
      <c r="H4" s="85" t="s">
        <v>5277</v>
      </c>
      <c r="I4" s="253" t="s">
        <v>5278</v>
      </c>
      <c r="J4" s="253" t="s">
        <v>5279</v>
      </c>
      <c r="K4" s="253" t="s">
        <v>1440</v>
      </c>
      <c r="L4" s="253" t="s">
        <v>1441</v>
      </c>
      <c r="M4" s="253" t="s">
        <v>5280</v>
      </c>
      <c r="N4" s="253" t="s">
        <v>5281</v>
      </c>
      <c r="O4" s="253" t="s">
        <v>5282</v>
      </c>
      <c r="P4" s="85" t="s">
        <v>4690</v>
      </c>
      <c r="Q4" s="253" t="s">
        <v>5166</v>
      </c>
      <c r="R4" s="85" t="s">
        <v>5283</v>
      </c>
      <c r="S4" s="85" t="s">
        <v>5284</v>
      </c>
      <c r="T4" s="85" t="s">
        <v>4691</v>
      </c>
      <c r="U4" s="253" t="s">
        <v>5285</v>
      </c>
      <c r="V4" s="85" t="s">
        <v>5286</v>
      </c>
      <c r="W4" s="85" t="s">
        <v>5287</v>
      </c>
      <c r="X4" s="85" t="s">
        <v>5288</v>
      </c>
      <c r="Y4" s="85" t="s">
        <v>5289</v>
      </c>
      <c r="Z4" s="85" t="s">
        <v>5290</v>
      </c>
      <c r="AA4" s="85" t="s">
        <v>5291</v>
      </c>
      <c r="AB4" s="85" t="s">
        <v>5292</v>
      </c>
      <c r="AC4" s="85" t="s">
        <v>5293</v>
      </c>
      <c r="AD4" s="85" t="s">
        <v>5294</v>
      </c>
      <c r="AE4" s="85" t="s">
        <v>5295</v>
      </c>
      <c r="AF4" s="85" t="s">
        <v>5296</v>
      </c>
      <c r="AG4" s="85" t="s">
        <v>5297</v>
      </c>
      <c r="AH4" s="85" t="s">
        <v>5298</v>
      </c>
      <c r="AI4" s="85" t="s">
        <v>5299</v>
      </c>
      <c r="AJ4" s="85" t="s">
        <v>5300</v>
      </c>
      <c r="AK4" s="238" t="s">
        <v>5301</v>
      </c>
      <c r="AL4" s="238" t="s">
        <v>5302</v>
      </c>
    </row>
    <row r="5" customFormat="false" ht="15" hidden="false" customHeight="true" outlineLevel="0" collapsed="false">
      <c r="A5" s="30" t="s">
        <v>5303</v>
      </c>
      <c r="B5" s="254" t="s">
        <v>5304</v>
      </c>
      <c r="C5" s="30" t="s">
        <v>3143</v>
      </c>
      <c r="D5" s="30" t="s">
        <v>3144</v>
      </c>
      <c r="E5" s="6" t="s">
        <v>120</v>
      </c>
      <c r="F5" s="30" t="s">
        <v>122</v>
      </c>
      <c r="G5" s="254" t="s">
        <v>5305</v>
      </c>
      <c r="H5" s="30" t="s">
        <v>814</v>
      </c>
      <c r="I5" s="6" t="s">
        <v>814</v>
      </c>
      <c r="J5" s="30" t="s">
        <v>5306</v>
      </c>
      <c r="K5" s="254"/>
      <c r="L5" s="254"/>
      <c r="M5" s="30" t="s">
        <v>814</v>
      </c>
      <c r="N5" s="6" t="s">
        <v>5307</v>
      </c>
      <c r="O5" s="6" t="s">
        <v>814</v>
      </c>
      <c r="P5" s="254" t="s">
        <v>5308</v>
      </c>
      <c r="Q5" s="49" t="n">
        <f aca="false">Inputs!E5</f>
        <v>1</v>
      </c>
      <c r="R5" s="30" t="s">
        <v>814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5309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5310</v>
      </c>
      <c r="B6" s="254" t="s">
        <v>5304</v>
      </c>
      <c r="C6" s="30" t="s">
        <v>3143</v>
      </c>
      <c r="D6" s="30" t="s">
        <v>3145</v>
      </c>
      <c r="E6" s="20" t="s">
        <v>125</v>
      </c>
      <c r="F6" s="30" t="s">
        <v>122</v>
      </c>
      <c r="G6" s="254" t="s">
        <v>5305</v>
      </c>
      <c r="H6" s="30" t="s">
        <v>814</v>
      </c>
      <c r="I6" s="6" t="s">
        <v>814</v>
      </c>
      <c r="J6" s="30" t="s">
        <v>5311</v>
      </c>
      <c r="K6" s="254"/>
      <c r="L6" s="254"/>
      <c r="M6" s="30" t="s">
        <v>814</v>
      </c>
      <c r="N6" s="6" t="s">
        <v>5312</v>
      </c>
      <c r="O6" s="6" t="s">
        <v>814</v>
      </c>
      <c r="P6" s="254" t="s">
        <v>5308</v>
      </c>
      <c r="Q6" s="49" t="n">
        <f aca="false">Inputs!E6</f>
        <v>2</v>
      </c>
      <c r="R6" s="30" t="s">
        <v>814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5309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5313</v>
      </c>
      <c r="B7" s="254" t="s">
        <v>5304</v>
      </c>
      <c r="C7" s="30" t="s">
        <v>3143</v>
      </c>
      <c r="D7" s="30" t="s">
        <v>3146</v>
      </c>
      <c r="E7" s="20" t="s">
        <v>130</v>
      </c>
      <c r="F7" s="30" t="s">
        <v>132</v>
      </c>
      <c r="G7" s="254" t="s">
        <v>115</v>
      </c>
      <c r="H7" s="30" t="s">
        <v>814</v>
      </c>
      <c r="I7" s="6" t="s">
        <v>814</v>
      </c>
      <c r="J7" s="30" t="s">
        <v>5306</v>
      </c>
      <c r="K7" s="199" t="n">
        <f aca="false">Sensitivity!$X$8</f>
        <v>0.05</v>
      </c>
      <c r="L7" s="199" t="n">
        <f aca="false">Sensitivity!$Y$8</f>
        <v>0.12</v>
      </c>
      <c r="M7" s="30" t="s">
        <v>5314</v>
      </c>
      <c r="N7" s="255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814</v>
      </c>
      <c r="P7" s="254" t="s">
        <v>1440</v>
      </c>
      <c r="Q7" s="199" t="n">
        <f aca="false">Inputs!E8</f>
        <v>0.08</v>
      </c>
      <c r="R7" s="30" t="s">
        <v>814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5309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5315</v>
      </c>
      <c r="B8" s="254" t="s">
        <v>5304</v>
      </c>
      <c r="C8" s="30" t="s">
        <v>3143</v>
      </c>
      <c r="D8" s="30" t="s">
        <v>3148</v>
      </c>
      <c r="E8" s="6" t="s">
        <v>135</v>
      </c>
      <c r="F8" s="30" t="s">
        <v>132</v>
      </c>
      <c r="G8" s="254" t="s">
        <v>115</v>
      </c>
      <c r="H8" s="30" t="s">
        <v>5316</v>
      </c>
      <c r="I8" s="246" t="s">
        <v>5317</v>
      </c>
      <c r="J8" s="30" t="s">
        <v>5318</v>
      </c>
      <c r="K8" s="195" t="n">
        <f aca="false">Inputs!$D$9</f>
        <v>1.1</v>
      </c>
      <c r="L8" s="195" t="n">
        <f aca="false">Inputs!$F$9</f>
        <v>1.3</v>
      </c>
      <c r="M8" s="30" t="s">
        <v>814</v>
      </c>
      <c r="N8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5319</v>
      </c>
      <c r="P8" s="254" t="s">
        <v>1440</v>
      </c>
      <c r="Q8" s="195" t="n">
        <f aca="false">Inputs!E9</f>
        <v>1.2</v>
      </c>
      <c r="R8" s="187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5309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5320</v>
      </c>
      <c r="B9" s="254" t="s">
        <v>5304</v>
      </c>
      <c r="C9" s="30" t="s">
        <v>3143</v>
      </c>
      <c r="D9" s="30" t="s">
        <v>3147</v>
      </c>
      <c r="E9" s="6" t="s">
        <v>135</v>
      </c>
      <c r="F9" s="30" t="s">
        <v>132</v>
      </c>
      <c r="G9" s="254" t="s">
        <v>1440</v>
      </c>
      <c r="H9" s="30" t="s">
        <v>5316</v>
      </c>
      <c r="I9" s="246" t="s">
        <v>5317</v>
      </c>
      <c r="J9" s="30" t="s">
        <v>5318</v>
      </c>
      <c r="K9" s="254"/>
      <c r="L9" s="254"/>
      <c r="M9" s="30" t="s">
        <v>814</v>
      </c>
      <c r="N9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5319</v>
      </c>
      <c r="P9" s="254" t="s">
        <v>1440</v>
      </c>
      <c r="Q9" s="195" t="n">
        <f aca="false">Inputs!D9</f>
        <v>1.1</v>
      </c>
      <c r="R9" s="187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5309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5321</v>
      </c>
      <c r="B10" s="254" t="s">
        <v>5304</v>
      </c>
      <c r="C10" s="30" t="s">
        <v>3143</v>
      </c>
      <c r="D10" s="30" t="s">
        <v>3149</v>
      </c>
      <c r="E10" s="6" t="s">
        <v>135</v>
      </c>
      <c r="F10" s="30" t="s">
        <v>132</v>
      </c>
      <c r="G10" s="254" t="s">
        <v>1441</v>
      </c>
      <c r="H10" s="30" t="s">
        <v>5316</v>
      </c>
      <c r="I10" s="246" t="s">
        <v>5317</v>
      </c>
      <c r="J10" s="30" t="s">
        <v>5318</v>
      </c>
      <c r="K10" s="254"/>
      <c r="L10" s="254"/>
      <c r="M10" s="30" t="s">
        <v>814</v>
      </c>
      <c r="N10" s="255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5319</v>
      </c>
      <c r="P10" s="254" t="s">
        <v>1440</v>
      </c>
      <c r="Q10" s="195" t="n">
        <f aca="false">Inputs!F9</f>
        <v>1.3</v>
      </c>
      <c r="R10" s="187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5309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5322</v>
      </c>
      <c r="B11" s="254" t="s">
        <v>5304</v>
      </c>
      <c r="C11" s="30" t="s">
        <v>3143</v>
      </c>
      <c r="D11" s="30" t="s">
        <v>3151</v>
      </c>
      <c r="E11" s="20" t="s">
        <v>139</v>
      </c>
      <c r="F11" s="30" t="s">
        <v>132</v>
      </c>
      <c r="G11" s="254" t="s">
        <v>115</v>
      </c>
      <c r="H11" s="30" t="s">
        <v>814</v>
      </c>
      <c r="I11" s="6" t="s">
        <v>814</v>
      </c>
      <c r="J11" s="30" t="s">
        <v>5311</v>
      </c>
      <c r="K11" s="199" t="n">
        <f aca="false">Inputs!$D$10</f>
        <v>0.7</v>
      </c>
      <c r="L11" s="199" t="n">
        <f aca="false">Inputs!$F$10</f>
        <v>0.9</v>
      </c>
      <c r="M11" s="30" t="s">
        <v>814</v>
      </c>
      <c r="N11" s="255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814</v>
      </c>
      <c r="P11" s="254" t="s">
        <v>1440</v>
      </c>
      <c r="Q11" s="199" t="n">
        <f aca="false">Inputs!E10</f>
        <v>0.8</v>
      </c>
      <c r="R11" s="30" t="s">
        <v>814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5309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5323</v>
      </c>
      <c r="B12" s="254" t="s">
        <v>5304</v>
      </c>
      <c r="C12" s="30" t="s">
        <v>3143</v>
      </c>
      <c r="D12" s="30" t="s">
        <v>3150</v>
      </c>
      <c r="E12" s="20" t="s">
        <v>139</v>
      </c>
      <c r="F12" s="30" t="s">
        <v>132</v>
      </c>
      <c r="G12" s="254" t="s">
        <v>1440</v>
      </c>
      <c r="H12" s="30" t="s">
        <v>814</v>
      </c>
      <c r="I12" s="6" t="s">
        <v>814</v>
      </c>
      <c r="J12" s="30" t="s">
        <v>5311</v>
      </c>
      <c r="K12" s="254"/>
      <c r="L12" s="254"/>
      <c r="M12" s="30" t="s">
        <v>814</v>
      </c>
      <c r="N12" s="255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814</v>
      </c>
      <c r="P12" s="254" t="s">
        <v>1440</v>
      </c>
      <c r="Q12" s="199" t="n">
        <f aca="false">Inputs!D10</f>
        <v>0.7</v>
      </c>
      <c r="R12" s="30" t="s">
        <v>814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5309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5324</v>
      </c>
      <c r="B13" s="254" t="s">
        <v>5304</v>
      </c>
      <c r="C13" s="30" t="s">
        <v>3143</v>
      </c>
      <c r="D13" s="30" t="s">
        <v>3152</v>
      </c>
      <c r="E13" s="20" t="s">
        <v>139</v>
      </c>
      <c r="F13" s="30" t="s">
        <v>132</v>
      </c>
      <c r="G13" s="254" t="s">
        <v>1441</v>
      </c>
      <c r="H13" s="30" t="s">
        <v>814</v>
      </c>
      <c r="I13" s="6" t="s">
        <v>814</v>
      </c>
      <c r="J13" s="30" t="s">
        <v>5311</v>
      </c>
      <c r="K13" s="254"/>
      <c r="L13" s="254"/>
      <c r="M13" s="30" t="s">
        <v>814</v>
      </c>
      <c r="N13" s="255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814</v>
      </c>
      <c r="P13" s="254" t="s">
        <v>1440</v>
      </c>
      <c r="Q13" s="199" t="n">
        <f aca="false">Inputs!F10</f>
        <v>0.9</v>
      </c>
      <c r="R13" s="30" t="s">
        <v>814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5309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5325</v>
      </c>
      <c r="B14" s="254" t="s">
        <v>5304</v>
      </c>
      <c r="C14" s="30" t="s">
        <v>3143</v>
      </c>
      <c r="D14" s="30" t="s">
        <v>3154</v>
      </c>
      <c r="E14" s="20" t="s">
        <v>141</v>
      </c>
      <c r="F14" s="30" t="s">
        <v>137</v>
      </c>
      <c r="G14" s="254" t="s">
        <v>115</v>
      </c>
      <c r="H14" s="30" t="s">
        <v>5326</v>
      </c>
      <c r="I14" s="20" t="s">
        <v>5327</v>
      </c>
      <c r="J14" s="30" t="s">
        <v>814</v>
      </c>
      <c r="K14" s="195" t="n">
        <f aca="false">Inputs!$D$11</f>
        <v>0.06</v>
      </c>
      <c r="L14" s="195" t="n">
        <f aca="false">Inputs!$F$11</f>
        <v>0.1</v>
      </c>
      <c r="M14" s="30" t="s">
        <v>814</v>
      </c>
      <c r="N14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814</v>
      </c>
      <c r="P14" s="254" t="s">
        <v>1440</v>
      </c>
      <c r="Q14" s="195" t="n">
        <f aca="false">Inputs!E11</f>
        <v>0.08</v>
      </c>
      <c r="R14" s="187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5309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5328</v>
      </c>
      <c r="B15" s="254" t="s">
        <v>5304</v>
      </c>
      <c r="C15" s="30" t="s">
        <v>3143</v>
      </c>
      <c r="D15" s="30" t="s">
        <v>3153</v>
      </c>
      <c r="E15" s="20" t="s">
        <v>141</v>
      </c>
      <c r="F15" s="30" t="s">
        <v>137</v>
      </c>
      <c r="G15" s="254" t="s">
        <v>1440</v>
      </c>
      <c r="H15" s="30" t="s">
        <v>5326</v>
      </c>
      <c r="I15" s="20" t="s">
        <v>5327</v>
      </c>
      <c r="J15" s="30" t="s">
        <v>814</v>
      </c>
      <c r="K15" s="254"/>
      <c r="L15" s="254"/>
      <c r="M15" s="30" t="s">
        <v>814</v>
      </c>
      <c r="N15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814</v>
      </c>
      <c r="P15" s="254" t="s">
        <v>1440</v>
      </c>
      <c r="Q15" s="195" t="n">
        <f aca="false">Inputs!D11</f>
        <v>0.06</v>
      </c>
      <c r="R15" s="187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5309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5329</v>
      </c>
      <c r="B16" s="254" t="s">
        <v>5304</v>
      </c>
      <c r="C16" s="30" t="s">
        <v>3143</v>
      </c>
      <c r="D16" s="30" t="s">
        <v>3155</v>
      </c>
      <c r="E16" s="20" t="s">
        <v>141</v>
      </c>
      <c r="F16" s="30" t="s">
        <v>137</v>
      </c>
      <c r="G16" s="254" t="s">
        <v>1441</v>
      </c>
      <c r="H16" s="30" t="s">
        <v>5326</v>
      </c>
      <c r="I16" s="20" t="s">
        <v>5327</v>
      </c>
      <c r="J16" s="30" t="s">
        <v>814</v>
      </c>
      <c r="K16" s="254"/>
      <c r="L16" s="254"/>
      <c r="M16" s="30" t="s">
        <v>814</v>
      </c>
      <c r="N16" s="255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814</v>
      </c>
      <c r="P16" s="254" t="s">
        <v>1440</v>
      </c>
      <c r="Q16" s="195" t="n">
        <f aca="false">Inputs!F11</f>
        <v>0.1</v>
      </c>
      <c r="R16" s="187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5309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5330</v>
      </c>
      <c r="B17" s="254" t="s">
        <v>5304</v>
      </c>
      <c r="C17" s="30" t="s">
        <v>3143</v>
      </c>
      <c r="D17" s="30" t="s">
        <v>3157</v>
      </c>
      <c r="E17" s="6" t="s">
        <v>146</v>
      </c>
      <c r="F17" s="30" t="s">
        <v>137</v>
      </c>
      <c r="G17" s="254" t="s">
        <v>115</v>
      </c>
      <c r="H17" s="30" t="s">
        <v>5331</v>
      </c>
      <c r="I17" s="20" t="s">
        <v>5327</v>
      </c>
      <c r="J17" s="30" t="s">
        <v>814</v>
      </c>
      <c r="K17" s="199" t="n">
        <f aca="false">Inputs!$D$13</f>
        <v>0.05</v>
      </c>
      <c r="L17" s="199" t="n">
        <f aca="false">Inputs!$F$13</f>
        <v>0.15</v>
      </c>
      <c r="M17" s="30" t="s">
        <v>814</v>
      </c>
      <c r="N17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814</v>
      </c>
      <c r="P17" s="254" t="s">
        <v>1440</v>
      </c>
      <c r="Q17" s="199" t="n">
        <f aca="false">Inputs!E13</f>
        <v>0.1</v>
      </c>
      <c r="R17" s="187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5309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5332</v>
      </c>
      <c r="B18" s="254" t="s">
        <v>5304</v>
      </c>
      <c r="C18" s="30" t="s">
        <v>3143</v>
      </c>
      <c r="D18" s="30" t="s">
        <v>3156</v>
      </c>
      <c r="E18" s="6" t="s">
        <v>146</v>
      </c>
      <c r="F18" s="30" t="s">
        <v>137</v>
      </c>
      <c r="G18" s="254" t="s">
        <v>1440</v>
      </c>
      <c r="H18" s="30" t="s">
        <v>5331</v>
      </c>
      <c r="I18" s="20" t="s">
        <v>5327</v>
      </c>
      <c r="J18" s="30" t="s">
        <v>814</v>
      </c>
      <c r="K18" s="254"/>
      <c r="L18" s="254"/>
      <c r="M18" s="30" t="s">
        <v>814</v>
      </c>
      <c r="N18" s="255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814</v>
      </c>
      <c r="P18" s="254" t="s">
        <v>1440</v>
      </c>
      <c r="Q18" s="199" t="n">
        <f aca="false">Inputs!D13</f>
        <v>0.05</v>
      </c>
      <c r="R18" s="187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5309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5333</v>
      </c>
      <c r="B19" s="254" t="s">
        <v>5304</v>
      </c>
      <c r="C19" s="30" t="s">
        <v>3143</v>
      </c>
      <c r="D19" s="30" t="s">
        <v>3221</v>
      </c>
      <c r="E19" s="6" t="s">
        <v>146</v>
      </c>
      <c r="F19" s="254" t="s">
        <v>377</v>
      </c>
      <c r="G19" s="254" t="s">
        <v>5305</v>
      </c>
      <c r="H19" s="30" t="s">
        <v>5334</v>
      </c>
      <c r="I19" s="20" t="s">
        <v>5335</v>
      </c>
      <c r="J19" s="30" t="s">
        <v>814</v>
      </c>
      <c r="K19" s="254"/>
      <c r="L19" s="254"/>
      <c r="M19" s="30" t="s">
        <v>814</v>
      </c>
      <c r="N19" s="20" t="s">
        <v>5336</v>
      </c>
      <c r="O19" s="6" t="s">
        <v>814</v>
      </c>
      <c r="P19" s="254" t="s">
        <v>1440</v>
      </c>
      <c r="Q19" s="199" t="n">
        <f aca="false">Inputs!F13</f>
        <v>0.15</v>
      </c>
      <c r="R19" s="187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5337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5338</v>
      </c>
      <c r="B20" s="254" t="s">
        <v>5304</v>
      </c>
      <c r="C20" s="30" t="s">
        <v>3143</v>
      </c>
      <c r="D20" s="30" t="s">
        <v>3159</v>
      </c>
      <c r="E20" s="20" t="s">
        <v>148</v>
      </c>
      <c r="F20" s="30" t="s">
        <v>132</v>
      </c>
      <c r="G20" s="254" t="s">
        <v>115</v>
      </c>
      <c r="H20" s="30" t="s">
        <v>814</v>
      </c>
      <c r="I20" s="6" t="s">
        <v>814</v>
      </c>
      <c r="J20" s="30" t="s">
        <v>5339</v>
      </c>
      <c r="K20" s="49" t="n">
        <f aca="false">Inputs!$D$14</f>
        <v>300</v>
      </c>
      <c r="L20" s="49" t="n">
        <f aca="false">Inputs!$F$14</f>
        <v>800</v>
      </c>
      <c r="M20" s="30" t="s">
        <v>814</v>
      </c>
      <c r="N20" s="255" t="str">
        <f aca="false">Inputs!$H$14</f>
        <v>v4 約 $350/GPU（$25K/架）</v>
      </c>
      <c r="O20" s="6" t="s">
        <v>814</v>
      </c>
      <c r="P20" s="254" t="s">
        <v>1440</v>
      </c>
      <c r="Q20" s="49" t="n">
        <f aca="false">Inputs!E14</f>
        <v>500</v>
      </c>
      <c r="R20" s="30" t="s">
        <v>814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5309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5340</v>
      </c>
      <c r="B21" s="254" t="s">
        <v>5304</v>
      </c>
      <c r="C21" s="30" t="s">
        <v>3143</v>
      </c>
      <c r="D21" s="30" t="s">
        <v>3158</v>
      </c>
      <c r="E21" s="20" t="s">
        <v>148</v>
      </c>
      <c r="F21" s="30" t="s">
        <v>132</v>
      </c>
      <c r="G21" s="254" t="s">
        <v>1440</v>
      </c>
      <c r="H21" s="30" t="s">
        <v>814</v>
      </c>
      <c r="I21" s="6" t="s">
        <v>814</v>
      </c>
      <c r="J21" s="30" t="s">
        <v>5339</v>
      </c>
      <c r="K21" s="254"/>
      <c r="L21" s="254"/>
      <c r="M21" s="30" t="s">
        <v>814</v>
      </c>
      <c r="N21" s="255" t="str">
        <f aca="false">Inputs!$H$14</f>
        <v>v4 約 $350/GPU（$25K/架）</v>
      </c>
      <c r="O21" s="6" t="s">
        <v>814</v>
      </c>
      <c r="P21" s="254" t="s">
        <v>1440</v>
      </c>
      <c r="Q21" s="49" t="n">
        <f aca="false">Inputs!D14</f>
        <v>300</v>
      </c>
      <c r="R21" s="30" t="s">
        <v>814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5309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5341</v>
      </c>
      <c r="B22" s="254" t="s">
        <v>5304</v>
      </c>
      <c r="C22" s="30" t="s">
        <v>3143</v>
      </c>
      <c r="D22" s="30" t="s">
        <v>3160</v>
      </c>
      <c r="E22" s="20" t="s">
        <v>148</v>
      </c>
      <c r="F22" s="30" t="s">
        <v>132</v>
      </c>
      <c r="G22" s="254" t="s">
        <v>1441</v>
      </c>
      <c r="H22" s="30" t="s">
        <v>814</v>
      </c>
      <c r="I22" s="6" t="s">
        <v>814</v>
      </c>
      <c r="J22" s="30" t="s">
        <v>5339</v>
      </c>
      <c r="K22" s="254"/>
      <c r="L22" s="254"/>
      <c r="M22" s="30" t="s">
        <v>814</v>
      </c>
      <c r="N22" s="255" t="str">
        <f aca="false">Inputs!$H$14</f>
        <v>v4 約 $350/GPU（$25K/架）</v>
      </c>
      <c r="O22" s="6" t="s">
        <v>814</v>
      </c>
      <c r="P22" s="254" t="s">
        <v>1440</v>
      </c>
      <c r="Q22" s="49" t="n">
        <f aca="false">Inputs!F14</f>
        <v>800</v>
      </c>
      <c r="R22" s="30" t="s">
        <v>814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5309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5342</v>
      </c>
      <c r="B23" s="254" t="s">
        <v>5304</v>
      </c>
      <c r="C23" s="30" t="s">
        <v>3143</v>
      </c>
      <c r="D23" s="30" t="s">
        <v>3162</v>
      </c>
      <c r="E23" s="20" t="s">
        <v>152</v>
      </c>
      <c r="F23" s="30" t="s">
        <v>132</v>
      </c>
      <c r="G23" s="254" t="s">
        <v>115</v>
      </c>
      <c r="H23" s="30" t="s">
        <v>814</v>
      </c>
      <c r="I23" s="6" t="s">
        <v>814</v>
      </c>
      <c r="J23" s="30" t="s">
        <v>5339</v>
      </c>
      <c r="K23" s="195" t="n">
        <f aca="false">Inputs!$D$16</f>
        <v>0.02</v>
      </c>
      <c r="L23" s="195" t="n">
        <f aca="false">Inputs!$F$16</f>
        <v>0.02</v>
      </c>
      <c r="M23" s="30" t="s">
        <v>814</v>
      </c>
      <c r="N23" s="255" t="str">
        <f aca="false">Inputs!$H$16</f>
        <v>v4：100 英畝 × $200K／GW</v>
      </c>
      <c r="O23" s="6" t="s">
        <v>814</v>
      </c>
      <c r="P23" s="254" t="s">
        <v>1440</v>
      </c>
      <c r="Q23" s="195" t="n">
        <f aca="false">Inputs!E16</f>
        <v>0.02</v>
      </c>
      <c r="R23" s="30" t="s">
        <v>814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5309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5343</v>
      </c>
      <c r="B24" s="254" t="s">
        <v>5304</v>
      </c>
      <c r="C24" s="30" t="s">
        <v>3143</v>
      </c>
      <c r="D24" s="30" t="s">
        <v>3161</v>
      </c>
      <c r="E24" s="20" t="s">
        <v>152</v>
      </c>
      <c r="F24" s="30" t="s">
        <v>132</v>
      </c>
      <c r="G24" s="254" t="s">
        <v>1440</v>
      </c>
      <c r="H24" s="30" t="s">
        <v>814</v>
      </c>
      <c r="I24" s="6" t="s">
        <v>814</v>
      </c>
      <c r="J24" s="30" t="s">
        <v>5339</v>
      </c>
      <c r="K24" s="254"/>
      <c r="L24" s="254"/>
      <c r="M24" s="30" t="s">
        <v>814</v>
      </c>
      <c r="N24" s="255" t="str">
        <f aca="false">Inputs!$H$16</f>
        <v>v4：100 英畝 × $200K／GW</v>
      </c>
      <c r="O24" s="6" t="s">
        <v>814</v>
      </c>
      <c r="P24" s="254" t="s">
        <v>1440</v>
      </c>
      <c r="Q24" s="195" t="n">
        <f aca="false">Inputs!D16</f>
        <v>0.02</v>
      </c>
      <c r="R24" s="30" t="s">
        <v>814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5309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5344</v>
      </c>
      <c r="B25" s="254" t="s">
        <v>5304</v>
      </c>
      <c r="C25" s="30" t="s">
        <v>3143</v>
      </c>
      <c r="D25" s="30" t="s">
        <v>3163</v>
      </c>
      <c r="E25" s="20" t="s">
        <v>152</v>
      </c>
      <c r="F25" s="30" t="s">
        <v>132</v>
      </c>
      <c r="G25" s="254" t="s">
        <v>1441</v>
      </c>
      <c r="H25" s="30" t="s">
        <v>814</v>
      </c>
      <c r="I25" s="6" t="s">
        <v>814</v>
      </c>
      <c r="J25" s="30" t="s">
        <v>5339</v>
      </c>
      <c r="K25" s="254"/>
      <c r="L25" s="254"/>
      <c r="M25" s="30" t="s">
        <v>814</v>
      </c>
      <c r="N25" s="255" t="str">
        <f aca="false">Inputs!$H$16</f>
        <v>v4：100 英畝 × $200K／GW</v>
      </c>
      <c r="O25" s="6" t="s">
        <v>814</v>
      </c>
      <c r="P25" s="254" t="s">
        <v>1440</v>
      </c>
      <c r="Q25" s="195" t="n">
        <f aca="false">Inputs!F16</f>
        <v>0.02</v>
      </c>
      <c r="R25" s="30" t="s">
        <v>814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5309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5345</v>
      </c>
      <c r="B26" s="254" t="s">
        <v>5304</v>
      </c>
      <c r="C26" s="30" t="s">
        <v>3143</v>
      </c>
      <c r="D26" s="30" t="s">
        <v>3165</v>
      </c>
      <c r="E26" s="20" t="s">
        <v>155</v>
      </c>
      <c r="F26" s="30" t="s">
        <v>132</v>
      </c>
      <c r="G26" s="254" t="s">
        <v>115</v>
      </c>
      <c r="H26" s="30" t="s">
        <v>3938</v>
      </c>
      <c r="I26" s="246" t="s">
        <v>5346</v>
      </c>
      <c r="J26" s="30" t="s">
        <v>5339</v>
      </c>
      <c r="K26" s="195" t="n">
        <f aca="false">Inputs!$D$17</f>
        <v>3</v>
      </c>
      <c r="L26" s="195" t="n">
        <f aca="false">Inputs!$F$17</f>
        <v>4.5</v>
      </c>
      <c r="M26" s="30" t="s">
        <v>814</v>
      </c>
      <c r="N26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814</v>
      </c>
      <c r="P26" s="254" t="s">
        <v>1440</v>
      </c>
      <c r="Q26" s="195" t="n">
        <f aca="false">Inputs!E17</f>
        <v>3.6</v>
      </c>
      <c r="R26" s="187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5309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5347</v>
      </c>
      <c r="B27" s="254" t="s">
        <v>5304</v>
      </c>
      <c r="C27" s="30" t="s">
        <v>3143</v>
      </c>
      <c r="D27" s="30" t="s">
        <v>3164</v>
      </c>
      <c r="E27" s="20" t="s">
        <v>155</v>
      </c>
      <c r="F27" s="30" t="s">
        <v>132</v>
      </c>
      <c r="G27" s="254" t="s">
        <v>1440</v>
      </c>
      <c r="H27" s="30" t="s">
        <v>3938</v>
      </c>
      <c r="I27" s="246" t="s">
        <v>5346</v>
      </c>
      <c r="J27" s="30" t="s">
        <v>5339</v>
      </c>
      <c r="K27" s="254"/>
      <c r="L27" s="254"/>
      <c r="M27" s="30" t="s">
        <v>814</v>
      </c>
      <c r="N27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814</v>
      </c>
      <c r="P27" s="254" t="s">
        <v>1440</v>
      </c>
      <c r="Q27" s="195" t="n">
        <f aca="false">Inputs!D17</f>
        <v>3</v>
      </c>
      <c r="R27" s="187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5309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5348</v>
      </c>
      <c r="B28" s="254" t="s">
        <v>5304</v>
      </c>
      <c r="C28" s="30" t="s">
        <v>3143</v>
      </c>
      <c r="D28" s="30" t="s">
        <v>3166</v>
      </c>
      <c r="E28" s="20" t="s">
        <v>155</v>
      </c>
      <c r="F28" s="30" t="s">
        <v>132</v>
      </c>
      <c r="G28" s="254" t="s">
        <v>1441</v>
      </c>
      <c r="H28" s="30" t="s">
        <v>3938</v>
      </c>
      <c r="I28" s="246" t="s">
        <v>5346</v>
      </c>
      <c r="J28" s="30" t="s">
        <v>5339</v>
      </c>
      <c r="K28" s="254"/>
      <c r="L28" s="254"/>
      <c r="M28" s="30" t="s">
        <v>814</v>
      </c>
      <c r="N28" s="255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814</v>
      </c>
      <c r="P28" s="254" t="s">
        <v>1440</v>
      </c>
      <c r="Q28" s="195" t="n">
        <f aca="false">Inputs!F17</f>
        <v>4.5</v>
      </c>
      <c r="R28" s="187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5309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5349</v>
      </c>
      <c r="B29" s="254" t="s">
        <v>5304</v>
      </c>
      <c r="C29" s="30" t="s">
        <v>3143</v>
      </c>
      <c r="D29" s="30" t="s">
        <v>3168</v>
      </c>
      <c r="E29" s="20" t="s">
        <v>157</v>
      </c>
      <c r="F29" s="30" t="s">
        <v>132</v>
      </c>
      <c r="G29" s="254" t="s">
        <v>115</v>
      </c>
      <c r="H29" s="30" t="s">
        <v>3938</v>
      </c>
      <c r="I29" s="246" t="s">
        <v>5346</v>
      </c>
      <c r="J29" s="30" t="s">
        <v>5339</v>
      </c>
      <c r="K29" s="195" t="n">
        <f aca="false">Inputs!$D$18</f>
        <v>3.8</v>
      </c>
      <c r="L29" s="195" t="n">
        <f aca="false">Inputs!$F$18</f>
        <v>5.5</v>
      </c>
      <c r="M29" s="30" t="s">
        <v>814</v>
      </c>
      <c r="N29" s="20" t="s">
        <v>5350</v>
      </c>
      <c r="O29" s="6" t="s">
        <v>814</v>
      </c>
      <c r="P29" s="254" t="s">
        <v>5351</v>
      </c>
      <c r="Q29" s="195" t="n">
        <f aca="false">Inputs!E18</f>
        <v>4.5</v>
      </c>
      <c r="R29" s="187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5309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5352</v>
      </c>
      <c r="B30" s="254" t="s">
        <v>5304</v>
      </c>
      <c r="C30" s="30" t="s">
        <v>3143</v>
      </c>
      <c r="D30" s="30" t="s">
        <v>3167</v>
      </c>
      <c r="E30" s="20" t="s">
        <v>157</v>
      </c>
      <c r="F30" s="30" t="s">
        <v>132</v>
      </c>
      <c r="G30" s="254" t="s">
        <v>1440</v>
      </c>
      <c r="H30" s="30" t="s">
        <v>3938</v>
      </c>
      <c r="I30" s="246" t="s">
        <v>5346</v>
      </c>
      <c r="J30" s="30" t="s">
        <v>5339</v>
      </c>
      <c r="K30" s="254"/>
      <c r="L30" s="254"/>
      <c r="M30" s="30" t="s">
        <v>814</v>
      </c>
      <c r="N30" s="20" t="s">
        <v>5350</v>
      </c>
      <c r="O30" s="6" t="s">
        <v>814</v>
      </c>
      <c r="P30" s="254" t="s">
        <v>5351</v>
      </c>
      <c r="Q30" s="195" t="n">
        <f aca="false">Inputs!D18</f>
        <v>3.8</v>
      </c>
      <c r="R30" s="187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5309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5353</v>
      </c>
      <c r="B31" s="254" t="s">
        <v>5304</v>
      </c>
      <c r="C31" s="30" t="s">
        <v>3143</v>
      </c>
      <c r="D31" s="30" t="s">
        <v>3169</v>
      </c>
      <c r="E31" s="20" t="s">
        <v>157</v>
      </c>
      <c r="F31" s="30" t="s">
        <v>132</v>
      </c>
      <c r="G31" s="254" t="s">
        <v>1441</v>
      </c>
      <c r="H31" s="30" t="s">
        <v>3938</v>
      </c>
      <c r="I31" s="246" t="s">
        <v>5346</v>
      </c>
      <c r="J31" s="30" t="s">
        <v>5339</v>
      </c>
      <c r="K31" s="254"/>
      <c r="L31" s="254"/>
      <c r="M31" s="30" t="s">
        <v>814</v>
      </c>
      <c r="N31" s="20" t="s">
        <v>5350</v>
      </c>
      <c r="O31" s="6" t="s">
        <v>814</v>
      </c>
      <c r="P31" s="254" t="s">
        <v>5351</v>
      </c>
      <c r="Q31" s="195" t="n">
        <f aca="false">Inputs!F18</f>
        <v>5.5</v>
      </c>
      <c r="R31" s="187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5309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5354</v>
      </c>
      <c r="B32" s="254" t="s">
        <v>5304</v>
      </c>
      <c r="C32" s="30" t="s">
        <v>3143</v>
      </c>
      <c r="D32" s="30" t="s">
        <v>3171</v>
      </c>
      <c r="E32" s="20" t="s">
        <v>159</v>
      </c>
      <c r="F32" s="30" t="s">
        <v>132</v>
      </c>
      <c r="G32" s="254" t="s">
        <v>115</v>
      </c>
      <c r="H32" s="30" t="s">
        <v>814</v>
      </c>
      <c r="I32" s="6" t="s">
        <v>814</v>
      </c>
      <c r="J32" s="30" t="s">
        <v>5318</v>
      </c>
      <c r="K32" s="195" t="n">
        <f aca="false">Inputs!$D$19</f>
        <v>2</v>
      </c>
      <c r="L32" s="195" t="n">
        <f aca="false">Inputs!$F$19</f>
        <v>3.2</v>
      </c>
      <c r="M32" s="30" t="s">
        <v>814</v>
      </c>
      <c r="N32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814</v>
      </c>
      <c r="P32" s="254" t="s">
        <v>1440</v>
      </c>
      <c r="Q32" s="195" t="n">
        <f aca="false">Inputs!E19</f>
        <v>2.5</v>
      </c>
      <c r="R32" s="30" t="s">
        <v>814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5309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5355</v>
      </c>
      <c r="B33" s="254" t="s">
        <v>5304</v>
      </c>
      <c r="C33" s="30" t="s">
        <v>3143</v>
      </c>
      <c r="D33" s="30" t="s">
        <v>3170</v>
      </c>
      <c r="E33" s="20" t="s">
        <v>159</v>
      </c>
      <c r="F33" s="30" t="s">
        <v>132</v>
      </c>
      <c r="G33" s="254" t="s">
        <v>1440</v>
      </c>
      <c r="H33" s="30" t="s">
        <v>814</v>
      </c>
      <c r="I33" s="6" t="s">
        <v>814</v>
      </c>
      <c r="J33" s="30" t="s">
        <v>5318</v>
      </c>
      <c r="K33" s="254"/>
      <c r="L33" s="254"/>
      <c r="M33" s="30" t="s">
        <v>814</v>
      </c>
      <c r="N33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814</v>
      </c>
      <c r="P33" s="254" t="s">
        <v>1440</v>
      </c>
      <c r="Q33" s="195" t="n">
        <f aca="false">Inputs!D19</f>
        <v>2</v>
      </c>
      <c r="R33" s="30" t="s">
        <v>814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5309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5356</v>
      </c>
      <c r="B34" s="254" t="s">
        <v>5304</v>
      </c>
      <c r="C34" s="30" t="s">
        <v>3143</v>
      </c>
      <c r="D34" s="30" t="s">
        <v>3172</v>
      </c>
      <c r="E34" s="20" t="s">
        <v>159</v>
      </c>
      <c r="F34" s="30" t="s">
        <v>132</v>
      </c>
      <c r="G34" s="254" t="s">
        <v>1441</v>
      </c>
      <c r="H34" s="30" t="s">
        <v>814</v>
      </c>
      <c r="I34" s="6" t="s">
        <v>814</v>
      </c>
      <c r="J34" s="30" t="s">
        <v>5318</v>
      </c>
      <c r="K34" s="254"/>
      <c r="L34" s="254"/>
      <c r="M34" s="30" t="s">
        <v>814</v>
      </c>
      <c r="N34" s="255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814</v>
      </c>
      <c r="P34" s="254" t="s">
        <v>1440</v>
      </c>
      <c r="Q34" s="195" t="n">
        <f aca="false">Inputs!F19</f>
        <v>3.2</v>
      </c>
      <c r="R34" s="30" t="s">
        <v>814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5309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5357</v>
      </c>
      <c r="B35" s="254" t="s">
        <v>5304</v>
      </c>
      <c r="C35" s="30" t="s">
        <v>3143</v>
      </c>
      <c r="D35" s="30" t="s">
        <v>3174</v>
      </c>
      <c r="E35" s="20" t="s">
        <v>161</v>
      </c>
      <c r="F35" s="30" t="s">
        <v>132</v>
      </c>
      <c r="G35" s="254" t="s">
        <v>115</v>
      </c>
      <c r="H35" s="30" t="s">
        <v>3938</v>
      </c>
      <c r="I35" s="246" t="s">
        <v>5346</v>
      </c>
      <c r="J35" s="30" t="s">
        <v>5339</v>
      </c>
      <c r="K35" s="195" t="n">
        <f aca="false">Inputs!$D$20</f>
        <v>0.3</v>
      </c>
      <c r="L35" s="195" t="n">
        <f aca="false">Inputs!$F$20</f>
        <v>0.5</v>
      </c>
      <c r="M35" s="30" t="s">
        <v>814</v>
      </c>
      <c r="N35" s="20" t="s">
        <v>5358</v>
      </c>
      <c r="O35" s="6" t="s">
        <v>814</v>
      </c>
      <c r="P35" s="254" t="s">
        <v>1440</v>
      </c>
      <c r="Q35" s="195" t="n">
        <f aca="false">Inputs!E20</f>
        <v>0.4</v>
      </c>
      <c r="R35" s="187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5309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5359</v>
      </c>
      <c r="B36" s="254" t="s">
        <v>5304</v>
      </c>
      <c r="C36" s="30" t="s">
        <v>3143</v>
      </c>
      <c r="D36" s="30" t="s">
        <v>3173</v>
      </c>
      <c r="E36" s="20" t="s">
        <v>161</v>
      </c>
      <c r="F36" s="30" t="s">
        <v>132</v>
      </c>
      <c r="G36" s="254" t="s">
        <v>1440</v>
      </c>
      <c r="H36" s="30" t="s">
        <v>3938</v>
      </c>
      <c r="I36" s="246" t="s">
        <v>5346</v>
      </c>
      <c r="J36" s="30" t="s">
        <v>5339</v>
      </c>
      <c r="K36" s="254"/>
      <c r="L36" s="254"/>
      <c r="M36" s="30" t="s">
        <v>814</v>
      </c>
      <c r="N36" s="20" t="s">
        <v>5358</v>
      </c>
      <c r="O36" s="6" t="s">
        <v>814</v>
      </c>
      <c r="P36" s="254" t="s">
        <v>1440</v>
      </c>
      <c r="Q36" s="195" t="n">
        <f aca="false">Inputs!D20</f>
        <v>0.3</v>
      </c>
      <c r="R36" s="187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5309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5360</v>
      </c>
      <c r="B37" s="254" t="s">
        <v>5304</v>
      </c>
      <c r="C37" s="30" t="s">
        <v>3143</v>
      </c>
      <c r="D37" s="30" t="s">
        <v>3175</v>
      </c>
      <c r="E37" s="20" t="s">
        <v>161</v>
      </c>
      <c r="F37" s="30" t="s">
        <v>132</v>
      </c>
      <c r="G37" s="254" t="s">
        <v>1441</v>
      </c>
      <c r="H37" s="30" t="s">
        <v>3938</v>
      </c>
      <c r="I37" s="246" t="s">
        <v>5346</v>
      </c>
      <c r="J37" s="30" t="s">
        <v>5339</v>
      </c>
      <c r="K37" s="254"/>
      <c r="L37" s="254"/>
      <c r="M37" s="30" t="s">
        <v>814</v>
      </c>
      <c r="N37" s="20" t="s">
        <v>5358</v>
      </c>
      <c r="O37" s="6" t="s">
        <v>814</v>
      </c>
      <c r="P37" s="254" t="s">
        <v>1440</v>
      </c>
      <c r="Q37" s="195" t="n">
        <f aca="false">Inputs!F20</f>
        <v>0.5</v>
      </c>
      <c r="R37" s="187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5309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5361</v>
      </c>
      <c r="B38" s="254" t="s">
        <v>5304</v>
      </c>
      <c r="C38" s="30" t="s">
        <v>3143</v>
      </c>
      <c r="D38" s="30" t="s">
        <v>3177</v>
      </c>
      <c r="E38" s="20" t="s">
        <v>162</v>
      </c>
      <c r="F38" s="30" t="s">
        <v>132</v>
      </c>
      <c r="G38" s="254" t="s">
        <v>115</v>
      </c>
      <c r="H38" s="30" t="s">
        <v>3938</v>
      </c>
      <c r="I38" s="246" t="s">
        <v>5346</v>
      </c>
      <c r="J38" s="30" t="s">
        <v>5339</v>
      </c>
      <c r="K38" s="199" t="n">
        <f aca="false">Inputs!$D$21</f>
        <v>0.12</v>
      </c>
      <c r="L38" s="199" t="n">
        <f aca="false">Inputs!$F$21</f>
        <v>0.18</v>
      </c>
      <c r="M38" s="30" t="s">
        <v>814</v>
      </c>
      <c r="N38" s="6" t="s">
        <v>5362</v>
      </c>
      <c r="O38" s="6" t="s">
        <v>814</v>
      </c>
      <c r="P38" s="254" t="s">
        <v>1440</v>
      </c>
      <c r="Q38" s="199" t="n">
        <f aca="false">Inputs!E21</f>
        <v>0.15</v>
      </c>
      <c r="R38" s="187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5309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5363</v>
      </c>
      <c r="B39" s="254" t="s">
        <v>5304</v>
      </c>
      <c r="C39" s="30" t="s">
        <v>3143</v>
      </c>
      <c r="D39" s="30" t="s">
        <v>3176</v>
      </c>
      <c r="E39" s="20" t="s">
        <v>162</v>
      </c>
      <c r="F39" s="30" t="s">
        <v>132</v>
      </c>
      <c r="G39" s="254" t="s">
        <v>1440</v>
      </c>
      <c r="H39" s="30" t="s">
        <v>3938</v>
      </c>
      <c r="I39" s="246" t="s">
        <v>5346</v>
      </c>
      <c r="J39" s="30" t="s">
        <v>5339</v>
      </c>
      <c r="K39" s="254"/>
      <c r="L39" s="254"/>
      <c r="M39" s="30" t="s">
        <v>814</v>
      </c>
      <c r="N39" s="6" t="s">
        <v>5362</v>
      </c>
      <c r="O39" s="6" t="s">
        <v>814</v>
      </c>
      <c r="P39" s="254" t="s">
        <v>1440</v>
      </c>
      <c r="Q39" s="199" t="n">
        <f aca="false">Inputs!D21</f>
        <v>0.12</v>
      </c>
      <c r="R39" s="187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5309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5364</v>
      </c>
      <c r="B40" s="254" t="s">
        <v>5304</v>
      </c>
      <c r="C40" s="30" t="s">
        <v>3143</v>
      </c>
      <c r="D40" s="30" t="s">
        <v>3178</v>
      </c>
      <c r="E40" s="20" t="s">
        <v>162</v>
      </c>
      <c r="F40" s="30" t="s">
        <v>132</v>
      </c>
      <c r="G40" s="254" t="s">
        <v>1441</v>
      </c>
      <c r="H40" s="30" t="s">
        <v>3938</v>
      </c>
      <c r="I40" s="246" t="s">
        <v>5346</v>
      </c>
      <c r="J40" s="30" t="s">
        <v>5339</v>
      </c>
      <c r="K40" s="254"/>
      <c r="L40" s="254"/>
      <c r="M40" s="30" t="s">
        <v>814</v>
      </c>
      <c r="N40" s="6" t="s">
        <v>5362</v>
      </c>
      <c r="O40" s="6" t="s">
        <v>814</v>
      </c>
      <c r="P40" s="254" t="s">
        <v>1440</v>
      </c>
      <c r="Q40" s="199" t="n">
        <f aca="false">Inputs!F21</f>
        <v>0.18</v>
      </c>
      <c r="R40" s="187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5309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5365</v>
      </c>
      <c r="B41" s="254" t="s">
        <v>5304</v>
      </c>
      <c r="C41" s="30" t="s">
        <v>3143</v>
      </c>
      <c r="D41" s="30" t="s">
        <v>3184</v>
      </c>
      <c r="E41" s="6" t="s">
        <v>175</v>
      </c>
      <c r="F41" s="30" t="s">
        <v>132</v>
      </c>
      <c r="G41" s="254" t="s">
        <v>115</v>
      </c>
      <c r="H41" s="30" t="s">
        <v>814</v>
      </c>
      <c r="I41" s="6" t="s">
        <v>814</v>
      </c>
      <c r="J41" s="30" t="s">
        <v>3150</v>
      </c>
      <c r="K41" s="199" t="n">
        <f aca="false">Inputs!$D$28</f>
        <v>0.08</v>
      </c>
      <c r="L41" s="199" t="n">
        <f aca="false">Inputs!$F$28</f>
        <v>0.13</v>
      </c>
      <c r="M41" s="30" t="s">
        <v>814</v>
      </c>
      <c r="N41" s="255" t="str">
        <f aca="false">Inputs!$H$28</f>
        <v>與擁有者無關的單一假設；下游公司模型以自身 WACC 覆寫（Andy 2026-09-30 決定）</v>
      </c>
      <c r="O41" s="6" t="s">
        <v>814</v>
      </c>
      <c r="P41" s="254" t="s">
        <v>5351</v>
      </c>
      <c r="Q41" s="199" t="n">
        <f aca="false">Inputs!E28</f>
        <v>0.1</v>
      </c>
      <c r="R41" s="30" t="s">
        <v>814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5309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5366</v>
      </c>
      <c r="B42" s="254" t="s">
        <v>5304</v>
      </c>
      <c r="C42" s="30" t="s">
        <v>3143</v>
      </c>
      <c r="D42" s="30" t="s">
        <v>3183</v>
      </c>
      <c r="E42" s="6" t="s">
        <v>175</v>
      </c>
      <c r="F42" s="30" t="s">
        <v>132</v>
      </c>
      <c r="G42" s="254" t="s">
        <v>1440</v>
      </c>
      <c r="H42" s="30" t="s">
        <v>814</v>
      </c>
      <c r="I42" s="6" t="s">
        <v>814</v>
      </c>
      <c r="J42" s="30" t="s">
        <v>3150</v>
      </c>
      <c r="K42" s="254"/>
      <c r="L42" s="254"/>
      <c r="M42" s="30" t="s">
        <v>814</v>
      </c>
      <c r="N42" s="255" t="str">
        <f aca="false">Inputs!$H$28</f>
        <v>與擁有者無關的單一假設；下游公司模型以自身 WACC 覆寫（Andy 2026-09-30 決定）</v>
      </c>
      <c r="O42" s="6" t="s">
        <v>814</v>
      </c>
      <c r="P42" s="254" t="s">
        <v>5351</v>
      </c>
      <c r="Q42" s="199" t="n">
        <f aca="false">Inputs!D28</f>
        <v>0.08</v>
      </c>
      <c r="R42" s="30" t="s">
        <v>814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5309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5367</v>
      </c>
      <c r="B43" s="254" t="s">
        <v>5304</v>
      </c>
      <c r="C43" s="30" t="s">
        <v>3143</v>
      </c>
      <c r="D43" s="30" t="s">
        <v>3185</v>
      </c>
      <c r="E43" s="6" t="s">
        <v>175</v>
      </c>
      <c r="F43" s="30" t="s">
        <v>132</v>
      </c>
      <c r="G43" s="254" t="s">
        <v>1441</v>
      </c>
      <c r="H43" s="30" t="s">
        <v>814</v>
      </c>
      <c r="I43" s="6" t="s">
        <v>814</v>
      </c>
      <c r="J43" s="30" t="s">
        <v>3150</v>
      </c>
      <c r="K43" s="254"/>
      <c r="L43" s="254"/>
      <c r="M43" s="30" t="s">
        <v>814</v>
      </c>
      <c r="N43" s="255" t="str">
        <f aca="false">Inputs!$H$28</f>
        <v>與擁有者無關的單一假設；下游公司模型以自身 WACC 覆寫（Andy 2026-09-30 決定）</v>
      </c>
      <c r="O43" s="6" t="s">
        <v>814</v>
      </c>
      <c r="P43" s="254" t="s">
        <v>5351</v>
      </c>
      <c r="Q43" s="199" t="n">
        <f aca="false">Inputs!F28</f>
        <v>0.13</v>
      </c>
      <c r="R43" s="30" t="s">
        <v>814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5309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5368</v>
      </c>
      <c r="B44" s="254" t="s">
        <v>5304</v>
      </c>
      <c r="C44" s="30" t="s">
        <v>3143</v>
      </c>
      <c r="D44" s="30" t="s">
        <v>3362</v>
      </c>
      <c r="E44" s="6" t="s">
        <v>178</v>
      </c>
      <c r="F44" s="30" t="s">
        <v>5369</v>
      </c>
      <c r="G44" s="254" t="s">
        <v>115</v>
      </c>
      <c r="H44" s="30" t="s">
        <v>814</v>
      </c>
      <c r="I44" s="6" t="s">
        <v>814</v>
      </c>
      <c r="J44" s="30" t="s">
        <v>5370</v>
      </c>
      <c r="K44" s="199" t="n">
        <f aca="false">Inputs!$D$30</f>
        <v>0.0102443497224425</v>
      </c>
      <c r="L44" s="199" t="n">
        <f aca="false">Inputs!$F$30</f>
        <v>0.0182477678962645</v>
      </c>
      <c r="M44" s="30" t="s">
        <v>814</v>
      </c>
      <c r="N44" s="6" t="s">
        <v>5371</v>
      </c>
      <c r="O44" s="6" t="s">
        <v>5372</v>
      </c>
      <c r="P44" s="254" t="s">
        <v>1440</v>
      </c>
      <c r="Q44" s="199" t="n">
        <f aca="false">Inputs!E30</f>
        <v>0.0157250107250107</v>
      </c>
      <c r="R44" s="30" t="s">
        <v>814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5373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5374</v>
      </c>
      <c r="B45" s="254" t="s">
        <v>5304</v>
      </c>
      <c r="C45" s="30" t="s">
        <v>3143</v>
      </c>
      <c r="D45" s="30" t="s">
        <v>3361</v>
      </c>
      <c r="E45" s="6" t="s">
        <v>178</v>
      </c>
      <c r="F45" s="30" t="s">
        <v>5369</v>
      </c>
      <c r="G45" s="254" t="s">
        <v>1440</v>
      </c>
      <c r="H45" s="30" t="s">
        <v>814</v>
      </c>
      <c r="I45" s="6" t="s">
        <v>814</v>
      </c>
      <c r="J45" s="30" t="s">
        <v>5370</v>
      </c>
      <c r="K45" s="254"/>
      <c r="L45" s="254"/>
      <c r="M45" s="30" t="s">
        <v>814</v>
      </c>
      <c r="N45" s="6" t="s">
        <v>5375</v>
      </c>
      <c r="O45" s="6" t="s">
        <v>5372</v>
      </c>
      <c r="P45" s="254" t="s">
        <v>1440</v>
      </c>
      <c r="Q45" s="199" t="n">
        <f aca="false">Inputs!D30</f>
        <v>0.0102443497224425</v>
      </c>
      <c r="R45" s="30" t="s">
        <v>814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5373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5376</v>
      </c>
      <c r="B46" s="254" t="s">
        <v>5304</v>
      </c>
      <c r="C46" s="30" t="s">
        <v>3143</v>
      </c>
      <c r="D46" s="30" t="s">
        <v>5377</v>
      </c>
      <c r="E46" s="6" t="s">
        <v>178</v>
      </c>
      <c r="F46" s="30" t="s">
        <v>5369</v>
      </c>
      <c r="G46" s="254" t="s">
        <v>1441</v>
      </c>
      <c r="H46" s="30" t="s">
        <v>814</v>
      </c>
      <c r="I46" s="6" t="s">
        <v>814</v>
      </c>
      <c r="J46" s="30" t="s">
        <v>5370</v>
      </c>
      <c r="K46" s="254"/>
      <c r="L46" s="254"/>
      <c r="M46" s="30" t="s">
        <v>814</v>
      </c>
      <c r="N46" s="6" t="s">
        <v>5378</v>
      </c>
      <c r="O46" s="6" t="s">
        <v>5372</v>
      </c>
      <c r="P46" s="254" t="s">
        <v>1440</v>
      </c>
      <c r="Q46" s="199" t="n">
        <f aca="false">Inputs!F30</f>
        <v>0.0182477678962645</v>
      </c>
      <c r="R46" s="30" t="s">
        <v>814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5373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5379</v>
      </c>
      <c r="B47" s="254" t="s">
        <v>5304</v>
      </c>
      <c r="C47" s="30" t="s">
        <v>3143</v>
      </c>
      <c r="D47" s="30" t="s">
        <v>3187</v>
      </c>
      <c r="E47" s="20" t="s">
        <v>182</v>
      </c>
      <c r="F47" s="30" t="s">
        <v>132</v>
      </c>
      <c r="G47" s="254" t="s">
        <v>115</v>
      </c>
      <c r="H47" s="30" t="s">
        <v>814</v>
      </c>
      <c r="I47" s="6" t="s">
        <v>814</v>
      </c>
      <c r="J47" s="30" t="s">
        <v>5339</v>
      </c>
      <c r="K47" s="199" t="n">
        <f aca="false">Inputs!$D$31</f>
        <v>0.015</v>
      </c>
      <c r="L47" s="199" t="n">
        <f aca="false">Inputs!$F$31</f>
        <v>0.025</v>
      </c>
      <c r="M47" s="30" t="s">
        <v>814</v>
      </c>
      <c r="N47" s="6" t="s">
        <v>184</v>
      </c>
      <c r="O47" s="6" t="s">
        <v>5380</v>
      </c>
      <c r="P47" s="254" t="s">
        <v>1440</v>
      </c>
      <c r="Q47" s="199" t="n">
        <f aca="false">Inputs!E31</f>
        <v>0.02</v>
      </c>
      <c r="R47" s="30" t="s">
        <v>814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5309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5381</v>
      </c>
      <c r="B48" s="254" t="s">
        <v>5304</v>
      </c>
      <c r="C48" s="30" t="s">
        <v>3143</v>
      </c>
      <c r="D48" s="30" t="s">
        <v>3186</v>
      </c>
      <c r="E48" s="20" t="s">
        <v>182</v>
      </c>
      <c r="F48" s="30" t="s">
        <v>132</v>
      </c>
      <c r="G48" s="254" t="s">
        <v>1440</v>
      </c>
      <c r="H48" s="30" t="s">
        <v>814</v>
      </c>
      <c r="I48" s="6" t="s">
        <v>814</v>
      </c>
      <c r="J48" s="30" t="s">
        <v>5339</v>
      </c>
      <c r="K48" s="254"/>
      <c r="L48" s="254"/>
      <c r="M48" s="30" t="s">
        <v>814</v>
      </c>
      <c r="N48" s="6" t="s">
        <v>184</v>
      </c>
      <c r="O48" s="6" t="s">
        <v>5380</v>
      </c>
      <c r="P48" s="254" t="s">
        <v>1440</v>
      </c>
      <c r="Q48" s="199" t="n">
        <f aca="false">Inputs!D31</f>
        <v>0.015</v>
      </c>
      <c r="R48" s="30" t="s">
        <v>814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5309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5382</v>
      </c>
      <c r="B49" s="254" t="s">
        <v>5304</v>
      </c>
      <c r="C49" s="30" t="s">
        <v>3143</v>
      </c>
      <c r="D49" s="30" t="s">
        <v>3188</v>
      </c>
      <c r="E49" s="20" t="s">
        <v>182</v>
      </c>
      <c r="F49" s="30" t="s">
        <v>132</v>
      </c>
      <c r="G49" s="254" t="s">
        <v>1441</v>
      </c>
      <c r="H49" s="30" t="s">
        <v>814</v>
      </c>
      <c r="I49" s="6" t="s">
        <v>814</v>
      </c>
      <c r="J49" s="30" t="s">
        <v>5339</v>
      </c>
      <c r="K49" s="254"/>
      <c r="L49" s="254"/>
      <c r="M49" s="30" t="s">
        <v>814</v>
      </c>
      <c r="N49" s="6" t="s">
        <v>184</v>
      </c>
      <c r="O49" s="6" t="s">
        <v>5380</v>
      </c>
      <c r="P49" s="254" t="s">
        <v>1440</v>
      </c>
      <c r="Q49" s="199" t="n">
        <f aca="false">Inputs!F31</f>
        <v>0.025</v>
      </c>
      <c r="R49" s="30" t="s">
        <v>814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5309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5383</v>
      </c>
      <c r="B50" s="254" t="s">
        <v>5304</v>
      </c>
      <c r="C50" s="30" t="s">
        <v>3143</v>
      </c>
      <c r="D50" s="30" t="s">
        <v>3190</v>
      </c>
      <c r="E50" s="20" t="s">
        <v>185</v>
      </c>
      <c r="F50" s="30" t="s">
        <v>132</v>
      </c>
      <c r="G50" s="254" t="s">
        <v>115</v>
      </c>
      <c r="H50" s="30" t="s">
        <v>814</v>
      </c>
      <c r="I50" s="6" t="s">
        <v>814</v>
      </c>
      <c r="J50" s="30" t="s">
        <v>5339</v>
      </c>
      <c r="K50" s="49" t="n">
        <f aca="false">Inputs!$D$32</f>
        <v>50</v>
      </c>
      <c r="L50" s="49" t="n">
        <f aca="false">Inputs!$F$32</f>
        <v>100</v>
      </c>
      <c r="M50" s="30" t="s">
        <v>814</v>
      </c>
      <c r="N50" s="255" t="str">
        <f aca="false">Inputs!$H$32</f>
        <v>v4：500 FTE × $150K</v>
      </c>
      <c r="O50" s="6" t="s">
        <v>814</v>
      </c>
      <c r="P50" s="254" t="s">
        <v>1440</v>
      </c>
      <c r="Q50" s="49" t="n">
        <f aca="false">Inputs!E32</f>
        <v>75</v>
      </c>
      <c r="R50" s="30" t="s">
        <v>814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5309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5384</v>
      </c>
      <c r="B51" s="254" t="s">
        <v>5304</v>
      </c>
      <c r="C51" s="30" t="s">
        <v>3143</v>
      </c>
      <c r="D51" s="30" t="s">
        <v>3189</v>
      </c>
      <c r="E51" s="20" t="s">
        <v>185</v>
      </c>
      <c r="F51" s="30" t="s">
        <v>132</v>
      </c>
      <c r="G51" s="254" t="s">
        <v>1440</v>
      </c>
      <c r="H51" s="30" t="s">
        <v>814</v>
      </c>
      <c r="I51" s="6" t="s">
        <v>814</v>
      </c>
      <c r="J51" s="30" t="s">
        <v>5339</v>
      </c>
      <c r="K51" s="254"/>
      <c r="L51" s="254"/>
      <c r="M51" s="30" t="s">
        <v>814</v>
      </c>
      <c r="N51" s="255" t="str">
        <f aca="false">Inputs!$H$32</f>
        <v>v4：500 FTE × $150K</v>
      </c>
      <c r="O51" s="6" t="s">
        <v>814</v>
      </c>
      <c r="P51" s="254" t="s">
        <v>1440</v>
      </c>
      <c r="Q51" s="49" t="n">
        <f aca="false">Inputs!D32</f>
        <v>50</v>
      </c>
      <c r="R51" s="30" t="s">
        <v>814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5309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5385</v>
      </c>
      <c r="B52" s="254" t="s">
        <v>5304</v>
      </c>
      <c r="C52" s="30" t="s">
        <v>3143</v>
      </c>
      <c r="D52" s="30" t="s">
        <v>3191</v>
      </c>
      <c r="E52" s="20" t="s">
        <v>185</v>
      </c>
      <c r="F52" s="30" t="s">
        <v>132</v>
      </c>
      <c r="G52" s="254" t="s">
        <v>1441</v>
      </c>
      <c r="H52" s="30" t="s">
        <v>814</v>
      </c>
      <c r="I52" s="6" t="s">
        <v>814</v>
      </c>
      <c r="J52" s="30" t="s">
        <v>5339</v>
      </c>
      <c r="K52" s="254"/>
      <c r="L52" s="254"/>
      <c r="M52" s="30" t="s">
        <v>814</v>
      </c>
      <c r="N52" s="255" t="str">
        <f aca="false">Inputs!$H$32</f>
        <v>v4：500 FTE × $150K</v>
      </c>
      <c r="O52" s="6" t="s">
        <v>814</v>
      </c>
      <c r="P52" s="254" t="s">
        <v>1440</v>
      </c>
      <c r="Q52" s="49" t="n">
        <f aca="false">Inputs!F32</f>
        <v>100</v>
      </c>
      <c r="R52" s="30" t="s">
        <v>814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5309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5386</v>
      </c>
      <c r="B53" s="254" t="s">
        <v>5304</v>
      </c>
      <c r="C53" s="30" t="s">
        <v>3143</v>
      </c>
      <c r="D53" s="30" t="s">
        <v>3193</v>
      </c>
      <c r="E53" s="20" t="s">
        <v>188</v>
      </c>
      <c r="F53" s="30" t="s">
        <v>132</v>
      </c>
      <c r="G53" s="254" t="s">
        <v>115</v>
      </c>
      <c r="H53" s="30" t="s">
        <v>814</v>
      </c>
      <c r="I53" s="6" t="s">
        <v>814</v>
      </c>
      <c r="J53" s="30" t="s">
        <v>5339</v>
      </c>
      <c r="K53" s="49" t="n">
        <f aca="false">Inputs!$D$33</f>
        <v>150</v>
      </c>
      <c r="L53" s="49" t="n">
        <f aca="false">Inputs!$F$33</f>
        <v>250</v>
      </c>
      <c r="M53" s="30" t="s">
        <v>814</v>
      </c>
      <c r="N53" s="255" t="str">
        <f aca="false">Inputs!$H$33</f>
        <v>v4＝$200M</v>
      </c>
      <c r="O53" s="6" t="s">
        <v>814</v>
      </c>
      <c r="P53" s="254" t="s">
        <v>1440</v>
      </c>
      <c r="Q53" s="49" t="n">
        <f aca="false">Inputs!E33</f>
        <v>200</v>
      </c>
      <c r="R53" s="30" t="s">
        <v>814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5309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5387</v>
      </c>
      <c r="B54" s="254" t="s">
        <v>5304</v>
      </c>
      <c r="C54" s="30" t="s">
        <v>3143</v>
      </c>
      <c r="D54" s="30" t="s">
        <v>3192</v>
      </c>
      <c r="E54" s="20" t="s">
        <v>188</v>
      </c>
      <c r="F54" s="30" t="s">
        <v>132</v>
      </c>
      <c r="G54" s="254" t="s">
        <v>1440</v>
      </c>
      <c r="H54" s="30" t="s">
        <v>814</v>
      </c>
      <c r="I54" s="6" t="s">
        <v>814</v>
      </c>
      <c r="J54" s="30" t="s">
        <v>5339</v>
      </c>
      <c r="K54" s="254"/>
      <c r="L54" s="254"/>
      <c r="M54" s="30" t="s">
        <v>814</v>
      </c>
      <c r="N54" s="255" t="str">
        <f aca="false">Inputs!$H$33</f>
        <v>v4＝$200M</v>
      </c>
      <c r="O54" s="6" t="s">
        <v>814</v>
      </c>
      <c r="P54" s="254" t="s">
        <v>1440</v>
      </c>
      <c r="Q54" s="49" t="n">
        <f aca="false">Inputs!D33</f>
        <v>150</v>
      </c>
      <c r="R54" s="30" t="s">
        <v>814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5309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5388</v>
      </c>
      <c r="B55" s="254" t="s">
        <v>5304</v>
      </c>
      <c r="C55" s="30" t="s">
        <v>3143</v>
      </c>
      <c r="D55" s="30" t="s">
        <v>3194</v>
      </c>
      <c r="E55" s="20" t="s">
        <v>188</v>
      </c>
      <c r="F55" s="30" t="s">
        <v>132</v>
      </c>
      <c r="G55" s="254" t="s">
        <v>1441</v>
      </c>
      <c r="H55" s="30" t="s">
        <v>814</v>
      </c>
      <c r="I55" s="6" t="s">
        <v>814</v>
      </c>
      <c r="J55" s="30" t="s">
        <v>5339</v>
      </c>
      <c r="K55" s="254"/>
      <c r="L55" s="254"/>
      <c r="M55" s="30" t="s">
        <v>814</v>
      </c>
      <c r="N55" s="255" t="str">
        <f aca="false">Inputs!$H$33</f>
        <v>v4＝$200M</v>
      </c>
      <c r="O55" s="6" t="s">
        <v>814</v>
      </c>
      <c r="P55" s="254" t="s">
        <v>1440</v>
      </c>
      <c r="Q55" s="49" t="n">
        <f aca="false">Inputs!F33</f>
        <v>250</v>
      </c>
      <c r="R55" s="30" t="s">
        <v>814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5309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5389</v>
      </c>
      <c r="B56" s="254" t="s">
        <v>5304</v>
      </c>
      <c r="C56" s="30" t="s">
        <v>3143</v>
      </c>
      <c r="D56" s="30" t="s">
        <v>3196</v>
      </c>
      <c r="E56" s="20" t="s">
        <v>190</v>
      </c>
      <c r="F56" s="30" t="s">
        <v>132</v>
      </c>
      <c r="G56" s="254" t="s">
        <v>115</v>
      </c>
      <c r="H56" s="30" t="s">
        <v>814</v>
      </c>
      <c r="I56" s="6" t="s">
        <v>814</v>
      </c>
      <c r="J56" s="30" t="s">
        <v>5339</v>
      </c>
      <c r="K56" s="195" t="n">
        <f aca="false">Inputs!$D$34</f>
        <v>0.04</v>
      </c>
      <c r="L56" s="195" t="n">
        <f aca="false">Inputs!$F$34</f>
        <v>0.06</v>
      </c>
      <c r="M56" s="30" t="s">
        <v>814</v>
      </c>
      <c r="N56" s="255" t="str">
        <f aca="false">Inputs!$H$34</f>
        <v>v4＝$50K/MW</v>
      </c>
      <c r="O56" s="6" t="s">
        <v>814</v>
      </c>
      <c r="P56" s="254" t="s">
        <v>1440</v>
      </c>
      <c r="Q56" s="195" t="n">
        <f aca="false">Inputs!E34</f>
        <v>0.05</v>
      </c>
      <c r="R56" s="30" t="s">
        <v>814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5309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5390</v>
      </c>
      <c r="B57" s="254" t="s">
        <v>5304</v>
      </c>
      <c r="C57" s="30" t="s">
        <v>3143</v>
      </c>
      <c r="D57" s="30" t="s">
        <v>3195</v>
      </c>
      <c r="E57" s="20" t="s">
        <v>190</v>
      </c>
      <c r="F57" s="30" t="s">
        <v>132</v>
      </c>
      <c r="G57" s="254" t="s">
        <v>1440</v>
      </c>
      <c r="H57" s="30" t="s">
        <v>814</v>
      </c>
      <c r="I57" s="6" t="s">
        <v>814</v>
      </c>
      <c r="J57" s="30" t="s">
        <v>5339</v>
      </c>
      <c r="K57" s="254"/>
      <c r="L57" s="254"/>
      <c r="M57" s="30" t="s">
        <v>814</v>
      </c>
      <c r="N57" s="255" t="str">
        <f aca="false">Inputs!$H$34</f>
        <v>v4＝$50K/MW</v>
      </c>
      <c r="O57" s="6" t="s">
        <v>814</v>
      </c>
      <c r="P57" s="254" t="s">
        <v>1440</v>
      </c>
      <c r="Q57" s="195" t="n">
        <f aca="false">Inputs!D34</f>
        <v>0.04</v>
      </c>
      <c r="R57" s="30" t="s">
        <v>814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5309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5391</v>
      </c>
      <c r="B58" s="254" t="s">
        <v>5304</v>
      </c>
      <c r="C58" s="30" t="s">
        <v>3143</v>
      </c>
      <c r="D58" s="30" t="s">
        <v>3197</v>
      </c>
      <c r="E58" s="20" t="s">
        <v>190</v>
      </c>
      <c r="F58" s="30" t="s">
        <v>132</v>
      </c>
      <c r="G58" s="254" t="s">
        <v>1441</v>
      </c>
      <c r="H58" s="30" t="s">
        <v>814</v>
      </c>
      <c r="I58" s="6" t="s">
        <v>814</v>
      </c>
      <c r="J58" s="30" t="s">
        <v>5339</v>
      </c>
      <c r="K58" s="254"/>
      <c r="L58" s="254"/>
      <c r="M58" s="30" t="s">
        <v>814</v>
      </c>
      <c r="N58" s="255" t="str">
        <f aca="false">Inputs!$H$34</f>
        <v>v4＝$50K/MW</v>
      </c>
      <c r="O58" s="6" t="s">
        <v>814</v>
      </c>
      <c r="P58" s="254" t="s">
        <v>1440</v>
      </c>
      <c r="Q58" s="195" t="n">
        <f aca="false">Inputs!F34</f>
        <v>0.06</v>
      </c>
      <c r="R58" s="30" t="s">
        <v>814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5309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5392</v>
      </c>
      <c r="B59" s="254" t="s">
        <v>5304</v>
      </c>
      <c r="C59" s="30" t="s">
        <v>3143</v>
      </c>
      <c r="D59" s="30" t="s">
        <v>3199</v>
      </c>
      <c r="E59" s="20" t="s">
        <v>193</v>
      </c>
      <c r="F59" s="30" t="s">
        <v>132</v>
      </c>
      <c r="G59" s="254" t="s">
        <v>115</v>
      </c>
      <c r="H59" s="30" t="s">
        <v>814</v>
      </c>
      <c r="I59" s="6" t="s">
        <v>814</v>
      </c>
      <c r="J59" s="30" t="s">
        <v>5339</v>
      </c>
      <c r="K59" s="199" t="n">
        <f aca="false">Inputs!$D$35</f>
        <v>0.003</v>
      </c>
      <c r="L59" s="199" t="n">
        <f aca="false">Inputs!$F$35</f>
        <v>0.008</v>
      </c>
      <c r="M59" s="30" t="s">
        <v>814</v>
      </c>
      <c r="N59" s="255" t="str">
        <f aca="false">Inputs!$H$35</f>
        <v>v4＝0.5%</v>
      </c>
      <c r="O59" s="6" t="s">
        <v>5380</v>
      </c>
      <c r="P59" s="254" t="s">
        <v>1440</v>
      </c>
      <c r="Q59" s="199" t="n">
        <f aca="false">Inputs!E35</f>
        <v>0.005</v>
      </c>
      <c r="R59" s="30" t="s">
        <v>814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5309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5393</v>
      </c>
      <c r="B60" s="254" t="s">
        <v>5304</v>
      </c>
      <c r="C60" s="30" t="s">
        <v>3143</v>
      </c>
      <c r="D60" s="30" t="s">
        <v>3198</v>
      </c>
      <c r="E60" s="20" t="s">
        <v>193</v>
      </c>
      <c r="F60" s="30" t="s">
        <v>132</v>
      </c>
      <c r="G60" s="254" t="s">
        <v>1440</v>
      </c>
      <c r="H60" s="30" t="s">
        <v>814</v>
      </c>
      <c r="I60" s="6" t="s">
        <v>814</v>
      </c>
      <c r="J60" s="30" t="s">
        <v>5339</v>
      </c>
      <c r="K60" s="254"/>
      <c r="L60" s="254"/>
      <c r="M60" s="30" t="s">
        <v>814</v>
      </c>
      <c r="N60" s="255" t="str">
        <f aca="false">Inputs!$H$35</f>
        <v>v4＝0.5%</v>
      </c>
      <c r="O60" s="6" t="s">
        <v>5380</v>
      </c>
      <c r="P60" s="254" t="s">
        <v>1440</v>
      </c>
      <c r="Q60" s="199" t="n">
        <f aca="false">Inputs!D35</f>
        <v>0.003</v>
      </c>
      <c r="R60" s="30" t="s">
        <v>814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5309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5394</v>
      </c>
      <c r="B61" s="254" t="s">
        <v>5304</v>
      </c>
      <c r="C61" s="30" t="s">
        <v>3143</v>
      </c>
      <c r="D61" s="30" t="s">
        <v>3200</v>
      </c>
      <c r="E61" s="20" t="s">
        <v>193</v>
      </c>
      <c r="F61" s="30" t="s">
        <v>132</v>
      </c>
      <c r="G61" s="254" t="s">
        <v>1441</v>
      </c>
      <c r="H61" s="30" t="s">
        <v>814</v>
      </c>
      <c r="I61" s="6" t="s">
        <v>814</v>
      </c>
      <c r="J61" s="30" t="s">
        <v>5339</v>
      </c>
      <c r="K61" s="254"/>
      <c r="L61" s="254"/>
      <c r="M61" s="30" t="s">
        <v>814</v>
      </c>
      <c r="N61" s="255" t="str">
        <f aca="false">Inputs!$H$35</f>
        <v>v4＝0.5%</v>
      </c>
      <c r="O61" s="6" t="s">
        <v>5380</v>
      </c>
      <c r="P61" s="254" t="s">
        <v>1440</v>
      </c>
      <c r="Q61" s="199" t="n">
        <f aca="false">Inputs!F35</f>
        <v>0.008</v>
      </c>
      <c r="R61" s="30" t="s">
        <v>814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5309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5395</v>
      </c>
      <c r="B62" s="254" t="s">
        <v>5304</v>
      </c>
      <c r="C62" s="30" t="s">
        <v>3143</v>
      </c>
      <c r="D62" s="30" t="s">
        <v>3258</v>
      </c>
      <c r="E62" s="6" t="s">
        <v>166</v>
      </c>
      <c r="F62" s="254" t="s">
        <v>377</v>
      </c>
      <c r="G62" s="254" t="s">
        <v>5305</v>
      </c>
      <c r="H62" s="30" t="s">
        <v>5396</v>
      </c>
      <c r="I62" s="20" t="s">
        <v>5335</v>
      </c>
      <c r="J62" s="30" t="s">
        <v>5397</v>
      </c>
      <c r="K62" s="254"/>
      <c r="L62" s="254"/>
      <c r="M62" s="30" t="s">
        <v>814</v>
      </c>
      <c r="N62" s="20" t="s">
        <v>5398</v>
      </c>
      <c r="O62" s="6" t="s">
        <v>814</v>
      </c>
      <c r="P62" s="254" t="s">
        <v>1441</v>
      </c>
      <c r="Q62" s="49" t="n">
        <f aca="false">Inputs!D23</f>
        <v>6</v>
      </c>
      <c r="R62" s="187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5337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5399</v>
      </c>
      <c r="B63" s="254" t="s">
        <v>5304</v>
      </c>
      <c r="C63" s="30" t="s">
        <v>3143</v>
      </c>
      <c r="D63" s="30" t="s">
        <v>3259</v>
      </c>
      <c r="E63" s="6" t="s">
        <v>166</v>
      </c>
      <c r="F63" s="254" t="s">
        <v>377</v>
      </c>
      <c r="G63" s="254" t="s">
        <v>5305</v>
      </c>
      <c r="H63" s="30" t="s">
        <v>5396</v>
      </c>
      <c r="I63" s="20" t="s">
        <v>5335</v>
      </c>
      <c r="J63" s="30" t="s">
        <v>5397</v>
      </c>
      <c r="K63" s="254"/>
      <c r="L63" s="254"/>
      <c r="M63" s="30" t="s">
        <v>814</v>
      </c>
      <c r="N63" s="20" t="s">
        <v>5398</v>
      </c>
      <c r="O63" s="6" t="s">
        <v>814</v>
      </c>
      <c r="P63" s="254" t="s">
        <v>1441</v>
      </c>
      <c r="Q63" s="49" t="n">
        <f aca="false">Inputs!E23</f>
        <v>6</v>
      </c>
      <c r="R63" s="187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5337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5400</v>
      </c>
      <c r="B64" s="254" t="s">
        <v>5304</v>
      </c>
      <c r="C64" s="30" t="s">
        <v>3143</v>
      </c>
      <c r="D64" s="30" t="s">
        <v>5401</v>
      </c>
      <c r="E64" s="6" t="s">
        <v>166</v>
      </c>
      <c r="F64" s="254" t="s">
        <v>377</v>
      </c>
      <c r="G64" s="254" t="s">
        <v>5305</v>
      </c>
      <c r="H64" s="30" t="s">
        <v>5402</v>
      </c>
      <c r="I64" s="20" t="s">
        <v>5335</v>
      </c>
      <c r="J64" s="30" t="s">
        <v>5397</v>
      </c>
      <c r="K64" s="254"/>
      <c r="L64" s="254"/>
      <c r="M64" s="30" t="s">
        <v>814</v>
      </c>
      <c r="N64" s="20" t="s">
        <v>5398</v>
      </c>
      <c r="O64" s="6" t="s">
        <v>814</v>
      </c>
      <c r="P64" s="254" t="s">
        <v>1441</v>
      </c>
      <c r="Q64" s="49" t="n">
        <f aca="false">Inputs!F23</f>
        <v>4</v>
      </c>
      <c r="R64" s="187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5337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5403</v>
      </c>
      <c r="B65" s="254" t="s">
        <v>5304</v>
      </c>
      <c r="C65" s="30" t="s">
        <v>3143</v>
      </c>
      <c r="D65" s="30" t="s">
        <v>3179</v>
      </c>
      <c r="E65" s="20" t="s">
        <v>170</v>
      </c>
      <c r="F65" s="30" t="s">
        <v>132</v>
      </c>
      <c r="G65" s="254" t="s">
        <v>115</v>
      </c>
      <c r="H65" s="30" t="s">
        <v>814</v>
      </c>
      <c r="I65" s="6" t="s">
        <v>814</v>
      </c>
      <c r="J65" s="30" t="s">
        <v>5397</v>
      </c>
      <c r="K65" s="256" t="n">
        <v>25</v>
      </c>
      <c r="L65" s="256" t="n">
        <v>40</v>
      </c>
      <c r="M65" s="30" t="s">
        <v>5404</v>
      </c>
      <c r="N65" s="20" t="s">
        <v>5405</v>
      </c>
      <c r="O65" s="6" t="s">
        <v>5406</v>
      </c>
      <c r="P65" s="254" t="s">
        <v>1440</v>
      </c>
      <c r="Q65" s="49" t="n">
        <f aca="false">Inputs!E24</f>
        <v>30</v>
      </c>
      <c r="R65" s="30" t="s">
        <v>814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5309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5407</v>
      </c>
      <c r="B66" s="254" t="s">
        <v>5304</v>
      </c>
      <c r="C66" s="30" t="s">
        <v>3143</v>
      </c>
      <c r="D66" s="30" t="s">
        <v>3180</v>
      </c>
      <c r="E66" s="20" t="s">
        <v>172</v>
      </c>
      <c r="F66" s="30" t="s">
        <v>132</v>
      </c>
      <c r="G66" s="254" t="s">
        <v>115</v>
      </c>
      <c r="H66" s="30" t="s">
        <v>814</v>
      </c>
      <c r="I66" s="6" t="s">
        <v>814</v>
      </c>
      <c r="J66" s="30" t="s">
        <v>5397</v>
      </c>
      <c r="K66" s="256" t="n">
        <v>15</v>
      </c>
      <c r="L66" s="256" t="n">
        <v>25</v>
      </c>
      <c r="M66" s="30" t="s">
        <v>5408</v>
      </c>
      <c r="N66" s="20" t="s">
        <v>5409</v>
      </c>
      <c r="O66" s="6" t="s">
        <v>5406</v>
      </c>
      <c r="P66" s="254" t="s">
        <v>1440</v>
      </c>
      <c r="Q66" s="49" t="n">
        <f aca="false">Inputs!E25</f>
        <v>20</v>
      </c>
      <c r="R66" s="30" t="s">
        <v>814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5309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5410</v>
      </c>
      <c r="B67" s="254" t="s">
        <v>5304</v>
      </c>
      <c r="C67" s="30" t="s">
        <v>3143</v>
      </c>
      <c r="D67" s="30" t="s">
        <v>3181</v>
      </c>
      <c r="E67" s="20" t="s">
        <v>173</v>
      </c>
      <c r="F67" s="30" t="s">
        <v>132</v>
      </c>
      <c r="G67" s="254" t="s">
        <v>115</v>
      </c>
      <c r="H67" s="30" t="s">
        <v>814</v>
      </c>
      <c r="I67" s="6" t="s">
        <v>814</v>
      </c>
      <c r="J67" s="30" t="s">
        <v>5397</v>
      </c>
      <c r="K67" s="256" t="n">
        <v>10</v>
      </c>
      <c r="L67" s="256" t="n">
        <v>20</v>
      </c>
      <c r="M67" s="30" t="s">
        <v>5411</v>
      </c>
      <c r="N67" s="20" t="s">
        <v>5412</v>
      </c>
      <c r="O67" s="6" t="s">
        <v>5406</v>
      </c>
      <c r="P67" s="254" t="s">
        <v>1440</v>
      </c>
      <c r="Q67" s="49" t="n">
        <f aca="false">Inputs!E26</f>
        <v>15</v>
      </c>
      <c r="R67" s="30" t="s">
        <v>814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5309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5413</v>
      </c>
      <c r="B68" s="254" t="s">
        <v>5304</v>
      </c>
      <c r="C68" s="30" t="s">
        <v>3143</v>
      </c>
      <c r="D68" s="30" t="s">
        <v>3182</v>
      </c>
      <c r="E68" s="20" t="s">
        <v>174</v>
      </c>
      <c r="F68" s="30" t="s">
        <v>132</v>
      </c>
      <c r="G68" s="254" t="s">
        <v>115</v>
      </c>
      <c r="H68" s="30" t="s">
        <v>814</v>
      </c>
      <c r="I68" s="6" t="s">
        <v>814</v>
      </c>
      <c r="J68" s="30" t="s">
        <v>5397</v>
      </c>
      <c r="K68" s="256" t="n">
        <v>7</v>
      </c>
      <c r="L68" s="256" t="n">
        <v>15</v>
      </c>
      <c r="M68" s="30" t="s">
        <v>5414</v>
      </c>
      <c r="N68" s="20" t="s">
        <v>5415</v>
      </c>
      <c r="O68" s="6" t="s">
        <v>5406</v>
      </c>
      <c r="P68" s="254" t="s">
        <v>1440</v>
      </c>
      <c r="Q68" s="49" t="n">
        <f aca="false">Inputs!E27</f>
        <v>10</v>
      </c>
      <c r="R68" s="30" t="s">
        <v>814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5309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5416</v>
      </c>
      <c r="B69" s="254" t="s">
        <v>5304</v>
      </c>
      <c r="C69" s="30" t="s">
        <v>3207</v>
      </c>
      <c r="D69" s="30" t="s">
        <v>3208</v>
      </c>
      <c r="E69" s="6" t="s">
        <v>217</v>
      </c>
      <c r="F69" s="30" t="s">
        <v>122</v>
      </c>
      <c r="G69" s="254" t="s">
        <v>5305</v>
      </c>
      <c r="H69" s="30" t="s">
        <v>814</v>
      </c>
      <c r="I69" s="6" t="s">
        <v>814</v>
      </c>
      <c r="J69" s="30" t="s">
        <v>5417</v>
      </c>
      <c r="K69" s="254"/>
      <c r="L69" s="254"/>
      <c r="M69" s="30" t="s">
        <v>814</v>
      </c>
      <c r="N69" s="6" t="s">
        <v>5418</v>
      </c>
      <c r="O69" s="6" t="s">
        <v>814</v>
      </c>
      <c r="P69" s="254" t="s">
        <v>1441</v>
      </c>
      <c r="Q69" s="49" t="n">
        <f aca="false">Spec_Rack!C6</f>
        <v>32</v>
      </c>
      <c r="R69" s="30" t="s">
        <v>814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5309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5419</v>
      </c>
      <c r="B70" s="254" t="s">
        <v>5304</v>
      </c>
      <c r="C70" s="30" t="s">
        <v>3207</v>
      </c>
      <c r="D70" s="30" t="s">
        <v>3336</v>
      </c>
      <c r="E70" s="6" t="s">
        <v>217</v>
      </c>
      <c r="F70" s="254" t="s">
        <v>377</v>
      </c>
      <c r="G70" s="254" t="s">
        <v>5305</v>
      </c>
      <c r="H70" s="30" t="s">
        <v>5420</v>
      </c>
      <c r="I70" s="20" t="s">
        <v>5335</v>
      </c>
      <c r="J70" s="30" t="s">
        <v>814</v>
      </c>
      <c r="K70" s="254"/>
      <c r="L70" s="254"/>
      <c r="M70" s="30" t="s">
        <v>814</v>
      </c>
      <c r="N70" s="20" t="s">
        <v>5398</v>
      </c>
      <c r="O70" s="6" t="s">
        <v>814</v>
      </c>
      <c r="P70" s="254" t="s">
        <v>1441</v>
      </c>
      <c r="Q70" s="49" t="n">
        <f aca="false">Spec_Rack!D6</f>
        <v>72</v>
      </c>
      <c r="R70" s="187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5337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5421</v>
      </c>
      <c r="B71" s="254" t="s">
        <v>5304</v>
      </c>
      <c r="C71" s="30" t="s">
        <v>3207</v>
      </c>
      <c r="D71" s="30" t="s">
        <v>3145</v>
      </c>
      <c r="E71" s="6" t="s">
        <v>217</v>
      </c>
      <c r="F71" s="254" t="s">
        <v>377</v>
      </c>
      <c r="G71" s="254" t="s">
        <v>5305</v>
      </c>
      <c r="H71" s="30" t="s">
        <v>5420</v>
      </c>
      <c r="I71" s="20" t="s">
        <v>5335</v>
      </c>
      <c r="J71" s="30" t="s">
        <v>814</v>
      </c>
      <c r="K71" s="254"/>
      <c r="L71" s="254"/>
      <c r="M71" s="30" t="s">
        <v>814</v>
      </c>
      <c r="N71" s="20" t="s">
        <v>5398</v>
      </c>
      <c r="O71" s="6" t="s">
        <v>814</v>
      </c>
      <c r="P71" s="254" t="s">
        <v>1441</v>
      </c>
      <c r="Q71" s="49" t="n">
        <f aca="false">Spec_Rack!E6</f>
        <v>72</v>
      </c>
      <c r="R71" s="187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5337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5422</v>
      </c>
      <c r="B72" s="254" t="s">
        <v>5304</v>
      </c>
      <c r="C72" s="30" t="s">
        <v>3207</v>
      </c>
      <c r="D72" s="30" t="s">
        <v>3289</v>
      </c>
      <c r="E72" s="6" t="s">
        <v>217</v>
      </c>
      <c r="F72" s="254" t="s">
        <v>377</v>
      </c>
      <c r="G72" s="254" t="s">
        <v>5305</v>
      </c>
      <c r="H72" s="30" t="s">
        <v>5420</v>
      </c>
      <c r="I72" s="20" t="s">
        <v>5335</v>
      </c>
      <c r="J72" s="30" t="s">
        <v>814</v>
      </c>
      <c r="K72" s="254"/>
      <c r="L72" s="254"/>
      <c r="M72" s="30" t="s">
        <v>814</v>
      </c>
      <c r="N72" s="20" t="s">
        <v>5398</v>
      </c>
      <c r="O72" s="6" t="s">
        <v>814</v>
      </c>
      <c r="P72" s="254" t="s">
        <v>1441</v>
      </c>
      <c r="Q72" s="49" t="n">
        <f aca="false">Spec_Rack!F6</f>
        <v>72</v>
      </c>
      <c r="R72" s="187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5337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5423</v>
      </c>
      <c r="B73" s="254" t="s">
        <v>5304</v>
      </c>
      <c r="C73" s="30" t="s">
        <v>3207</v>
      </c>
      <c r="D73" s="30" t="s">
        <v>3290</v>
      </c>
      <c r="E73" s="6" t="s">
        <v>217</v>
      </c>
      <c r="F73" s="254" t="s">
        <v>377</v>
      </c>
      <c r="G73" s="254" t="s">
        <v>5305</v>
      </c>
      <c r="H73" s="30" t="s">
        <v>5424</v>
      </c>
      <c r="I73" s="20" t="s">
        <v>5335</v>
      </c>
      <c r="J73" s="30" t="s">
        <v>814</v>
      </c>
      <c r="K73" s="254"/>
      <c r="L73" s="254"/>
      <c r="M73" s="30" t="s">
        <v>814</v>
      </c>
      <c r="N73" s="20" t="s">
        <v>5398</v>
      </c>
      <c r="O73" s="6" t="s">
        <v>814</v>
      </c>
      <c r="P73" s="254" t="s">
        <v>1441</v>
      </c>
      <c r="Q73" s="49" t="n">
        <f aca="false">Spec_Rack!G6</f>
        <v>72</v>
      </c>
      <c r="R73" s="187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5337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5425</v>
      </c>
      <c r="B74" s="254" t="s">
        <v>5304</v>
      </c>
      <c r="C74" s="30" t="s">
        <v>3207</v>
      </c>
      <c r="D74" s="30" t="s">
        <v>3209</v>
      </c>
      <c r="E74" s="20" t="s">
        <v>222</v>
      </c>
      <c r="F74" s="30" t="s">
        <v>132</v>
      </c>
      <c r="G74" s="254" t="s">
        <v>1440</v>
      </c>
      <c r="H74" s="30" t="s">
        <v>814</v>
      </c>
      <c r="I74" s="6" t="s">
        <v>814</v>
      </c>
      <c r="J74" s="30" t="s">
        <v>5311</v>
      </c>
      <c r="K74" s="254"/>
      <c r="L74" s="254"/>
      <c r="M74" s="30" t="s">
        <v>814</v>
      </c>
      <c r="N74" s="6" t="s">
        <v>5426</v>
      </c>
      <c r="O74" s="6" t="s">
        <v>814</v>
      </c>
      <c r="P74" s="254" t="s">
        <v>5308</v>
      </c>
      <c r="Q74" s="49" t="n">
        <f aca="false">Spec_Rack!C8</f>
        <v>38</v>
      </c>
      <c r="R74" s="30" t="s">
        <v>814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5309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5427</v>
      </c>
      <c r="B75" s="254" t="s">
        <v>5304</v>
      </c>
      <c r="C75" s="30" t="s">
        <v>3207</v>
      </c>
      <c r="D75" s="30" t="s">
        <v>3386</v>
      </c>
      <c r="E75" s="20" t="s">
        <v>222</v>
      </c>
      <c r="F75" s="254" t="s">
        <v>377</v>
      </c>
      <c r="G75" s="254" t="s">
        <v>5305</v>
      </c>
      <c r="H75" s="30" t="s">
        <v>5428</v>
      </c>
      <c r="I75" s="20" t="s">
        <v>5335</v>
      </c>
      <c r="J75" s="30" t="s">
        <v>814</v>
      </c>
      <c r="K75" s="254"/>
      <c r="L75" s="254"/>
      <c r="M75" s="30" t="s">
        <v>814</v>
      </c>
      <c r="N75" s="20" t="s">
        <v>5398</v>
      </c>
      <c r="O75" s="6" t="s">
        <v>814</v>
      </c>
      <c r="P75" s="254" t="s">
        <v>5308</v>
      </c>
      <c r="Q75" s="49" t="n">
        <f aca="false">Spec_Rack!D8</f>
        <v>120</v>
      </c>
      <c r="R75" s="187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5337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5429</v>
      </c>
      <c r="B76" s="254" t="s">
        <v>5304</v>
      </c>
      <c r="C76" s="30" t="s">
        <v>3207</v>
      </c>
      <c r="D76" s="30" t="s">
        <v>3146</v>
      </c>
      <c r="E76" s="20" t="s">
        <v>222</v>
      </c>
      <c r="F76" s="254" t="s">
        <v>377</v>
      </c>
      <c r="G76" s="254" t="s">
        <v>5305</v>
      </c>
      <c r="H76" s="30" t="s">
        <v>5430</v>
      </c>
      <c r="I76" s="20" t="s">
        <v>5335</v>
      </c>
      <c r="J76" s="30" t="s">
        <v>814</v>
      </c>
      <c r="K76" s="254"/>
      <c r="L76" s="254"/>
      <c r="M76" s="30" t="s">
        <v>814</v>
      </c>
      <c r="N76" s="20" t="s">
        <v>5398</v>
      </c>
      <c r="O76" s="6" t="s">
        <v>814</v>
      </c>
      <c r="P76" s="254" t="s">
        <v>5308</v>
      </c>
      <c r="Q76" s="49" t="n">
        <f aca="false">Spec_Rack!E8</f>
        <v>132</v>
      </c>
      <c r="R76" s="187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5337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5431</v>
      </c>
      <c r="B77" s="254" t="s">
        <v>5304</v>
      </c>
      <c r="C77" s="30" t="s">
        <v>3207</v>
      </c>
      <c r="D77" s="30" t="s">
        <v>3299</v>
      </c>
      <c r="E77" s="20" t="s">
        <v>222</v>
      </c>
      <c r="F77" s="254" t="s">
        <v>377</v>
      </c>
      <c r="G77" s="254" t="s">
        <v>5305</v>
      </c>
      <c r="H77" s="30" t="s">
        <v>5432</v>
      </c>
      <c r="I77" s="20" t="s">
        <v>5335</v>
      </c>
      <c r="J77" s="30" t="s">
        <v>814</v>
      </c>
      <c r="K77" s="254"/>
      <c r="L77" s="254"/>
      <c r="M77" s="30" t="s">
        <v>814</v>
      </c>
      <c r="N77" s="20" t="s">
        <v>5398</v>
      </c>
      <c r="O77" s="6" t="s">
        <v>814</v>
      </c>
      <c r="P77" s="254" t="s">
        <v>5308</v>
      </c>
      <c r="Q77" s="49" t="n">
        <f aca="false">Spec_Rack!F8</f>
        <v>188</v>
      </c>
      <c r="R77" s="187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5337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5433</v>
      </c>
      <c r="B78" s="254" t="s">
        <v>5304</v>
      </c>
      <c r="C78" s="30" t="s">
        <v>3207</v>
      </c>
      <c r="D78" s="30" t="s">
        <v>3210</v>
      </c>
      <c r="E78" s="20" t="s">
        <v>222</v>
      </c>
      <c r="F78" s="30" t="s">
        <v>180</v>
      </c>
      <c r="G78" s="254" t="s">
        <v>1440</v>
      </c>
      <c r="H78" s="30" t="s">
        <v>814</v>
      </c>
      <c r="I78" s="6" t="s">
        <v>814</v>
      </c>
      <c r="J78" s="30" t="s">
        <v>5434</v>
      </c>
      <c r="K78" s="254"/>
      <c r="L78" s="254"/>
      <c r="M78" s="30" t="s">
        <v>814</v>
      </c>
      <c r="N78" s="6" t="s">
        <v>5435</v>
      </c>
      <c r="O78" s="6" t="s">
        <v>814</v>
      </c>
      <c r="P78" s="254" t="s">
        <v>5308</v>
      </c>
      <c r="Q78" s="49" t="n">
        <f aca="false">Spec_Rack!G8</f>
        <v>300</v>
      </c>
      <c r="R78" s="30" t="s">
        <v>814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5309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5436</v>
      </c>
      <c r="B79" s="254" t="s">
        <v>5304</v>
      </c>
      <c r="C79" s="30" t="s">
        <v>3207</v>
      </c>
      <c r="D79" s="30" t="s">
        <v>3211</v>
      </c>
      <c r="E79" s="20" t="s">
        <v>223</v>
      </c>
      <c r="F79" s="254" t="s">
        <v>5437</v>
      </c>
      <c r="G79" s="254" t="s">
        <v>115</v>
      </c>
      <c r="H79" s="30" t="s">
        <v>5438</v>
      </c>
      <c r="I79" s="20" t="s">
        <v>5439</v>
      </c>
      <c r="J79" s="30" t="s">
        <v>814</v>
      </c>
      <c r="K79" s="49" t="n">
        <f aca="false">Spec_Rack!C8</f>
        <v>38</v>
      </c>
      <c r="L79" s="49" t="n">
        <f aca="false">Spec_Rack!C10</f>
        <v>44</v>
      </c>
      <c r="M79" s="30" t="s">
        <v>814</v>
      </c>
      <c r="N79" s="20" t="s">
        <v>5440</v>
      </c>
      <c r="O79" s="6" t="s">
        <v>814</v>
      </c>
      <c r="P79" s="254" t="s">
        <v>1441</v>
      </c>
      <c r="Q79" s="49" t="n">
        <f aca="false">Spec_Rack!C9</f>
        <v>41</v>
      </c>
      <c r="R79" s="187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5309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5441</v>
      </c>
      <c r="B80" s="254" t="s">
        <v>5304</v>
      </c>
      <c r="C80" s="30" t="s">
        <v>3207</v>
      </c>
      <c r="D80" s="30" t="s">
        <v>3147</v>
      </c>
      <c r="E80" s="20" t="s">
        <v>223</v>
      </c>
      <c r="F80" s="254" t="s">
        <v>377</v>
      </c>
      <c r="G80" s="254" t="s">
        <v>115</v>
      </c>
      <c r="H80" s="30" t="s">
        <v>5428</v>
      </c>
      <c r="I80" s="20" t="s">
        <v>5442</v>
      </c>
      <c r="J80" s="30" t="s">
        <v>814</v>
      </c>
      <c r="K80" s="49" t="n">
        <f aca="false">Spec_Rack!D8</f>
        <v>120</v>
      </c>
      <c r="L80" s="49" t="n">
        <f aca="false">Spec_Rack!D10</f>
        <v>140</v>
      </c>
      <c r="M80" s="30" t="s">
        <v>814</v>
      </c>
      <c r="N80" s="20" t="s">
        <v>5443</v>
      </c>
      <c r="O80" s="6" t="s">
        <v>814</v>
      </c>
      <c r="P80" s="254" t="s">
        <v>1441</v>
      </c>
      <c r="Q80" s="49" t="n">
        <f aca="false">Spec_Rack!D9</f>
        <v>132</v>
      </c>
      <c r="R80" s="187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5337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5444</v>
      </c>
      <c r="B81" s="254" t="s">
        <v>5304</v>
      </c>
      <c r="C81" s="30" t="s">
        <v>3207</v>
      </c>
      <c r="D81" s="30" t="s">
        <v>3148</v>
      </c>
      <c r="E81" s="20" t="s">
        <v>223</v>
      </c>
      <c r="F81" s="254" t="s">
        <v>180</v>
      </c>
      <c r="G81" s="254" t="s">
        <v>115</v>
      </c>
      <c r="H81" s="30" t="s">
        <v>5430</v>
      </c>
      <c r="I81" s="20" t="s">
        <v>5445</v>
      </c>
      <c r="J81" s="30" t="s">
        <v>814</v>
      </c>
      <c r="K81" s="49" t="n">
        <f aca="false">Spec_Rack!E8</f>
        <v>132</v>
      </c>
      <c r="L81" s="49" t="n">
        <f aca="false">Spec_Rack!E10</f>
        <v>140</v>
      </c>
      <c r="M81" s="30" t="s">
        <v>814</v>
      </c>
      <c r="N81" s="20" t="s">
        <v>5446</v>
      </c>
      <c r="O81" s="20" t="s">
        <v>5447</v>
      </c>
      <c r="P81" s="254" t="s">
        <v>1441</v>
      </c>
      <c r="Q81" s="49" t="n">
        <f aca="false">Spec_Rack!E9</f>
        <v>136</v>
      </c>
      <c r="R81" s="187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5309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5448</v>
      </c>
      <c r="B82" s="254" t="s">
        <v>5304</v>
      </c>
      <c r="C82" s="30" t="s">
        <v>3207</v>
      </c>
      <c r="D82" s="30" t="s">
        <v>3149</v>
      </c>
      <c r="E82" s="20" t="s">
        <v>223</v>
      </c>
      <c r="F82" s="254" t="s">
        <v>377</v>
      </c>
      <c r="G82" s="254" t="s">
        <v>5305</v>
      </c>
      <c r="H82" s="30" t="s">
        <v>5449</v>
      </c>
      <c r="I82" s="20" t="s">
        <v>5335</v>
      </c>
      <c r="J82" s="30" t="s">
        <v>814</v>
      </c>
      <c r="K82" s="254"/>
      <c r="L82" s="254"/>
      <c r="M82" s="30" t="s">
        <v>814</v>
      </c>
      <c r="N82" s="20" t="s">
        <v>5398</v>
      </c>
      <c r="O82" s="6" t="s">
        <v>814</v>
      </c>
      <c r="P82" s="254" t="s">
        <v>1441</v>
      </c>
      <c r="Q82" s="49" t="n">
        <f aca="false">Spec_Rack!F9</f>
        <v>227</v>
      </c>
      <c r="R82" s="187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5337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5450</v>
      </c>
      <c r="B83" s="254" t="s">
        <v>5304</v>
      </c>
      <c r="C83" s="30" t="s">
        <v>3207</v>
      </c>
      <c r="D83" s="30" t="s">
        <v>3212</v>
      </c>
      <c r="E83" s="20" t="s">
        <v>223</v>
      </c>
      <c r="F83" s="254" t="s">
        <v>180</v>
      </c>
      <c r="G83" s="254" t="s">
        <v>115</v>
      </c>
      <c r="H83" s="30" t="s">
        <v>814</v>
      </c>
      <c r="I83" s="20" t="s">
        <v>5451</v>
      </c>
      <c r="J83" s="30" t="s">
        <v>5434</v>
      </c>
      <c r="K83" s="257" t="n">
        <f aca="false">Spec_Rack!G8</f>
        <v>300</v>
      </c>
      <c r="L83" s="257" t="n">
        <f aca="false">Spec_Rack!G10</f>
        <v>454</v>
      </c>
      <c r="M83" s="30" t="s">
        <v>814</v>
      </c>
      <c r="N83" s="20" t="s">
        <v>5452</v>
      </c>
      <c r="O83" s="20" t="s">
        <v>5453</v>
      </c>
      <c r="P83" s="254" t="s">
        <v>1441</v>
      </c>
      <c r="Q83" s="49" t="n">
        <f aca="false">Spec_Rack!G9</f>
        <v>340</v>
      </c>
      <c r="R83" s="30" t="s">
        <v>814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5309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5454</v>
      </c>
      <c r="B84" s="254" t="s">
        <v>5304</v>
      </c>
      <c r="C84" s="30" t="s">
        <v>3207</v>
      </c>
      <c r="D84" s="30" t="s">
        <v>3213</v>
      </c>
      <c r="E84" s="20" t="s">
        <v>224</v>
      </c>
      <c r="F84" s="30" t="s">
        <v>132</v>
      </c>
      <c r="G84" s="254" t="s">
        <v>1441</v>
      </c>
      <c r="H84" s="30" t="s">
        <v>814</v>
      </c>
      <c r="I84" s="6" t="s">
        <v>814</v>
      </c>
      <c r="J84" s="30" t="s">
        <v>5311</v>
      </c>
      <c r="K84" s="254"/>
      <c r="L84" s="254"/>
      <c r="M84" s="30" t="s">
        <v>814</v>
      </c>
      <c r="N84" s="6" t="s">
        <v>5455</v>
      </c>
      <c r="O84" s="6" t="s">
        <v>814</v>
      </c>
      <c r="P84" s="254" t="s">
        <v>5308</v>
      </c>
      <c r="Q84" s="49" t="n">
        <f aca="false">Spec_Rack!C10</f>
        <v>44</v>
      </c>
      <c r="R84" s="30" t="s">
        <v>814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5309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5456</v>
      </c>
      <c r="B85" s="254" t="s">
        <v>5304</v>
      </c>
      <c r="C85" s="30" t="s">
        <v>3207</v>
      </c>
      <c r="D85" s="30" t="s">
        <v>3150</v>
      </c>
      <c r="E85" s="20" t="s">
        <v>224</v>
      </c>
      <c r="F85" s="30" t="s">
        <v>132</v>
      </c>
      <c r="G85" s="254" t="s">
        <v>1441</v>
      </c>
      <c r="H85" s="30" t="s">
        <v>814</v>
      </c>
      <c r="I85" s="6" t="s">
        <v>814</v>
      </c>
      <c r="J85" s="30" t="s">
        <v>5311</v>
      </c>
      <c r="K85" s="254"/>
      <c r="L85" s="254"/>
      <c r="M85" s="30" t="s">
        <v>814</v>
      </c>
      <c r="N85" s="6" t="s">
        <v>5457</v>
      </c>
      <c r="O85" s="6" t="s">
        <v>814</v>
      </c>
      <c r="P85" s="254" t="s">
        <v>5308</v>
      </c>
      <c r="Q85" s="49" t="n">
        <f aca="false">Spec_Rack!D10</f>
        <v>140</v>
      </c>
      <c r="R85" s="30" t="s">
        <v>814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5309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5458</v>
      </c>
      <c r="B86" s="254" t="s">
        <v>5304</v>
      </c>
      <c r="C86" s="30" t="s">
        <v>3207</v>
      </c>
      <c r="D86" s="30" t="s">
        <v>3151</v>
      </c>
      <c r="E86" s="20" t="s">
        <v>224</v>
      </c>
      <c r="F86" s="254" t="s">
        <v>377</v>
      </c>
      <c r="G86" s="254" t="s">
        <v>5305</v>
      </c>
      <c r="H86" s="30" t="s">
        <v>5430</v>
      </c>
      <c r="I86" s="20" t="s">
        <v>5335</v>
      </c>
      <c r="J86" s="30" t="s">
        <v>814</v>
      </c>
      <c r="K86" s="254"/>
      <c r="L86" s="254"/>
      <c r="M86" s="30" t="s">
        <v>814</v>
      </c>
      <c r="N86" s="20" t="s">
        <v>5398</v>
      </c>
      <c r="O86" s="6" t="s">
        <v>814</v>
      </c>
      <c r="P86" s="254" t="s">
        <v>5308</v>
      </c>
      <c r="Q86" s="49" t="n">
        <f aca="false">Spec_Rack!E10</f>
        <v>140</v>
      </c>
      <c r="R86" s="187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5337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5459</v>
      </c>
      <c r="B87" s="254" t="s">
        <v>5304</v>
      </c>
      <c r="C87" s="30" t="s">
        <v>3207</v>
      </c>
      <c r="D87" s="30" t="s">
        <v>3152</v>
      </c>
      <c r="E87" s="20" t="s">
        <v>224</v>
      </c>
      <c r="F87" s="254" t="s">
        <v>377</v>
      </c>
      <c r="G87" s="254" t="s">
        <v>5305</v>
      </c>
      <c r="H87" s="30" t="s">
        <v>5460</v>
      </c>
      <c r="I87" s="20" t="s">
        <v>5335</v>
      </c>
      <c r="J87" s="30" t="s">
        <v>814</v>
      </c>
      <c r="K87" s="254"/>
      <c r="L87" s="254"/>
      <c r="M87" s="30" t="s">
        <v>814</v>
      </c>
      <c r="N87" s="20" t="s">
        <v>5398</v>
      </c>
      <c r="O87" s="6" t="s">
        <v>814</v>
      </c>
      <c r="P87" s="254" t="s">
        <v>5308</v>
      </c>
      <c r="Q87" s="49" t="n">
        <f aca="false">Spec_Rack!F10</f>
        <v>230</v>
      </c>
      <c r="R87" s="187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5337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5461</v>
      </c>
      <c r="B88" s="254" t="s">
        <v>5304</v>
      </c>
      <c r="C88" s="30" t="s">
        <v>3207</v>
      </c>
      <c r="D88" s="30" t="s">
        <v>3214</v>
      </c>
      <c r="E88" s="20" t="s">
        <v>224</v>
      </c>
      <c r="F88" s="30" t="s">
        <v>180</v>
      </c>
      <c r="G88" s="254" t="s">
        <v>1441</v>
      </c>
      <c r="H88" s="30" t="s">
        <v>814</v>
      </c>
      <c r="I88" s="6" t="s">
        <v>814</v>
      </c>
      <c r="J88" s="30" t="s">
        <v>5434</v>
      </c>
      <c r="K88" s="254"/>
      <c r="L88" s="254"/>
      <c r="M88" s="30" t="s">
        <v>814</v>
      </c>
      <c r="N88" s="6" t="s">
        <v>5462</v>
      </c>
      <c r="O88" s="6" t="s">
        <v>814</v>
      </c>
      <c r="P88" s="254" t="s">
        <v>5308</v>
      </c>
      <c r="Q88" s="49" t="n">
        <f aca="false">Spec_Rack!G10</f>
        <v>454</v>
      </c>
      <c r="R88" s="30" t="s">
        <v>814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5309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5463</v>
      </c>
      <c r="B89" s="254" t="s">
        <v>5304</v>
      </c>
      <c r="C89" s="30" t="s">
        <v>3207</v>
      </c>
      <c r="D89" s="30" t="s">
        <v>3215</v>
      </c>
      <c r="E89" s="20" t="s">
        <v>225</v>
      </c>
      <c r="F89" s="254" t="s">
        <v>5437</v>
      </c>
      <c r="G89" s="254" t="s">
        <v>1440</v>
      </c>
      <c r="H89" s="30" t="s">
        <v>5464</v>
      </c>
      <c r="I89" s="20" t="s">
        <v>5465</v>
      </c>
      <c r="J89" s="30" t="s">
        <v>814</v>
      </c>
      <c r="K89" s="254"/>
      <c r="L89" s="254"/>
      <c r="M89" s="30" t="s">
        <v>814</v>
      </c>
      <c r="N89" s="20" t="s">
        <v>5466</v>
      </c>
      <c r="O89" s="6" t="s">
        <v>814</v>
      </c>
      <c r="P89" s="254" t="s">
        <v>5308</v>
      </c>
      <c r="Q89" s="198" t="n">
        <f aca="false">Spec_Rack!C11</f>
        <v>0.9</v>
      </c>
      <c r="R89" s="187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5309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5467</v>
      </c>
      <c r="B90" s="254" t="s">
        <v>5304</v>
      </c>
      <c r="C90" s="30" t="s">
        <v>3207</v>
      </c>
      <c r="D90" s="30" t="s">
        <v>3153</v>
      </c>
      <c r="E90" s="20" t="s">
        <v>225</v>
      </c>
      <c r="F90" s="254" t="s">
        <v>377</v>
      </c>
      <c r="G90" s="254" t="s">
        <v>5305</v>
      </c>
      <c r="H90" s="30" t="s">
        <v>5468</v>
      </c>
      <c r="I90" s="20" t="s">
        <v>5335</v>
      </c>
      <c r="J90" s="30" t="s">
        <v>814</v>
      </c>
      <c r="K90" s="254"/>
      <c r="L90" s="254"/>
      <c r="M90" s="30" t="s">
        <v>814</v>
      </c>
      <c r="N90" s="20" t="s">
        <v>5469</v>
      </c>
      <c r="O90" s="6" t="s">
        <v>814</v>
      </c>
      <c r="P90" s="254" t="s">
        <v>5308</v>
      </c>
      <c r="Q90" s="198" t="n">
        <f aca="false">Spec_Rack!D11</f>
        <v>2.8</v>
      </c>
      <c r="R90" s="187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5337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5470</v>
      </c>
      <c r="B91" s="254" t="s">
        <v>5304</v>
      </c>
      <c r="C91" s="30" t="s">
        <v>3207</v>
      </c>
      <c r="D91" s="30" t="s">
        <v>3154</v>
      </c>
      <c r="E91" s="20" t="s">
        <v>225</v>
      </c>
      <c r="F91" s="254" t="s">
        <v>377</v>
      </c>
      <c r="G91" s="254" t="s">
        <v>5305</v>
      </c>
      <c r="H91" s="30" t="s">
        <v>5471</v>
      </c>
      <c r="I91" s="20" t="s">
        <v>5335</v>
      </c>
      <c r="J91" s="30" t="s">
        <v>5472</v>
      </c>
      <c r="K91" s="254"/>
      <c r="L91" s="254"/>
      <c r="M91" s="30" t="s">
        <v>814</v>
      </c>
      <c r="N91" s="20" t="s">
        <v>5473</v>
      </c>
      <c r="O91" s="6" t="s">
        <v>814</v>
      </c>
      <c r="P91" s="254" t="s">
        <v>5308</v>
      </c>
      <c r="Q91" s="198" t="n">
        <f aca="false">Spec_Rack!E11</f>
        <v>4</v>
      </c>
      <c r="R91" s="187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5337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5474</v>
      </c>
      <c r="B92" s="254" t="s">
        <v>5304</v>
      </c>
      <c r="C92" s="30" t="s">
        <v>3207</v>
      </c>
      <c r="D92" s="30" t="s">
        <v>3155</v>
      </c>
      <c r="E92" s="20" t="s">
        <v>225</v>
      </c>
      <c r="F92" s="254" t="s">
        <v>180</v>
      </c>
      <c r="G92" s="254" t="s">
        <v>1440</v>
      </c>
      <c r="H92" s="30" t="s">
        <v>5475</v>
      </c>
      <c r="I92" s="20" t="s">
        <v>5476</v>
      </c>
      <c r="J92" s="30" t="s">
        <v>814</v>
      </c>
      <c r="K92" s="254"/>
      <c r="L92" s="254"/>
      <c r="M92" s="30" t="s">
        <v>814</v>
      </c>
      <c r="N92" s="20" t="s">
        <v>5477</v>
      </c>
      <c r="O92" s="20" t="s">
        <v>5478</v>
      </c>
      <c r="P92" s="254" t="s">
        <v>5308</v>
      </c>
      <c r="Q92" s="198" t="n">
        <f aca="false">Spec_Rack!F11</f>
        <v>7.8</v>
      </c>
      <c r="R92" s="187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5309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5479</v>
      </c>
      <c r="B93" s="254" t="s">
        <v>5304</v>
      </c>
      <c r="C93" s="30" t="s">
        <v>3207</v>
      </c>
      <c r="D93" s="30" t="s">
        <v>3309</v>
      </c>
      <c r="E93" s="20" t="s">
        <v>225</v>
      </c>
      <c r="F93" s="30" t="s">
        <v>132</v>
      </c>
      <c r="G93" s="254" t="s">
        <v>1440</v>
      </c>
      <c r="H93" s="30" t="s">
        <v>814</v>
      </c>
      <c r="I93" s="6" t="s">
        <v>814</v>
      </c>
      <c r="J93" s="30" t="s">
        <v>5480</v>
      </c>
      <c r="K93" s="254"/>
      <c r="L93" s="254"/>
      <c r="M93" s="30" t="s">
        <v>814</v>
      </c>
      <c r="N93" s="6" t="s">
        <v>5481</v>
      </c>
      <c r="O93" s="6" t="s">
        <v>5482</v>
      </c>
      <c r="P93" s="254" t="s">
        <v>5308</v>
      </c>
      <c r="Q93" s="198" t="n">
        <f aca="false">Spec_Rack!G11</f>
        <v>12.6</v>
      </c>
      <c r="R93" s="30" t="s">
        <v>814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5373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5483</v>
      </c>
      <c r="B94" s="254" t="s">
        <v>5304</v>
      </c>
      <c r="C94" s="30" t="s">
        <v>3207</v>
      </c>
      <c r="D94" s="30" t="s">
        <v>3216</v>
      </c>
      <c r="E94" s="20" t="s">
        <v>226</v>
      </c>
      <c r="F94" s="254" t="s">
        <v>5437</v>
      </c>
      <c r="G94" s="254" t="s">
        <v>115</v>
      </c>
      <c r="H94" s="30" t="s">
        <v>5464</v>
      </c>
      <c r="I94" s="20" t="s">
        <v>5484</v>
      </c>
      <c r="J94" s="30" t="s">
        <v>814</v>
      </c>
      <c r="K94" s="198" t="n">
        <f aca="false">Spec_Rack!C11</f>
        <v>0.9</v>
      </c>
      <c r="L94" s="198" t="n">
        <f aca="false">Spec_Rack!C13</f>
        <v>1.3</v>
      </c>
      <c r="M94" s="30" t="s">
        <v>814</v>
      </c>
      <c r="N94" s="20" t="s">
        <v>5485</v>
      </c>
      <c r="O94" s="6" t="s">
        <v>814</v>
      </c>
      <c r="P94" s="254" t="s">
        <v>1441</v>
      </c>
      <c r="Q94" s="198" t="n">
        <f aca="false">Spec_Rack!C12</f>
        <v>1.1</v>
      </c>
      <c r="R94" s="187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5309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5486</v>
      </c>
      <c r="B95" s="254" t="s">
        <v>5304</v>
      </c>
      <c r="C95" s="30" t="s">
        <v>3207</v>
      </c>
      <c r="D95" s="30" t="s">
        <v>3217</v>
      </c>
      <c r="E95" s="20" t="s">
        <v>226</v>
      </c>
      <c r="F95" s="254" t="s">
        <v>5437</v>
      </c>
      <c r="G95" s="254" t="s">
        <v>115</v>
      </c>
      <c r="H95" s="30" t="s">
        <v>5468</v>
      </c>
      <c r="I95" s="20" t="s">
        <v>5487</v>
      </c>
      <c r="J95" s="30" t="s">
        <v>814</v>
      </c>
      <c r="K95" s="198" t="n">
        <f aca="false">Spec_Rack!D11</f>
        <v>2.8</v>
      </c>
      <c r="L95" s="198" t="n">
        <f aca="false">Spec_Rack!D13</f>
        <v>3.4</v>
      </c>
      <c r="M95" s="30" t="s">
        <v>814</v>
      </c>
      <c r="N95" s="20" t="s">
        <v>5488</v>
      </c>
      <c r="O95" s="6" t="s">
        <v>814</v>
      </c>
      <c r="P95" s="254" t="s">
        <v>1441</v>
      </c>
      <c r="Q95" s="198" t="n">
        <f aca="false">Spec_Rack!D12</f>
        <v>3.1</v>
      </c>
      <c r="R95" s="187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5309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5489</v>
      </c>
      <c r="B96" s="254" t="s">
        <v>5304</v>
      </c>
      <c r="C96" s="30" t="s">
        <v>3207</v>
      </c>
      <c r="D96" s="30" t="s">
        <v>3218</v>
      </c>
      <c r="E96" s="20" t="s">
        <v>226</v>
      </c>
      <c r="F96" s="254" t="s">
        <v>180</v>
      </c>
      <c r="G96" s="254" t="s">
        <v>115</v>
      </c>
      <c r="H96" s="30" t="s">
        <v>5471</v>
      </c>
      <c r="I96" s="20" t="s">
        <v>5490</v>
      </c>
      <c r="J96" s="30" t="s">
        <v>5472</v>
      </c>
      <c r="K96" s="198" t="n">
        <f aca="false">Spec_Rack!E11</f>
        <v>4</v>
      </c>
      <c r="L96" s="198" t="n">
        <f aca="false">Spec_Rack!E13</f>
        <v>5</v>
      </c>
      <c r="M96" s="30" t="s">
        <v>814</v>
      </c>
      <c r="N96" s="20" t="s">
        <v>5491</v>
      </c>
      <c r="O96" s="246" t="s">
        <v>5492</v>
      </c>
      <c r="P96" s="254" t="s">
        <v>1441</v>
      </c>
      <c r="Q96" s="198" t="n">
        <f aca="false">Spec_Rack!E12</f>
        <v>4.3</v>
      </c>
      <c r="R96" s="187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5309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5493</v>
      </c>
      <c r="B97" s="254" t="s">
        <v>5304</v>
      </c>
      <c r="C97" s="30" t="s">
        <v>3207</v>
      </c>
      <c r="D97" s="30" t="s">
        <v>3219</v>
      </c>
      <c r="E97" s="20" t="s">
        <v>226</v>
      </c>
      <c r="F97" s="254" t="s">
        <v>180</v>
      </c>
      <c r="G97" s="254" t="s">
        <v>115</v>
      </c>
      <c r="H97" s="30" t="s">
        <v>5475</v>
      </c>
      <c r="I97" s="20" t="s">
        <v>5494</v>
      </c>
      <c r="J97" s="30" t="s">
        <v>814</v>
      </c>
      <c r="K97" s="258" t="n">
        <f aca="false">Spec_Rack!F11</f>
        <v>7.8</v>
      </c>
      <c r="L97" s="258" t="n">
        <f aca="false">Spec_Rack!F13</f>
        <v>9.1</v>
      </c>
      <c r="M97" s="30" t="s">
        <v>814</v>
      </c>
      <c r="N97" s="20" t="s">
        <v>5495</v>
      </c>
      <c r="O97" s="20" t="s">
        <v>5496</v>
      </c>
      <c r="P97" s="254" t="s">
        <v>1441</v>
      </c>
      <c r="Q97" s="198" t="n">
        <f aca="false">Spec_Rack!F12</f>
        <v>8.4</v>
      </c>
      <c r="R97" s="187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5309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5497</v>
      </c>
      <c r="B98" s="254" t="s">
        <v>5304</v>
      </c>
      <c r="C98" s="30" t="s">
        <v>3207</v>
      </c>
      <c r="D98" s="30" t="s">
        <v>3313</v>
      </c>
      <c r="E98" s="20" t="s">
        <v>226</v>
      </c>
      <c r="F98" s="30" t="s">
        <v>132</v>
      </c>
      <c r="G98" s="254" t="s">
        <v>115</v>
      </c>
      <c r="H98" s="30" t="s">
        <v>814</v>
      </c>
      <c r="I98" s="6" t="s">
        <v>814</v>
      </c>
      <c r="J98" s="30" t="s">
        <v>5480</v>
      </c>
      <c r="K98" s="198" t="n">
        <f aca="false">Spec_Rack!G11</f>
        <v>12.6</v>
      </c>
      <c r="L98" s="198" t="n">
        <f aca="false">Spec_Rack!G13</f>
        <v>21</v>
      </c>
      <c r="M98" s="30" t="s">
        <v>814</v>
      </c>
      <c r="N98" s="6" t="s">
        <v>5498</v>
      </c>
      <c r="O98" s="6" t="s">
        <v>5482</v>
      </c>
      <c r="P98" s="254" t="s">
        <v>1441</v>
      </c>
      <c r="Q98" s="198" t="n">
        <f aca="false">Spec_Rack!G12</f>
        <v>16.8</v>
      </c>
      <c r="R98" s="30" t="s">
        <v>814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5373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5499</v>
      </c>
      <c r="B99" s="254" t="s">
        <v>5304</v>
      </c>
      <c r="C99" s="30" t="s">
        <v>3207</v>
      </c>
      <c r="D99" s="30" t="s">
        <v>3220</v>
      </c>
      <c r="E99" s="20" t="s">
        <v>227</v>
      </c>
      <c r="F99" s="254" t="s">
        <v>5437</v>
      </c>
      <c r="G99" s="254" t="s">
        <v>1441</v>
      </c>
      <c r="H99" s="30" t="s">
        <v>5464</v>
      </c>
      <c r="I99" s="20" t="s">
        <v>5500</v>
      </c>
      <c r="J99" s="30" t="s">
        <v>814</v>
      </c>
      <c r="K99" s="254"/>
      <c r="L99" s="254"/>
      <c r="M99" s="30" t="s">
        <v>814</v>
      </c>
      <c r="N99" s="20" t="s">
        <v>5501</v>
      </c>
      <c r="O99" s="6" t="s">
        <v>814</v>
      </c>
      <c r="P99" s="254" t="s">
        <v>5308</v>
      </c>
      <c r="Q99" s="198" t="n">
        <f aca="false">Spec_Rack!C13</f>
        <v>1.3</v>
      </c>
      <c r="R99" s="187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5309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5502</v>
      </c>
      <c r="B100" s="254" t="s">
        <v>5304</v>
      </c>
      <c r="C100" s="30" t="s">
        <v>3207</v>
      </c>
      <c r="D100" s="30" t="s">
        <v>3156</v>
      </c>
      <c r="E100" s="20" t="s">
        <v>227</v>
      </c>
      <c r="F100" s="254" t="s">
        <v>377</v>
      </c>
      <c r="G100" s="254" t="s">
        <v>5305</v>
      </c>
      <c r="H100" s="30" t="s">
        <v>5468</v>
      </c>
      <c r="I100" s="20" t="s">
        <v>5335</v>
      </c>
      <c r="J100" s="30" t="s">
        <v>814</v>
      </c>
      <c r="K100" s="254"/>
      <c r="L100" s="254"/>
      <c r="M100" s="30" t="s">
        <v>814</v>
      </c>
      <c r="N100" s="20" t="s">
        <v>5469</v>
      </c>
      <c r="O100" s="6" t="s">
        <v>814</v>
      </c>
      <c r="P100" s="254" t="s">
        <v>5308</v>
      </c>
      <c r="Q100" s="198" t="n">
        <f aca="false">Spec_Rack!D13</f>
        <v>3.4</v>
      </c>
      <c r="R100" s="187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5337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5503</v>
      </c>
      <c r="B101" s="254" t="s">
        <v>5304</v>
      </c>
      <c r="C101" s="30" t="s">
        <v>3207</v>
      </c>
      <c r="D101" s="30" t="s">
        <v>3157</v>
      </c>
      <c r="E101" s="20" t="s">
        <v>227</v>
      </c>
      <c r="F101" s="254" t="s">
        <v>377</v>
      </c>
      <c r="G101" s="254" t="s">
        <v>5305</v>
      </c>
      <c r="H101" s="30" t="s">
        <v>5504</v>
      </c>
      <c r="I101" s="20" t="s">
        <v>5335</v>
      </c>
      <c r="J101" s="30" t="s">
        <v>5472</v>
      </c>
      <c r="K101" s="254"/>
      <c r="L101" s="254"/>
      <c r="M101" s="30" t="s">
        <v>814</v>
      </c>
      <c r="N101" s="20" t="s">
        <v>5505</v>
      </c>
      <c r="O101" s="6" t="s">
        <v>814</v>
      </c>
      <c r="P101" s="254" t="s">
        <v>5308</v>
      </c>
      <c r="Q101" s="198" t="n">
        <f aca="false">Spec_Rack!E13</f>
        <v>5</v>
      </c>
      <c r="R101" s="187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5337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5506</v>
      </c>
      <c r="B102" s="254" t="s">
        <v>5304</v>
      </c>
      <c r="C102" s="30" t="s">
        <v>3207</v>
      </c>
      <c r="D102" s="30" t="s">
        <v>3221</v>
      </c>
      <c r="E102" s="20" t="s">
        <v>227</v>
      </c>
      <c r="F102" s="254" t="s">
        <v>5437</v>
      </c>
      <c r="G102" s="254" t="s">
        <v>1441</v>
      </c>
      <c r="H102" s="30" t="s">
        <v>5507</v>
      </c>
      <c r="I102" s="20" t="s">
        <v>5508</v>
      </c>
      <c r="J102" s="30" t="s">
        <v>814</v>
      </c>
      <c r="K102" s="254"/>
      <c r="L102" s="254"/>
      <c r="M102" s="30" t="s">
        <v>814</v>
      </c>
      <c r="N102" s="20" t="s">
        <v>5509</v>
      </c>
      <c r="O102" s="6" t="s">
        <v>814</v>
      </c>
      <c r="P102" s="254" t="s">
        <v>5308</v>
      </c>
      <c r="Q102" s="198" t="n">
        <f aca="false">Spec_Rack!F13</f>
        <v>9.1</v>
      </c>
      <c r="R102" s="187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5309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5510</v>
      </c>
      <c r="B103" s="254" t="s">
        <v>5304</v>
      </c>
      <c r="C103" s="30" t="s">
        <v>3207</v>
      </c>
      <c r="D103" s="30" t="s">
        <v>3317</v>
      </c>
      <c r="E103" s="20" t="s">
        <v>227</v>
      </c>
      <c r="F103" s="30" t="s">
        <v>132</v>
      </c>
      <c r="G103" s="254" t="s">
        <v>1441</v>
      </c>
      <c r="H103" s="30" t="s">
        <v>814</v>
      </c>
      <c r="I103" s="6" t="s">
        <v>814</v>
      </c>
      <c r="J103" s="30" t="s">
        <v>5480</v>
      </c>
      <c r="K103" s="254"/>
      <c r="L103" s="254"/>
      <c r="M103" s="30" t="s">
        <v>814</v>
      </c>
      <c r="N103" s="6" t="s">
        <v>5511</v>
      </c>
      <c r="O103" s="6" t="s">
        <v>5482</v>
      </c>
      <c r="P103" s="254" t="s">
        <v>5308</v>
      </c>
      <c r="Q103" s="198" t="n">
        <f aca="false">Spec_Rack!G13</f>
        <v>21</v>
      </c>
      <c r="R103" s="30" t="s">
        <v>814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5373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5512</v>
      </c>
      <c r="B104" s="254" t="s">
        <v>5304</v>
      </c>
      <c r="C104" s="30" t="s">
        <v>3207</v>
      </c>
      <c r="D104" s="30" t="s">
        <v>3257</v>
      </c>
      <c r="E104" s="20" t="s">
        <v>5513</v>
      </c>
      <c r="F104" s="254" t="s">
        <v>377</v>
      </c>
      <c r="G104" s="254" t="s">
        <v>5305</v>
      </c>
      <c r="H104" s="30" t="s">
        <v>5514</v>
      </c>
      <c r="I104" s="20" t="s">
        <v>5335</v>
      </c>
      <c r="J104" s="30" t="s">
        <v>814</v>
      </c>
      <c r="K104" s="254"/>
      <c r="L104" s="254"/>
      <c r="M104" s="30" t="s">
        <v>814</v>
      </c>
      <c r="N104" s="20" t="s">
        <v>5469</v>
      </c>
      <c r="O104" s="6" t="s">
        <v>814</v>
      </c>
      <c r="P104" s="254" t="s">
        <v>5351</v>
      </c>
      <c r="Q104" s="46" t="n">
        <f aca="false">Spec_Rack!C23</f>
        <v>1.979</v>
      </c>
      <c r="R104" s="187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5337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5515</v>
      </c>
      <c r="B105" s="254" t="s">
        <v>5304</v>
      </c>
      <c r="C105" s="30" t="s">
        <v>3207</v>
      </c>
      <c r="D105" s="30" t="s">
        <v>3258</v>
      </c>
      <c r="E105" s="20" t="s">
        <v>5513</v>
      </c>
      <c r="F105" s="254" t="s">
        <v>377</v>
      </c>
      <c r="G105" s="254" t="s">
        <v>5305</v>
      </c>
      <c r="H105" s="30" t="s">
        <v>5516</v>
      </c>
      <c r="I105" s="20" t="s">
        <v>5335</v>
      </c>
      <c r="J105" s="30" t="s">
        <v>814</v>
      </c>
      <c r="K105" s="254"/>
      <c r="L105" s="254"/>
      <c r="M105" s="30" t="s">
        <v>814</v>
      </c>
      <c r="N105" s="20" t="s">
        <v>5469</v>
      </c>
      <c r="O105" s="6" t="s">
        <v>814</v>
      </c>
      <c r="P105" s="254" t="s">
        <v>5351</v>
      </c>
      <c r="Q105" s="46" t="n">
        <f aca="false">Spec_Rack!D23</f>
        <v>10</v>
      </c>
      <c r="R105" s="187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5337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5517</v>
      </c>
      <c r="B106" s="254" t="s">
        <v>5304</v>
      </c>
      <c r="C106" s="30" t="s">
        <v>3207</v>
      </c>
      <c r="D106" s="30" t="s">
        <v>3259</v>
      </c>
      <c r="E106" s="20" t="s">
        <v>5513</v>
      </c>
      <c r="F106" s="254" t="s">
        <v>377</v>
      </c>
      <c r="G106" s="254" t="s">
        <v>5305</v>
      </c>
      <c r="H106" s="30" t="s">
        <v>5518</v>
      </c>
      <c r="I106" s="20" t="s">
        <v>5335</v>
      </c>
      <c r="J106" s="30" t="s">
        <v>814</v>
      </c>
      <c r="K106" s="254"/>
      <c r="L106" s="254"/>
      <c r="M106" s="30" t="s">
        <v>814</v>
      </c>
      <c r="N106" s="20" t="s">
        <v>5469</v>
      </c>
      <c r="O106" s="6" t="s">
        <v>814</v>
      </c>
      <c r="P106" s="254" t="s">
        <v>5351</v>
      </c>
      <c r="Q106" s="46" t="n">
        <f aca="false">Spec_Rack!E23</f>
        <v>15</v>
      </c>
      <c r="R106" s="187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5337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5519</v>
      </c>
      <c r="B107" s="254" t="s">
        <v>5304</v>
      </c>
      <c r="C107" s="30" t="s">
        <v>3207</v>
      </c>
      <c r="D107" s="30" t="s">
        <v>5401</v>
      </c>
      <c r="E107" s="20" t="s">
        <v>5513</v>
      </c>
      <c r="F107" s="254" t="s">
        <v>377</v>
      </c>
      <c r="G107" s="254" t="s">
        <v>5305</v>
      </c>
      <c r="H107" s="30" t="s">
        <v>5520</v>
      </c>
      <c r="I107" s="20" t="s">
        <v>5335</v>
      </c>
      <c r="J107" s="30" t="s">
        <v>814</v>
      </c>
      <c r="K107" s="254"/>
      <c r="L107" s="254"/>
      <c r="M107" s="30" t="s">
        <v>814</v>
      </c>
      <c r="N107" s="20" t="s">
        <v>5469</v>
      </c>
      <c r="O107" s="6" t="s">
        <v>814</v>
      </c>
      <c r="P107" s="254" t="s">
        <v>5351</v>
      </c>
      <c r="Q107" s="46" t="n">
        <f aca="false">Spec_Rack!F23</f>
        <v>35</v>
      </c>
      <c r="R107" s="187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5337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5521</v>
      </c>
      <c r="B108" s="254" t="s">
        <v>5304</v>
      </c>
      <c r="C108" s="30" t="s">
        <v>3207</v>
      </c>
      <c r="D108" s="30" t="s">
        <v>3222</v>
      </c>
      <c r="E108" s="20" t="s">
        <v>5513</v>
      </c>
      <c r="F108" s="30" t="s">
        <v>180</v>
      </c>
      <c r="G108" s="254" t="s">
        <v>115</v>
      </c>
      <c r="H108" s="30" t="s">
        <v>5522</v>
      </c>
      <c r="I108" s="6" t="s">
        <v>5523</v>
      </c>
      <c r="J108" s="30" t="s">
        <v>814</v>
      </c>
      <c r="K108" s="187" t="n">
        <f aca="false">Spec_Rack!G23*0.7</f>
        <v>49</v>
      </c>
      <c r="L108" s="187" t="n">
        <f aca="false">Spec_Rack!G23*1.3</f>
        <v>91</v>
      </c>
      <c r="M108" s="30" t="s">
        <v>5524</v>
      </c>
      <c r="N108" s="6" t="s">
        <v>5525</v>
      </c>
      <c r="O108" s="6" t="s">
        <v>5526</v>
      </c>
      <c r="P108" s="254" t="s">
        <v>1441</v>
      </c>
      <c r="Q108" s="46" t="n">
        <f aca="false">Spec_Rack!G23</f>
        <v>70</v>
      </c>
      <c r="R108" s="187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5309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5527</v>
      </c>
      <c r="B109" s="254" t="s">
        <v>5304</v>
      </c>
      <c r="C109" s="30" t="s">
        <v>3207</v>
      </c>
      <c r="D109" s="30" t="s">
        <v>3260</v>
      </c>
      <c r="E109" s="20" t="s">
        <v>5528</v>
      </c>
      <c r="F109" s="30" t="s">
        <v>5369</v>
      </c>
      <c r="G109" s="254" t="s">
        <v>5305</v>
      </c>
      <c r="H109" s="30" t="s">
        <v>814</v>
      </c>
      <c r="I109" s="6" t="s">
        <v>814</v>
      </c>
      <c r="J109" s="30" t="s">
        <v>5529</v>
      </c>
      <c r="K109" s="254"/>
      <c r="L109" s="254"/>
      <c r="M109" s="30" t="s">
        <v>814</v>
      </c>
      <c r="N109" s="6" t="s">
        <v>5530</v>
      </c>
      <c r="O109" s="6" t="s">
        <v>814</v>
      </c>
      <c r="P109" s="254" t="s">
        <v>1441</v>
      </c>
      <c r="Q109" s="46" t="n">
        <f aca="false">Spec_Rack!C24</f>
        <v>1.979</v>
      </c>
      <c r="R109" s="30" t="s">
        <v>814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5373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5531</v>
      </c>
      <c r="B110" s="254" t="s">
        <v>5304</v>
      </c>
      <c r="C110" s="30" t="s">
        <v>3207</v>
      </c>
      <c r="D110" s="30" t="s">
        <v>3261</v>
      </c>
      <c r="E110" s="20" t="s">
        <v>5528</v>
      </c>
      <c r="F110" s="254" t="s">
        <v>377</v>
      </c>
      <c r="G110" s="254" t="s">
        <v>5305</v>
      </c>
      <c r="H110" s="30" t="s">
        <v>5516</v>
      </c>
      <c r="I110" s="20" t="s">
        <v>5335</v>
      </c>
      <c r="J110" s="30" t="s">
        <v>814</v>
      </c>
      <c r="K110" s="254"/>
      <c r="L110" s="254"/>
      <c r="M110" s="30" t="s">
        <v>814</v>
      </c>
      <c r="N110" s="20" t="s">
        <v>5398</v>
      </c>
      <c r="O110" s="6" t="s">
        <v>814</v>
      </c>
      <c r="P110" s="254" t="s">
        <v>1441</v>
      </c>
      <c r="Q110" s="46" t="n">
        <f aca="false">Spec_Rack!D24</f>
        <v>10</v>
      </c>
      <c r="R110" s="187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5337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5532</v>
      </c>
      <c r="B111" s="254" t="s">
        <v>5304</v>
      </c>
      <c r="C111" s="30" t="s">
        <v>3207</v>
      </c>
      <c r="D111" s="30" t="s">
        <v>3179</v>
      </c>
      <c r="E111" s="20" t="s">
        <v>5528</v>
      </c>
      <c r="F111" s="254" t="s">
        <v>377</v>
      </c>
      <c r="G111" s="254" t="s">
        <v>5305</v>
      </c>
      <c r="H111" s="30" t="s">
        <v>5518</v>
      </c>
      <c r="I111" s="20" t="s">
        <v>5335</v>
      </c>
      <c r="J111" s="30" t="s">
        <v>814</v>
      </c>
      <c r="K111" s="254"/>
      <c r="L111" s="254"/>
      <c r="M111" s="30" t="s">
        <v>814</v>
      </c>
      <c r="N111" s="20" t="s">
        <v>5398</v>
      </c>
      <c r="O111" s="6" t="s">
        <v>814</v>
      </c>
      <c r="P111" s="254" t="s">
        <v>1441</v>
      </c>
      <c r="Q111" s="46" t="n">
        <f aca="false">Spec_Rack!E24</f>
        <v>15</v>
      </c>
      <c r="R111" s="187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5337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5533</v>
      </c>
      <c r="B112" s="254" t="s">
        <v>5304</v>
      </c>
      <c r="C112" s="30" t="s">
        <v>3207</v>
      </c>
      <c r="D112" s="30" t="s">
        <v>5534</v>
      </c>
      <c r="E112" s="20" t="s">
        <v>5528</v>
      </c>
      <c r="F112" s="254" t="s">
        <v>377</v>
      </c>
      <c r="G112" s="254" t="s">
        <v>5305</v>
      </c>
      <c r="H112" s="30" t="s">
        <v>5535</v>
      </c>
      <c r="I112" s="20" t="s">
        <v>5335</v>
      </c>
      <c r="J112" s="30" t="s">
        <v>814</v>
      </c>
      <c r="K112" s="254"/>
      <c r="L112" s="254"/>
      <c r="M112" s="30" t="s">
        <v>814</v>
      </c>
      <c r="N112" s="20" t="s">
        <v>5398</v>
      </c>
      <c r="O112" s="6" t="s">
        <v>814</v>
      </c>
      <c r="P112" s="254" t="s">
        <v>1441</v>
      </c>
      <c r="Q112" s="46" t="n">
        <f aca="false">Spec_Rack!F24</f>
        <v>50</v>
      </c>
      <c r="R112" s="187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5337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5536</v>
      </c>
      <c r="B113" s="254" t="s">
        <v>5304</v>
      </c>
      <c r="C113" s="30" t="s">
        <v>3207</v>
      </c>
      <c r="D113" s="30" t="s">
        <v>3223</v>
      </c>
      <c r="E113" s="20" t="s">
        <v>5528</v>
      </c>
      <c r="F113" s="254" t="s">
        <v>180</v>
      </c>
      <c r="G113" s="254" t="s">
        <v>5305</v>
      </c>
      <c r="H113" s="30" t="s">
        <v>5522</v>
      </c>
      <c r="I113" s="20" t="s">
        <v>5537</v>
      </c>
      <c r="J113" s="30" t="s">
        <v>814</v>
      </c>
      <c r="K113" s="254"/>
      <c r="L113" s="254"/>
      <c r="M113" s="30" t="s">
        <v>814</v>
      </c>
      <c r="N113" s="20" t="s">
        <v>5538</v>
      </c>
      <c r="O113" s="20" t="s">
        <v>5539</v>
      </c>
      <c r="P113" s="254" t="s">
        <v>1441</v>
      </c>
      <c r="Q113" s="46" t="n">
        <f aca="false">Spec_Rack!G24</f>
        <v>100</v>
      </c>
      <c r="R113" s="187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5309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5540</v>
      </c>
      <c r="B114" s="254" t="s">
        <v>5304</v>
      </c>
      <c r="C114" s="30" t="s">
        <v>3207</v>
      </c>
      <c r="D114" s="30" t="s">
        <v>3397</v>
      </c>
      <c r="E114" s="6" t="s">
        <v>258</v>
      </c>
      <c r="F114" s="254" t="s">
        <v>377</v>
      </c>
      <c r="G114" s="254" t="s">
        <v>5305</v>
      </c>
      <c r="H114" s="30" t="s">
        <v>5541</v>
      </c>
      <c r="I114" s="20" t="s">
        <v>5335</v>
      </c>
      <c r="J114" s="30" t="s">
        <v>814</v>
      </c>
      <c r="K114" s="254"/>
      <c r="L114" s="254"/>
      <c r="M114" s="30" t="s">
        <v>814</v>
      </c>
      <c r="N114" s="20" t="s">
        <v>5469</v>
      </c>
      <c r="O114" s="6" t="s">
        <v>814</v>
      </c>
      <c r="P114" s="254" t="s">
        <v>5351</v>
      </c>
      <c r="Q114" s="49" t="n">
        <f aca="false">Spec_Rack!C25</f>
        <v>80</v>
      </c>
      <c r="R114" s="187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5337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5542</v>
      </c>
      <c r="B115" s="254" t="s">
        <v>5304</v>
      </c>
      <c r="C115" s="30" t="s">
        <v>3207</v>
      </c>
      <c r="D115" s="30" t="s">
        <v>3224</v>
      </c>
      <c r="E115" s="6" t="s">
        <v>258</v>
      </c>
      <c r="F115" s="254" t="s">
        <v>5437</v>
      </c>
      <c r="G115" s="254" t="s">
        <v>5305</v>
      </c>
      <c r="H115" s="30" t="s">
        <v>5543</v>
      </c>
      <c r="I115" s="20" t="s">
        <v>5544</v>
      </c>
      <c r="J115" s="30" t="s">
        <v>814</v>
      </c>
      <c r="K115" s="254"/>
      <c r="L115" s="254"/>
      <c r="M115" s="30" t="s">
        <v>814</v>
      </c>
      <c r="N115" s="20" t="s">
        <v>5545</v>
      </c>
      <c r="O115" s="6" t="s">
        <v>814</v>
      </c>
      <c r="P115" s="254" t="s">
        <v>5351</v>
      </c>
      <c r="Q115" s="49" t="n">
        <f aca="false">Spec_Rack!D25</f>
        <v>186</v>
      </c>
      <c r="R115" s="187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5309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5546</v>
      </c>
      <c r="B116" s="254" t="s">
        <v>5304</v>
      </c>
      <c r="C116" s="30" t="s">
        <v>3207</v>
      </c>
      <c r="D116" s="30" t="s">
        <v>3180</v>
      </c>
      <c r="E116" s="6" t="s">
        <v>258</v>
      </c>
      <c r="F116" s="254" t="s">
        <v>377</v>
      </c>
      <c r="G116" s="254" t="s">
        <v>5305</v>
      </c>
      <c r="H116" s="30" t="s">
        <v>5547</v>
      </c>
      <c r="I116" s="20" t="s">
        <v>5335</v>
      </c>
      <c r="J116" s="30" t="s">
        <v>814</v>
      </c>
      <c r="K116" s="254"/>
      <c r="L116" s="254"/>
      <c r="M116" s="30" t="s">
        <v>814</v>
      </c>
      <c r="N116" s="20" t="s">
        <v>5469</v>
      </c>
      <c r="O116" s="6" t="s">
        <v>814</v>
      </c>
      <c r="P116" s="254" t="s">
        <v>5351</v>
      </c>
      <c r="Q116" s="49" t="n">
        <f aca="false">Spec_Rack!E25</f>
        <v>288</v>
      </c>
      <c r="R116" s="187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5337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5548</v>
      </c>
      <c r="B117" s="254" t="s">
        <v>5304</v>
      </c>
      <c r="C117" s="30" t="s">
        <v>3207</v>
      </c>
      <c r="D117" s="30" t="s">
        <v>5549</v>
      </c>
      <c r="E117" s="6" t="s">
        <v>258</v>
      </c>
      <c r="F117" s="254" t="s">
        <v>377</v>
      </c>
      <c r="G117" s="254" t="s">
        <v>5305</v>
      </c>
      <c r="H117" s="30" t="s">
        <v>5550</v>
      </c>
      <c r="I117" s="20" t="s">
        <v>5335</v>
      </c>
      <c r="J117" s="30" t="s">
        <v>814</v>
      </c>
      <c r="K117" s="254"/>
      <c r="L117" s="254"/>
      <c r="M117" s="30" t="s">
        <v>814</v>
      </c>
      <c r="N117" s="20" t="s">
        <v>5469</v>
      </c>
      <c r="O117" s="6" t="s">
        <v>814</v>
      </c>
      <c r="P117" s="254" t="s">
        <v>5351</v>
      </c>
      <c r="Q117" s="49" t="n">
        <f aca="false">Spec_Rack!F25</f>
        <v>288</v>
      </c>
      <c r="R117" s="187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5337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5551</v>
      </c>
      <c r="B118" s="254" t="s">
        <v>5304</v>
      </c>
      <c r="C118" s="30" t="s">
        <v>3207</v>
      </c>
      <c r="D118" s="30" t="s">
        <v>3225</v>
      </c>
      <c r="E118" s="6" t="s">
        <v>258</v>
      </c>
      <c r="F118" s="30" t="s">
        <v>132</v>
      </c>
      <c r="G118" s="254" t="s">
        <v>115</v>
      </c>
      <c r="H118" s="30" t="s">
        <v>814</v>
      </c>
      <c r="I118" s="6" t="s">
        <v>814</v>
      </c>
      <c r="J118" s="30" t="s">
        <v>5434</v>
      </c>
      <c r="K118" s="187" t="n">
        <f aca="false">Spec_Rack!G25*0.7</f>
        <v>716.8</v>
      </c>
      <c r="L118" s="187" t="n">
        <f aca="false">Spec_Rack!G25*1.3</f>
        <v>1331.2</v>
      </c>
      <c r="M118" s="30" t="s">
        <v>5524</v>
      </c>
      <c r="N118" s="6" t="s">
        <v>5552</v>
      </c>
      <c r="O118" s="6" t="s">
        <v>814</v>
      </c>
      <c r="P118" s="254" t="s">
        <v>5351</v>
      </c>
      <c r="Q118" s="49" t="n">
        <f aca="false">Spec_Rack!G25</f>
        <v>1024</v>
      </c>
      <c r="R118" s="30" t="s">
        <v>814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5309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5553</v>
      </c>
      <c r="B119" s="254" t="s">
        <v>5304</v>
      </c>
      <c r="C119" s="30" t="s">
        <v>3207</v>
      </c>
      <c r="D119" s="30" t="s">
        <v>3398</v>
      </c>
      <c r="E119" s="6" t="s">
        <v>260</v>
      </c>
      <c r="F119" s="254" t="s">
        <v>377</v>
      </c>
      <c r="G119" s="254" t="s">
        <v>5305</v>
      </c>
      <c r="H119" s="30" t="s">
        <v>5554</v>
      </c>
      <c r="I119" s="20" t="s">
        <v>5335</v>
      </c>
      <c r="J119" s="30" t="s">
        <v>814</v>
      </c>
      <c r="K119" s="254"/>
      <c r="L119" s="254"/>
      <c r="M119" s="30" t="s">
        <v>814</v>
      </c>
      <c r="N119" s="20" t="s">
        <v>5469</v>
      </c>
      <c r="O119" s="6" t="s">
        <v>814</v>
      </c>
      <c r="P119" s="254" t="s">
        <v>5351</v>
      </c>
      <c r="Q119" s="51" t="n">
        <f aca="false">Spec_Rack!C26</f>
        <v>3.35</v>
      </c>
      <c r="R119" s="187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5337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5555</v>
      </c>
      <c r="B120" s="254" t="s">
        <v>5304</v>
      </c>
      <c r="C120" s="30" t="s">
        <v>3207</v>
      </c>
      <c r="D120" s="30" t="s">
        <v>5556</v>
      </c>
      <c r="E120" s="6" t="s">
        <v>260</v>
      </c>
      <c r="F120" s="254" t="s">
        <v>377</v>
      </c>
      <c r="G120" s="254" t="s">
        <v>5305</v>
      </c>
      <c r="H120" s="30" t="s">
        <v>5557</v>
      </c>
      <c r="I120" s="20" t="s">
        <v>5335</v>
      </c>
      <c r="J120" s="30" t="s">
        <v>814</v>
      </c>
      <c r="K120" s="254"/>
      <c r="L120" s="254"/>
      <c r="M120" s="30" t="s">
        <v>814</v>
      </c>
      <c r="N120" s="20" t="s">
        <v>5469</v>
      </c>
      <c r="O120" s="6" t="s">
        <v>814</v>
      </c>
      <c r="P120" s="254" t="s">
        <v>5351</v>
      </c>
      <c r="Q120" s="51" t="n">
        <f aca="false">Spec_Rack!D26</f>
        <v>8</v>
      </c>
      <c r="R120" s="187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5337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5558</v>
      </c>
      <c r="B121" s="254" t="s">
        <v>5304</v>
      </c>
      <c r="C121" s="30" t="s">
        <v>3207</v>
      </c>
      <c r="D121" s="30" t="s">
        <v>3181</v>
      </c>
      <c r="E121" s="6" t="s">
        <v>260</v>
      </c>
      <c r="F121" s="254" t="s">
        <v>377</v>
      </c>
      <c r="G121" s="254" t="s">
        <v>5305</v>
      </c>
      <c r="H121" s="30" t="s">
        <v>5559</v>
      </c>
      <c r="I121" s="20" t="s">
        <v>5335</v>
      </c>
      <c r="J121" s="30" t="s">
        <v>814</v>
      </c>
      <c r="K121" s="254"/>
      <c r="L121" s="254"/>
      <c r="M121" s="30" t="s">
        <v>814</v>
      </c>
      <c r="N121" s="20" t="s">
        <v>5469</v>
      </c>
      <c r="O121" s="6" t="s">
        <v>814</v>
      </c>
      <c r="P121" s="254" t="s">
        <v>5351</v>
      </c>
      <c r="Q121" s="51" t="n">
        <f aca="false">Spec_Rack!E26</f>
        <v>8</v>
      </c>
      <c r="R121" s="187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5337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5560</v>
      </c>
      <c r="B122" s="254" t="s">
        <v>5304</v>
      </c>
      <c r="C122" s="30" t="s">
        <v>3207</v>
      </c>
      <c r="D122" s="30" t="s">
        <v>5561</v>
      </c>
      <c r="E122" s="6" t="s">
        <v>260</v>
      </c>
      <c r="F122" s="254" t="s">
        <v>377</v>
      </c>
      <c r="G122" s="254" t="s">
        <v>5305</v>
      </c>
      <c r="H122" s="30" t="s">
        <v>5562</v>
      </c>
      <c r="I122" s="20" t="s">
        <v>5335</v>
      </c>
      <c r="J122" s="30" t="s">
        <v>814</v>
      </c>
      <c r="K122" s="254"/>
      <c r="L122" s="254"/>
      <c r="M122" s="30" t="s">
        <v>814</v>
      </c>
      <c r="N122" s="20" t="s">
        <v>5469</v>
      </c>
      <c r="O122" s="6" t="s">
        <v>814</v>
      </c>
      <c r="P122" s="254" t="s">
        <v>5351</v>
      </c>
      <c r="Q122" s="51" t="n">
        <f aca="false">Spec_Rack!F26</f>
        <v>22</v>
      </c>
      <c r="R122" s="187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5337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5563</v>
      </c>
      <c r="B123" s="254" t="s">
        <v>5304</v>
      </c>
      <c r="C123" s="30" t="s">
        <v>3207</v>
      </c>
      <c r="D123" s="30" t="s">
        <v>3226</v>
      </c>
      <c r="E123" s="6" t="s">
        <v>260</v>
      </c>
      <c r="F123" s="254" t="s">
        <v>5437</v>
      </c>
      <c r="G123" s="254" t="s">
        <v>5305</v>
      </c>
      <c r="H123" s="30" t="s">
        <v>5564</v>
      </c>
      <c r="I123" s="20" t="s">
        <v>5565</v>
      </c>
      <c r="J123" s="30" t="s">
        <v>814</v>
      </c>
      <c r="K123" s="254"/>
      <c r="L123" s="254"/>
      <c r="M123" s="30" t="s">
        <v>814</v>
      </c>
      <c r="N123" s="20" t="s">
        <v>5566</v>
      </c>
      <c r="O123" s="6" t="s">
        <v>814</v>
      </c>
      <c r="P123" s="254" t="s">
        <v>5351</v>
      </c>
      <c r="Q123" s="51" t="n">
        <f aca="false">Spec_Rack!G26</f>
        <v>32</v>
      </c>
      <c r="R123" s="187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5309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5567</v>
      </c>
      <c r="B124" s="254" t="s">
        <v>5304</v>
      </c>
      <c r="C124" s="30" t="s">
        <v>3207</v>
      </c>
      <c r="D124" s="30" t="s">
        <v>3357</v>
      </c>
      <c r="E124" s="6" t="s">
        <v>262</v>
      </c>
      <c r="F124" s="254" t="s">
        <v>377</v>
      </c>
      <c r="G124" s="254" t="s">
        <v>5305</v>
      </c>
      <c r="H124" s="30" t="s">
        <v>5568</v>
      </c>
      <c r="I124" s="20" t="s">
        <v>5569</v>
      </c>
      <c r="J124" s="30" t="s">
        <v>814</v>
      </c>
      <c r="K124" s="254"/>
      <c r="L124" s="254"/>
      <c r="M124" s="30" t="s">
        <v>814</v>
      </c>
      <c r="N124" s="20" t="s">
        <v>5398</v>
      </c>
      <c r="O124" s="6" t="s">
        <v>814</v>
      </c>
      <c r="P124" s="254" t="s">
        <v>5308</v>
      </c>
      <c r="Q124" s="51" t="n">
        <f aca="false">Spec_Rack!C27</f>
        <v>0.05</v>
      </c>
      <c r="R124" s="187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5337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5570</v>
      </c>
      <c r="B125" s="254" t="s">
        <v>5304</v>
      </c>
      <c r="C125" s="30" t="s">
        <v>3207</v>
      </c>
      <c r="D125" s="30" t="s">
        <v>3358</v>
      </c>
      <c r="E125" s="6" t="s">
        <v>262</v>
      </c>
      <c r="F125" s="254" t="s">
        <v>377</v>
      </c>
      <c r="G125" s="254" t="s">
        <v>5305</v>
      </c>
      <c r="H125" s="30" t="s">
        <v>5571</v>
      </c>
      <c r="I125" s="20" t="s">
        <v>5335</v>
      </c>
      <c r="J125" s="30" t="s">
        <v>814</v>
      </c>
      <c r="K125" s="254"/>
      <c r="L125" s="254"/>
      <c r="M125" s="30" t="s">
        <v>814</v>
      </c>
      <c r="N125" s="20" t="s">
        <v>5398</v>
      </c>
      <c r="O125" s="6" t="s">
        <v>814</v>
      </c>
      <c r="P125" s="254" t="s">
        <v>5308</v>
      </c>
      <c r="Q125" s="51" t="n">
        <f aca="false">Spec_Rack!D27</f>
        <v>0.9</v>
      </c>
      <c r="R125" s="187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5337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5572</v>
      </c>
      <c r="B126" s="254" t="s">
        <v>5304</v>
      </c>
      <c r="C126" s="30" t="s">
        <v>3207</v>
      </c>
      <c r="D126" s="30" t="s">
        <v>3182</v>
      </c>
      <c r="E126" s="6" t="s">
        <v>262</v>
      </c>
      <c r="F126" s="254" t="s">
        <v>377</v>
      </c>
      <c r="G126" s="254" t="s">
        <v>5305</v>
      </c>
      <c r="H126" s="30" t="s">
        <v>5571</v>
      </c>
      <c r="I126" s="20" t="s">
        <v>5335</v>
      </c>
      <c r="J126" s="30" t="s">
        <v>814</v>
      </c>
      <c r="K126" s="254"/>
      <c r="L126" s="254"/>
      <c r="M126" s="30" t="s">
        <v>814</v>
      </c>
      <c r="N126" s="20" t="s">
        <v>5398</v>
      </c>
      <c r="O126" s="6" t="s">
        <v>814</v>
      </c>
      <c r="P126" s="254" t="s">
        <v>5308</v>
      </c>
      <c r="Q126" s="51" t="n">
        <f aca="false">Spec_Rack!E27</f>
        <v>0.9</v>
      </c>
      <c r="R126" s="187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5337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5573</v>
      </c>
      <c r="B127" s="254" t="s">
        <v>5304</v>
      </c>
      <c r="C127" s="30" t="s">
        <v>3207</v>
      </c>
      <c r="D127" s="30" t="s">
        <v>5574</v>
      </c>
      <c r="E127" s="6" t="s">
        <v>262</v>
      </c>
      <c r="F127" s="254" t="s">
        <v>377</v>
      </c>
      <c r="G127" s="254" t="s">
        <v>5305</v>
      </c>
      <c r="H127" s="30" t="s">
        <v>5575</v>
      </c>
      <c r="I127" s="20" t="s">
        <v>5335</v>
      </c>
      <c r="J127" s="30" t="s">
        <v>814</v>
      </c>
      <c r="K127" s="254"/>
      <c r="L127" s="254"/>
      <c r="M127" s="30" t="s">
        <v>814</v>
      </c>
      <c r="N127" s="20" t="s">
        <v>5398</v>
      </c>
      <c r="O127" s="6" t="s">
        <v>814</v>
      </c>
      <c r="P127" s="254" t="s">
        <v>5308</v>
      </c>
      <c r="Q127" s="51" t="n">
        <f aca="false">Spec_Rack!F27</f>
        <v>1.8</v>
      </c>
      <c r="R127" s="187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5337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5576</v>
      </c>
      <c r="B128" s="254" t="s">
        <v>5304</v>
      </c>
      <c r="C128" s="30" t="s">
        <v>3207</v>
      </c>
      <c r="D128" s="30" t="s">
        <v>3227</v>
      </c>
      <c r="E128" s="6" t="s">
        <v>262</v>
      </c>
      <c r="F128" s="30" t="s">
        <v>132</v>
      </c>
      <c r="G128" s="254" t="s">
        <v>5305</v>
      </c>
      <c r="H128" s="30" t="s">
        <v>814</v>
      </c>
      <c r="I128" s="6" t="s">
        <v>814</v>
      </c>
      <c r="J128" s="30" t="s">
        <v>5434</v>
      </c>
      <c r="K128" s="256" t="n">
        <v>1.8</v>
      </c>
      <c r="L128" s="256" t="n">
        <v>3.6</v>
      </c>
      <c r="M128" s="30" t="s">
        <v>5577</v>
      </c>
      <c r="N128" s="6" t="s">
        <v>5578</v>
      </c>
      <c r="O128" s="6" t="s">
        <v>814</v>
      </c>
      <c r="P128" s="254" t="s">
        <v>5308</v>
      </c>
      <c r="Q128" s="51" t="n">
        <f aca="false">Spec_Rack!G27</f>
        <v>1.8</v>
      </c>
      <c r="R128" s="30" t="s">
        <v>814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5309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5579</v>
      </c>
      <c r="B129" s="254" t="s">
        <v>5304</v>
      </c>
      <c r="C129" s="30" t="s">
        <v>3207</v>
      </c>
      <c r="D129" s="30" t="s">
        <v>3262</v>
      </c>
      <c r="E129" s="6" t="s">
        <v>264</v>
      </c>
      <c r="F129" s="254" t="s">
        <v>377</v>
      </c>
      <c r="G129" s="254" t="s">
        <v>5305</v>
      </c>
      <c r="H129" s="30" t="s">
        <v>5580</v>
      </c>
      <c r="I129" s="20" t="s">
        <v>5335</v>
      </c>
      <c r="J129" s="30" t="s">
        <v>814</v>
      </c>
      <c r="K129" s="254"/>
      <c r="L129" s="254"/>
      <c r="M129" s="30" t="s">
        <v>814</v>
      </c>
      <c r="N129" s="20" t="s">
        <v>5398</v>
      </c>
      <c r="O129" s="6" t="s">
        <v>814</v>
      </c>
      <c r="P129" s="254" t="s">
        <v>1441</v>
      </c>
      <c r="Q129" s="49" t="n">
        <f aca="false">Spec_Rack!C28</f>
        <v>8</v>
      </c>
      <c r="R129" s="187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5337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5581</v>
      </c>
      <c r="B130" s="254" t="s">
        <v>5304</v>
      </c>
      <c r="C130" s="30" t="s">
        <v>3207</v>
      </c>
      <c r="D130" s="30" t="s">
        <v>3183</v>
      </c>
      <c r="E130" s="6" t="s">
        <v>264</v>
      </c>
      <c r="F130" s="254" t="s">
        <v>377</v>
      </c>
      <c r="G130" s="254" t="s">
        <v>5305</v>
      </c>
      <c r="H130" s="30" t="s">
        <v>5420</v>
      </c>
      <c r="I130" s="20" t="s">
        <v>5335</v>
      </c>
      <c r="J130" s="30" t="s">
        <v>814</v>
      </c>
      <c r="K130" s="254"/>
      <c r="L130" s="254"/>
      <c r="M130" s="30" t="s">
        <v>814</v>
      </c>
      <c r="N130" s="20" t="s">
        <v>5398</v>
      </c>
      <c r="O130" s="6" t="s">
        <v>814</v>
      </c>
      <c r="P130" s="254" t="s">
        <v>1441</v>
      </c>
      <c r="Q130" s="49" t="n">
        <f aca="false">Spec_Rack!D28</f>
        <v>72</v>
      </c>
      <c r="R130" s="187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5337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5582</v>
      </c>
      <c r="B131" s="254" t="s">
        <v>5304</v>
      </c>
      <c r="C131" s="30" t="s">
        <v>3207</v>
      </c>
      <c r="D131" s="30" t="s">
        <v>3184</v>
      </c>
      <c r="E131" s="6" t="s">
        <v>264</v>
      </c>
      <c r="F131" s="254" t="s">
        <v>377</v>
      </c>
      <c r="G131" s="254" t="s">
        <v>5305</v>
      </c>
      <c r="H131" s="30" t="s">
        <v>5420</v>
      </c>
      <c r="I131" s="20" t="s">
        <v>5335</v>
      </c>
      <c r="J131" s="30" t="s">
        <v>814</v>
      </c>
      <c r="K131" s="254"/>
      <c r="L131" s="254"/>
      <c r="M131" s="30" t="s">
        <v>814</v>
      </c>
      <c r="N131" s="20" t="s">
        <v>5398</v>
      </c>
      <c r="O131" s="6" t="s">
        <v>814</v>
      </c>
      <c r="P131" s="254" t="s">
        <v>1441</v>
      </c>
      <c r="Q131" s="49" t="n">
        <f aca="false">Spec_Rack!E28</f>
        <v>72</v>
      </c>
      <c r="R131" s="187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5337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5583</v>
      </c>
      <c r="B132" s="254" t="s">
        <v>5304</v>
      </c>
      <c r="C132" s="30" t="s">
        <v>3207</v>
      </c>
      <c r="D132" s="30" t="s">
        <v>3185</v>
      </c>
      <c r="E132" s="6" t="s">
        <v>264</v>
      </c>
      <c r="F132" s="254" t="s">
        <v>377</v>
      </c>
      <c r="G132" s="254" t="s">
        <v>5305</v>
      </c>
      <c r="H132" s="30" t="s">
        <v>5420</v>
      </c>
      <c r="I132" s="20" t="s">
        <v>5335</v>
      </c>
      <c r="J132" s="30" t="s">
        <v>814</v>
      </c>
      <c r="K132" s="254"/>
      <c r="L132" s="254"/>
      <c r="M132" s="30" t="s">
        <v>814</v>
      </c>
      <c r="N132" s="20" t="s">
        <v>5398</v>
      </c>
      <c r="O132" s="6" t="s">
        <v>814</v>
      </c>
      <c r="P132" s="254" t="s">
        <v>1441</v>
      </c>
      <c r="Q132" s="49" t="n">
        <f aca="false">Spec_Rack!F28</f>
        <v>72</v>
      </c>
      <c r="R132" s="187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5337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5584</v>
      </c>
      <c r="B133" s="254" t="s">
        <v>5304</v>
      </c>
      <c r="C133" s="30" t="s">
        <v>3207</v>
      </c>
      <c r="D133" s="30" t="s">
        <v>5585</v>
      </c>
      <c r="E133" s="6" t="s">
        <v>264</v>
      </c>
      <c r="F133" s="254" t="s">
        <v>377</v>
      </c>
      <c r="G133" s="254" t="s">
        <v>5305</v>
      </c>
      <c r="H133" s="30" t="s">
        <v>5586</v>
      </c>
      <c r="I133" s="20" t="s">
        <v>5335</v>
      </c>
      <c r="J133" s="30" t="s">
        <v>814</v>
      </c>
      <c r="K133" s="254" t="n">
        <v>72</v>
      </c>
      <c r="L133" s="254" t="n">
        <v>576</v>
      </c>
      <c r="M133" s="254" t="s">
        <v>5587</v>
      </c>
      <c r="N133" s="20" t="s">
        <v>5398</v>
      </c>
      <c r="O133" s="6" t="s">
        <v>814</v>
      </c>
      <c r="P133" s="254" t="s">
        <v>1441</v>
      </c>
      <c r="Q133" s="49" t="n">
        <f aca="false">Spec_Rack!G28</f>
        <v>576</v>
      </c>
      <c r="R133" s="187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5337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5588</v>
      </c>
      <c r="B134" s="254" t="s">
        <v>5304</v>
      </c>
      <c r="C134" s="30" t="s">
        <v>3207</v>
      </c>
      <c r="D134" s="30" t="s">
        <v>3228</v>
      </c>
      <c r="E134" s="6" t="s">
        <v>266</v>
      </c>
      <c r="F134" s="30" t="s">
        <v>137</v>
      </c>
      <c r="G134" s="254" t="s">
        <v>5305</v>
      </c>
      <c r="H134" s="30" t="s">
        <v>5589</v>
      </c>
      <c r="I134" s="20" t="s">
        <v>5590</v>
      </c>
      <c r="J134" s="30" t="s">
        <v>814</v>
      </c>
      <c r="K134" s="256" t="n">
        <v>32</v>
      </c>
      <c r="L134" s="256" t="n">
        <v>144</v>
      </c>
      <c r="M134" s="30" t="s">
        <v>5591</v>
      </c>
      <c r="N134" s="6" t="s">
        <v>5592</v>
      </c>
      <c r="O134" s="6" t="s">
        <v>814</v>
      </c>
      <c r="P134" s="254" t="s">
        <v>5351</v>
      </c>
      <c r="Q134" s="49" t="n">
        <f aca="false">Spec_Rack!C29</f>
        <v>64</v>
      </c>
      <c r="R134" s="187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5309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5593</v>
      </c>
      <c r="B135" s="254" t="s">
        <v>5304</v>
      </c>
      <c r="C135" s="30" t="s">
        <v>3207</v>
      </c>
      <c r="D135" s="30" t="s">
        <v>3229</v>
      </c>
      <c r="E135" s="6" t="s">
        <v>266</v>
      </c>
      <c r="F135" s="30" t="s">
        <v>137</v>
      </c>
      <c r="G135" s="254" t="s">
        <v>5305</v>
      </c>
      <c r="H135" s="30" t="s">
        <v>5594</v>
      </c>
      <c r="I135" s="20" t="s">
        <v>5595</v>
      </c>
      <c r="J135" s="30" t="s">
        <v>814</v>
      </c>
      <c r="K135" s="256" t="n">
        <v>16</v>
      </c>
      <c r="L135" s="256" t="n">
        <v>72</v>
      </c>
      <c r="M135" s="30" t="s">
        <v>5596</v>
      </c>
      <c r="N135" s="6" t="s">
        <v>5597</v>
      </c>
      <c r="O135" s="6" t="s">
        <v>814</v>
      </c>
      <c r="P135" s="254" t="s">
        <v>5351</v>
      </c>
      <c r="Q135" s="49" t="n">
        <f aca="false">Spec_Rack!D29</f>
        <v>32</v>
      </c>
      <c r="R135" s="187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5309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5598</v>
      </c>
      <c r="B136" s="254" t="s">
        <v>5304</v>
      </c>
      <c r="C136" s="30" t="s">
        <v>3207</v>
      </c>
      <c r="D136" s="30" t="s">
        <v>3359</v>
      </c>
      <c r="E136" s="6" t="s">
        <v>266</v>
      </c>
      <c r="F136" s="254" t="s">
        <v>377</v>
      </c>
      <c r="G136" s="254" t="s">
        <v>5305</v>
      </c>
      <c r="H136" s="30" t="s">
        <v>5594</v>
      </c>
      <c r="I136" s="20" t="s">
        <v>5335</v>
      </c>
      <c r="J136" s="30" t="s">
        <v>814</v>
      </c>
      <c r="K136" s="254"/>
      <c r="L136" s="254"/>
      <c r="M136" s="30" t="s">
        <v>814</v>
      </c>
      <c r="N136" s="20" t="s">
        <v>5469</v>
      </c>
      <c r="O136" s="6" t="s">
        <v>814</v>
      </c>
      <c r="P136" s="254" t="s">
        <v>5351</v>
      </c>
      <c r="Q136" s="49" t="n">
        <f aca="false">Spec_Rack!E29</f>
        <v>32</v>
      </c>
      <c r="R136" s="187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5337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5599</v>
      </c>
      <c r="B137" s="254" t="s">
        <v>5304</v>
      </c>
      <c r="C137" s="30" t="s">
        <v>3207</v>
      </c>
      <c r="D137" s="30" t="s">
        <v>3230</v>
      </c>
      <c r="E137" s="6" t="s">
        <v>266</v>
      </c>
      <c r="F137" s="30" t="s">
        <v>137</v>
      </c>
      <c r="G137" s="254" t="s">
        <v>5305</v>
      </c>
      <c r="H137" s="30" t="s">
        <v>5594</v>
      </c>
      <c r="I137" s="20" t="s">
        <v>5595</v>
      </c>
      <c r="J137" s="30" t="s">
        <v>814</v>
      </c>
      <c r="K137" s="256" t="n">
        <v>16</v>
      </c>
      <c r="L137" s="256" t="n">
        <v>72</v>
      </c>
      <c r="M137" s="30" t="s">
        <v>5596</v>
      </c>
      <c r="N137" s="6" t="s">
        <v>5597</v>
      </c>
      <c r="O137" s="6" t="s">
        <v>814</v>
      </c>
      <c r="P137" s="254" t="s">
        <v>5351</v>
      </c>
      <c r="Q137" s="49" t="n">
        <f aca="false">Spec_Rack!F29</f>
        <v>32</v>
      </c>
      <c r="R137" s="187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5309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5600</v>
      </c>
      <c r="B138" s="254" t="s">
        <v>5304</v>
      </c>
      <c r="C138" s="30" t="s">
        <v>3207</v>
      </c>
      <c r="D138" s="30" t="s">
        <v>3231</v>
      </c>
      <c r="E138" s="6" t="s">
        <v>266</v>
      </c>
      <c r="F138" s="30" t="s">
        <v>132</v>
      </c>
      <c r="G138" s="254" t="s">
        <v>5305</v>
      </c>
      <c r="H138" s="30" t="s">
        <v>814</v>
      </c>
      <c r="I138" s="6" t="s">
        <v>814</v>
      </c>
      <c r="J138" s="30" t="s">
        <v>5434</v>
      </c>
      <c r="K138" s="256" t="n">
        <v>32</v>
      </c>
      <c r="L138" s="256" t="n">
        <v>144</v>
      </c>
      <c r="M138" s="30" t="s">
        <v>5591</v>
      </c>
      <c r="N138" s="6" t="s">
        <v>5552</v>
      </c>
      <c r="O138" s="6" t="s">
        <v>814</v>
      </c>
      <c r="P138" s="254" t="s">
        <v>5351</v>
      </c>
      <c r="Q138" s="49" t="n">
        <f aca="false">Spec_Rack!G29</f>
        <v>64</v>
      </c>
      <c r="R138" s="30" t="s">
        <v>814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5309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5601</v>
      </c>
      <c r="B139" s="254" t="s">
        <v>5304</v>
      </c>
      <c r="C139" s="30" t="s">
        <v>3207</v>
      </c>
      <c r="D139" s="30" t="s">
        <v>3360</v>
      </c>
      <c r="E139" s="20" t="s">
        <v>5602</v>
      </c>
      <c r="F139" s="254" t="s">
        <v>377</v>
      </c>
      <c r="G139" s="254" t="s">
        <v>5305</v>
      </c>
      <c r="H139" s="30" t="s">
        <v>5603</v>
      </c>
      <c r="I139" s="20" t="s">
        <v>5335</v>
      </c>
      <c r="J139" s="30" t="s">
        <v>814</v>
      </c>
      <c r="K139" s="254"/>
      <c r="L139" s="254"/>
      <c r="M139" s="30" t="s">
        <v>814</v>
      </c>
      <c r="N139" s="20" t="s">
        <v>5469</v>
      </c>
      <c r="O139" s="6" t="s">
        <v>814</v>
      </c>
      <c r="P139" s="254" t="s">
        <v>5351</v>
      </c>
      <c r="Q139" s="53" t="n">
        <f aca="false">Spec_Rack!C30</f>
        <v>1</v>
      </c>
      <c r="R139" s="187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5337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5604</v>
      </c>
      <c r="B140" s="254" t="s">
        <v>5304</v>
      </c>
      <c r="C140" s="30" t="s">
        <v>3207</v>
      </c>
      <c r="D140" s="30" t="s">
        <v>3361</v>
      </c>
      <c r="E140" s="20" t="s">
        <v>5602</v>
      </c>
      <c r="F140" s="254" t="s">
        <v>377</v>
      </c>
      <c r="G140" s="254" t="s">
        <v>5305</v>
      </c>
      <c r="H140" s="30" t="s">
        <v>5605</v>
      </c>
      <c r="I140" s="20" t="s">
        <v>5335</v>
      </c>
      <c r="J140" s="30" t="s">
        <v>814</v>
      </c>
      <c r="K140" s="254"/>
      <c r="L140" s="254"/>
      <c r="M140" s="30" t="s">
        <v>814</v>
      </c>
      <c r="N140" s="20" t="s">
        <v>5469</v>
      </c>
      <c r="O140" s="6" t="s">
        <v>814</v>
      </c>
      <c r="P140" s="254" t="s">
        <v>5351</v>
      </c>
      <c r="Q140" s="53" t="n">
        <f aca="false">Spec_Rack!D30</f>
        <v>0.5625</v>
      </c>
      <c r="R140" s="187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5337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5606</v>
      </c>
      <c r="B141" s="254" t="s">
        <v>5304</v>
      </c>
      <c r="C141" s="30" t="s">
        <v>3207</v>
      </c>
      <c r="D141" s="30" t="s">
        <v>3362</v>
      </c>
      <c r="E141" s="20" t="s">
        <v>5602</v>
      </c>
      <c r="F141" s="254" t="s">
        <v>377</v>
      </c>
      <c r="G141" s="254" t="s">
        <v>5305</v>
      </c>
      <c r="H141" s="30" t="s">
        <v>5605</v>
      </c>
      <c r="I141" s="20" t="s">
        <v>5335</v>
      </c>
      <c r="J141" s="30" t="s">
        <v>814</v>
      </c>
      <c r="K141" s="254"/>
      <c r="L141" s="254"/>
      <c r="M141" s="30" t="s">
        <v>814</v>
      </c>
      <c r="N141" s="20" t="s">
        <v>5469</v>
      </c>
      <c r="O141" s="6" t="s">
        <v>814</v>
      </c>
      <c r="P141" s="254" t="s">
        <v>5351</v>
      </c>
      <c r="Q141" s="53" t="n">
        <f aca="false">Spec_Rack!E30</f>
        <v>0.5625</v>
      </c>
      <c r="R141" s="187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5337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5607</v>
      </c>
      <c r="B142" s="254" t="s">
        <v>5304</v>
      </c>
      <c r="C142" s="30" t="s">
        <v>3207</v>
      </c>
      <c r="D142" s="30" t="s">
        <v>5377</v>
      </c>
      <c r="E142" s="20" t="s">
        <v>5602</v>
      </c>
      <c r="F142" s="254" t="s">
        <v>377</v>
      </c>
      <c r="G142" s="254" t="s">
        <v>5305</v>
      </c>
      <c r="H142" s="30" t="s">
        <v>5605</v>
      </c>
      <c r="I142" s="20" t="s">
        <v>5335</v>
      </c>
      <c r="J142" s="30" t="s">
        <v>814</v>
      </c>
      <c r="K142" s="254"/>
      <c r="L142" s="254"/>
      <c r="M142" s="30" t="s">
        <v>814</v>
      </c>
      <c r="N142" s="20" t="s">
        <v>5469</v>
      </c>
      <c r="O142" s="6" t="s">
        <v>814</v>
      </c>
      <c r="P142" s="254" t="s">
        <v>5351</v>
      </c>
      <c r="Q142" s="53" t="n">
        <f aca="false">Spec_Rack!F30</f>
        <v>0.5625</v>
      </c>
      <c r="R142" s="187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5337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5608</v>
      </c>
      <c r="B143" s="254" t="s">
        <v>5304</v>
      </c>
      <c r="C143" s="30" t="s">
        <v>3207</v>
      </c>
      <c r="D143" s="30" t="s">
        <v>5609</v>
      </c>
      <c r="E143" s="20" t="s">
        <v>5602</v>
      </c>
      <c r="F143" s="254" t="s">
        <v>377</v>
      </c>
      <c r="G143" s="254" t="s">
        <v>5305</v>
      </c>
      <c r="H143" s="30" t="s">
        <v>5605</v>
      </c>
      <c r="I143" s="20" t="s">
        <v>5335</v>
      </c>
      <c r="J143" s="30" t="s">
        <v>814</v>
      </c>
      <c r="K143" s="254"/>
      <c r="L143" s="254"/>
      <c r="M143" s="30" t="s">
        <v>814</v>
      </c>
      <c r="N143" s="20" t="s">
        <v>5469</v>
      </c>
      <c r="O143" s="6" t="s">
        <v>814</v>
      </c>
      <c r="P143" s="254" t="s">
        <v>5351</v>
      </c>
      <c r="Q143" s="53" t="n">
        <f aca="false">Spec_Rack!G30</f>
        <v>0.5625</v>
      </c>
      <c r="R143" s="187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5337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5610</v>
      </c>
      <c r="B144" s="254" t="s">
        <v>5304</v>
      </c>
      <c r="C144" s="30" t="s">
        <v>3207</v>
      </c>
      <c r="D144" s="30" t="s">
        <v>3232</v>
      </c>
      <c r="E144" s="20" t="s">
        <v>5611</v>
      </c>
      <c r="F144" s="30" t="s">
        <v>132</v>
      </c>
      <c r="G144" s="254" t="s">
        <v>5305</v>
      </c>
      <c r="H144" s="30" t="s">
        <v>814</v>
      </c>
      <c r="I144" s="6" t="s">
        <v>814</v>
      </c>
      <c r="J144" s="30" t="s">
        <v>5612</v>
      </c>
      <c r="K144" s="256" t="n">
        <v>1</v>
      </c>
      <c r="L144" s="256" t="n">
        <v>2</v>
      </c>
      <c r="M144" s="30" t="s">
        <v>5613</v>
      </c>
      <c r="N144" s="20" t="s">
        <v>5614</v>
      </c>
      <c r="O144" s="6" t="s">
        <v>5615</v>
      </c>
      <c r="P144" s="254" t="s">
        <v>5351</v>
      </c>
      <c r="Q144" s="195" t="n">
        <f aca="false">Spec_Rack!C31</f>
        <v>1</v>
      </c>
      <c r="R144" s="30" t="s">
        <v>814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5309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5616</v>
      </c>
      <c r="B145" s="254" t="s">
        <v>5304</v>
      </c>
      <c r="C145" s="30" t="s">
        <v>3207</v>
      </c>
      <c r="D145" s="30" t="s">
        <v>3186</v>
      </c>
      <c r="E145" s="20" t="s">
        <v>5611</v>
      </c>
      <c r="F145" s="30" t="s">
        <v>132</v>
      </c>
      <c r="G145" s="254" t="s">
        <v>5305</v>
      </c>
      <c r="H145" s="30" t="s">
        <v>814</v>
      </c>
      <c r="I145" s="6" t="s">
        <v>814</v>
      </c>
      <c r="J145" s="30" t="s">
        <v>5612</v>
      </c>
      <c r="K145" s="256" t="n">
        <v>1</v>
      </c>
      <c r="L145" s="256" t="n">
        <v>2</v>
      </c>
      <c r="M145" s="30" t="s">
        <v>5613</v>
      </c>
      <c r="N145" s="20" t="s">
        <v>5614</v>
      </c>
      <c r="O145" s="6" t="s">
        <v>5615</v>
      </c>
      <c r="P145" s="254" t="s">
        <v>5351</v>
      </c>
      <c r="Q145" s="195" t="n">
        <f aca="false">Spec_Rack!D31</f>
        <v>1</v>
      </c>
      <c r="R145" s="30" t="s">
        <v>814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5309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5617</v>
      </c>
      <c r="B146" s="254" t="s">
        <v>5304</v>
      </c>
      <c r="C146" s="30" t="s">
        <v>3207</v>
      </c>
      <c r="D146" s="30" t="s">
        <v>3187</v>
      </c>
      <c r="E146" s="20" t="s">
        <v>5611</v>
      </c>
      <c r="F146" s="30" t="s">
        <v>132</v>
      </c>
      <c r="G146" s="254" t="s">
        <v>5305</v>
      </c>
      <c r="H146" s="30" t="s">
        <v>814</v>
      </c>
      <c r="I146" s="6" t="s">
        <v>814</v>
      </c>
      <c r="J146" s="30" t="s">
        <v>5612</v>
      </c>
      <c r="K146" s="256" t="n">
        <v>1</v>
      </c>
      <c r="L146" s="256" t="n">
        <v>2</v>
      </c>
      <c r="M146" s="30" t="s">
        <v>5613</v>
      </c>
      <c r="N146" s="20" t="s">
        <v>5614</v>
      </c>
      <c r="O146" s="6" t="s">
        <v>5615</v>
      </c>
      <c r="P146" s="254" t="s">
        <v>5351</v>
      </c>
      <c r="Q146" s="195" t="n">
        <f aca="false">Spec_Rack!E31</f>
        <v>1</v>
      </c>
      <c r="R146" s="30" t="s">
        <v>814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5309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5618</v>
      </c>
      <c r="B147" s="254" t="s">
        <v>5304</v>
      </c>
      <c r="C147" s="30" t="s">
        <v>3207</v>
      </c>
      <c r="D147" s="30" t="s">
        <v>3188</v>
      </c>
      <c r="E147" s="20" t="s">
        <v>5611</v>
      </c>
      <c r="F147" s="30" t="s">
        <v>132</v>
      </c>
      <c r="G147" s="254" t="s">
        <v>5305</v>
      </c>
      <c r="H147" s="30" t="s">
        <v>814</v>
      </c>
      <c r="I147" s="6" t="s">
        <v>814</v>
      </c>
      <c r="J147" s="30" t="s">
        <v>5612</v>
      </c>
      <c r="K147" s="256" t="n">
        <v>1</v>
      </c>
      <c r="L147" s="256" t="n">
        <v>2</v>
      </c>
      <c r="M147" s="30" t="s">
        <v>5613</v>
      </c>
      <c r="N147" s="20" t="s">
        <v>5614</v>
      </c>
      <c r="O147" s="6" t="s">
        <v>5615</v>
      </c>
      <c r="P147" s="254" t="s">
        <v>5351</v>
      </c>
      <c r="Q147" s="195" t="n">
        <f aca="false">Spec_Rack!F31</f>
        <v>1</v>
      </c>
      <c r="R147" s="30" t="s">
        <v>814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5309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5619</v>
      </c>
      <c r="B148" s="254" t="s">
        <v>5304</v>
      </c>
      <c r="C148" s="30" t="s">
        <v>3207</v>
      </c>
      <c r="D148" s="30" t="s">
        <v>3233</v>
      </c>
      <c r="E148" s="20" t="s">
        <v>5611</v>
      </c>
      <c r="F148" s="30" t="s">
        <v>132</v>
      </c>
      <c r="G148" s="254" t="s">
        <v>5305</v>
      </c>
      <c r="H148" s="30" t="s">
        <v>814</v>
      </c>
      <c r="I148" s="6" t="s">
        <v>814</v>
      </c>
      <c r="J148" s="30" t="s">
        <v>5434</v>
      </c>
      <c r="K148" s="256" t="n">
        <v>1</v>
      </c>
      <c r="L148" s="256" t="n">
        <v>2</v>
      </c>
      <c r="M148" s="30" t="s">
        <v>5613</v>
      </c>
      <c r="N148" s="20" t="s">
        <v>5614</v>
      </c>
      <c r="O148" s="6" t="s">
        <v>5615</v>
      </c>
      <c r="P148" s="254" t="s">
        <v>5351</v>
      </c>
      <c r="Q148" s="195" t="n">
        <f aca="false">Spec_Rack!G31</f>
        <v>1</v>
      </c>
      <c r="R148" s="30" t="s">
        <v>814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5309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5620</v>
      </c>
      <c r="B149" s="254" t="s">
        <v>5304</v>
      </c>
      <c r="C149" s="30" t="s">
        <v>3207</v>
      </c>
      <c r="D149" s="30" t="s">
        <v>3234</v>
      </c>
      <c r="E149" s="20" t="s">
        <v>5621</v>
      </c>
      <c r="F149" s="30" t="s">
        <v>132</v>
      </c>
      <c r="G149" s="254" t="s">
        <v>5305</v>
      </c>
      <c r="H149" s="30" t="s">
        <v>814</v>
      </c>
      <c r="I149" s="6" t="s">
        <v>814</v>
      </c>
      <c r="J149" s="30" t="s">
        <v>3336</v>
      </c>
      <c r="K149" s="256" t="n">
        <v>4</v>
      </c>
      <c r="L149" s="256" t="n">
        <v>16</v>
      </c>
      <c r="M149" s="30" t="s">
        <v>5622</v>
      </c>
      <c r="N149" s="6" t="s">
        <v>5623</v>
      </c>
      <c r="O149" s="6" t="s">
        <v>814</v>
      </c>
      <c r="P149" s="254" t="s">
        <v>5308</v>
      </c>
      <c r="Q149" s="49" t="n">
        <f aca="false">Spec_Rack!C32</f>
        <v>8</v>
      </c>
      <c r="R149" s="30" t="s">
        <v>814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5309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5624</v>
      </c>
      <c r="B150" s="254" t="s">
        <v>5304</v>
      </c>
      <c r="C150" s="30" t="s">
        <v>3207</v>
      </c>
      <c r="D150" s="30" t="s">
        <v>3189</v>
      </c>
      <c r="E150" s="20" t="s">
        <v>5621</v>
      </c>
      <c r="F150" s="30" t="s">
        <v>137</v>
      </c>
      <c r="G150" s="254" t="s">
        <v>5305</v>
      </c>
      <c r="H150" s="30" t="s">
        <v>5625</v>
      </c>
      <c r="I150" s="20" t="s">
        <v>5626</v>
      </c>
      <c r="J150" s="30" t="s">
        <v>814</v>
      </c>
      <c r="K150" s="256" t="n">
        <v>2</v>
      </c>
      <c r="L150" s="256" t="n">
        <v>8</v>
      </c>
      <c r="M150" s="30" t="s">
        <v>5627</v>
      </c>
      <c r="N150" s="6" t="s">
        <v>5628</v>
      </c>
      <c r="O150" s="6" t="s">
        <v>814</v>
      </c>
      <c r="P150" s="254" t="s">
        <v>5308</v>
      </c>
      <c r="Q150" s="49" t="n">
        <f aca="false">Spec_Rack!D32</f>
        <v>4</v>
      </c>
      <c r="R150" s="187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5309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5629</v>
      </c>
      <c r="B151" s="254" t="s">
        <v>5304</v>
      </c>
      <c r="C151" s="30" t="s">
        <v>3207</v>
      </c>
      <c r="D151" s="30" t="s">
        <v>3190</v>
      </c>
      <c r="E151" s="20" t="s">
        <v>5621</v>
      </c>
      <c r="F151" s="254" t="s">
        <v>377</v>
      </c>
      <c r="G151" s="254" t="s">
        <v>5305</v>
      </c>
      <c r="H151" s="30" t="s">
        <v>5625</v>
      </c>
      <c r="I151" s="20" t="s">
        <v>5335</v>
      </c>
      <c r="J151" s="30" t="s">
        <v>814</v>
      </c>
      <c r="K151" s="254"/>
      <c r="L151" s="254"/>
      <c r="M151" s="30" t="s">
        <v>814</v>
      </c>
      <c r="N151" s="20" t="s">
        <v>5398</v>
      </c>
      <c r="O151" s="6" t="s">
        <v>814</v>
      </c>
      <c r="P151" s="254" t="s">
        <v>5308</v>
      </c>
      <c r="Q151" s="49" t="n">
        <f aca="false">Spec_Rack!E32</f>
        <v>4</v>
      </c>
      <c r="R151" s="187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5337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5630</v>
      </c>
      <c r="B152" s="254" t="s">
        <v>5304</v>
      </c>
      <c r="C152" s="30" t="s">
        <v>3207</v>
      </c>
      <c r="D152" s="30" t="s">
        <v>3191</v>
      </c>
      <c r="E152" s="20" t="s">
        <v>5621</v>
      </c>
      <c r="F152" s="30" t="s">
        <v>137</v>
      </c>
      <c r="G152" s="254" t="s">
        <v>5305</v>
      </c>
      <c r="H152" s="30" t="s">
        <v>5625</v>
      </c>
      <c r="I152" s="20" t="s">
        <v>5626</v>
      </c>
      <c r="J152" s="30" t="s">
        <v>814</v>
      </c>
      <c r="K152" s="256" t="n">
        <v>2</v>
      </c>
      <c r="L152" s="256" t="n">
        <v>8</v>
      </c>
      <c r="M152" s="30" t="s">
        <v>5627</v>
      </c>
      <c r="N152" s="6" t="s">
        <v>5628</v>
      </c>
      <c r="O152" s="6" t="s">
        <v>814</v>
      </c>
      <c r="P152" s="254" t="s">
        <v>5308</v>
      </c>
      <c r="Q152" s="49" t="n">
        <f aca="false">Spec_Rack!F32</f>
        <v>4</v>
      </c>
      <c r="R152" s="187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5309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5631</v>
      </c>
      <c r="B153" s="254" t="s">
        <v>5304</v>
      </c>
      <c r="C153" s="30" t="s">
        <v>3207</v>
      </c>
      <c r="D153" s="30" t="s">
        <v>3235</v>
      </c>
      <c r="E153" s="20" t="s">
        <v>5621</v>
      </c>
      <c r="F153" s="30" t="s">
        <v>132</v>
      </c>
      <c r="G153" s="254" t="s">
        <v>5305</v>
      </c>
      <c r="H153" s="30" t="s">
        <v>814</v>
      </c>
      <c r="I153" s="6" t="s">
        <v>814</v>
      </c>
      <c r="J153" s="30" t="s">
        <v>5434</v>
      </c>
      <c r="K153" s="256" t="n">
        <v>4</v>
      </c>
      <c r="L153" s="256" t="n">
        <v>16</v>
      </c>
      <c r="M153" s="30" t="s">
        <v>5622</v>
      </c>
      <c r="N153" s="6" t="s">
        <v>5632</v>
      </c>
      <c r="O153" s="6" t="s">
        <v>814</v>
      </c>
      <c r="P153" s="254" t="s">
        <v>5308</v>
      </c>
      <c r="Q153" s="49" t="n">
        <f aca="false">Spec_Rack!G32</f>
        <v>8</v>
      </c>
      <c r="R153" s="30" t="s">
        <v>814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5309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5633</v>
      </c>
      <c r="B154" s="254" t="s">
        <v>5304</v>
      </c>
      <c r="C154" s="30" t="s">
        <v>3207</v>
      </c>
      <c r="D154" s="30" t="s">
        <v>3363</v>
      </c>
      <c r="E154" s="6" t="s">
        <v>274</v>
      </c>
      <c r="F154" s="254" t="s">
        <v>377</v>
      </c>
      <c r="G154" s="254" t="s">
        <v>5305</v>
      </c>
      <c r="H154" s="30" t="s">
        <v>5634</v>
      </c>
      <c r="I154" s="20" t="s">
        <v>5335</v>
      </c>
      <c r="J154" s="30" t="s">
        <v>814</v>
      </c>
      <c r="K154" s="254"/>
      <c r="L154" s="254"/>
      <c r="M154" s="30" t="s">
        <v>814</v>
      </c>
      <c r="N154" s="20" t="s">
        <v>5398</v>
      </c>
      <c r="O154" s="6" t="s">
        <v>814</v>
      </c>
      <c r="P154" s="254" t="s">
        <v>5308</v>
      </c>
      <c r="Q154" s="49" t="n">
        <f aca="false">Spec_Rack!C33</f>
        <v>700</v>
      </c>
      <c r="R154" s="187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5337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5635</v>
      </c>
      <c r="B155" s="254" t="s">
        <v>5304</v>
      </c>
      <c r="C155" s="30" t="s">
        <v>3207</v>
      </c>
      <c r="D155" s="30" t="s">
        <v>3192</v>
      </c>
      <c r="E155" s="6" t="s">
        <v>274</v>
      </c>
      <c r="F155" s="254" t="s">
        <v>377</v>
      </c>
      <c r="G155" s="254" t="s">
        <v>5305</v>
      </c>
      <c r="H155" s="30" t="s">
        <v>5636</v>
      </c>
      <c r="I155" s="20" t="s">
        <v>5335</v>
      </c>
      <c r="J155" s="30" t="s">
        <v>814</v>
      </c>
      <c r="K155" s="254"/>
      <c r="L155" s="254"/>
      <c r="M155" s="30" t="s">
        <v>814</v>
      </c>
      <c r="N155" s="20" t="s">
        <v>5398</v>
      </c>
      <c r="O155" s="6" t="s">
        <v>814</v>
      </c>
      <c r="P155" s="254" t="s">
        <v>5308</v>
      </c>
      <c r="Q155" s="49" t="n">
        <f aca="false">Spec_Rack!D33</f>
        <v>1200</v>
      </c>
      <c r="R155" s="187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5337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5637</v>
      </c>
      <c r="B156" s="254" t="s">
        <v>5304</v>
      </c>
      <c r="C156" s="30" t="s">
        <v>3207</v>
      </c>
      <c r="D156" s="30" t="s">
        <v>3193</v>
      </c>
      <c r="E156" s="6" t="s">
        <v>274</v>
      </c>
      <c r="F156" s="254" t="s">
        <v>377</v>
      </c>
      <c r="G156" s="254" t="s">
        <v>5305</v>
      </c>
      <c r="H156" s="30" t="s">
        <v>5638</v>
      </c>
      <c r="I156" s="20" t="s">
        <v>5335</v>
      </c>
      <c r="J156" s="30" t="s">
        <v>814</v>
      </c>
      <c r="K156" s="254"/>
      <c r="L156" s="254"/>
      <c r="M156" s="30" t="s">
        <v>814</v>
      </c>
      <c r="N156" s="20" t="s">
        <v>5398</v>
      </c>
      <c r="O156" s="6" t="s">
        <v>814</v>
      </c>
      <c r="P156" s="254" t="s">
        <v>5308</v>
      </c>
      <c r="Q156" s="49" t="n">
        <f aca="false">Spec_Rack!E33</f>
        <v>1400</v>
      </c>
      <c r="R156" s="187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5337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5639</v>
      </c>
      <c r="B157" s="254" t="s">
        <v>5304</v>
      </c>
      <c r="C157" s="30" t="s">
        <v>3207</v>
      </c>
      <c r="D157" s="30" t="s">
        <v>3194</v>
      </c>
      <c r="E157" s="6" t="s">
        <v>274</v>
      </c>
      <c r="F157" s="254" t="s">
        <v>377</v>
      </c>
      <c r="G157" s="254" t="s">
        <v>5305</v>
      </c>
      <c r="H157" s="30" t="s">
        <v>5640</v>
      </c>
      <c r="I157" s="20" t="s">
        <v>5569</v>
      </c>
      <c r="J157" s="30" t="s">
        <v>814</v>
      </c>
      <c r="K157" s="254"/>
      <c r="L157" s="254"/>
      <c r="M157" s="30" t="s">
        <v>814</v>
      </c>
      <c r="N157" s="20" t="s">
        <v>5398</v>
      </c>
      <c r="O157" s="6" t="s">
        <v>814</v>
      </c>
      <c r="P157" s="254" t="s">
        <v>5308</v>
      </c>
      <c r="Q157" s="49" t="n">
        <f aca="false">Spec_Rack!F33</f>
        <v>1800</v>
      </c>
      <c r="R157" s="187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5337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5641</v>
      </c>
      <c r="B158" s="254" t="s">
        <v>5304</v>
      </c>
      <c r="C158" s="30" t="s">
        <v>3207</v>
      </c>
      <c r="D158" s="30" t="s">
        <v>5642</v>
      </c>
      <c r="E158" s="6" t="s">
        <v>274</v>
      </c>
      <c r="F158" s="30" t="s">
        <v>132</v>
      </c>
      <c r="G158" s="254" t="s">
        <v>115</v>
      </c>
      <c r="H158" s="30" t="s">
        <v>814</v>
      </c>
      <c r="I158" s="6" t="s">
        <v>814</v>
      </c>
      <c r="J158" s="30" t="s">
        <v>5434</v>
      </c>
      <c r="K158" s="187" t="n">
        <f aca="false">Spec_Rack!G33*0.7</f>
        <v>2520</v>
      </c>
      <c r="L158" s="187" t="n">
        <f aca="false">Spec_Rack!G33*1.3</f>
        <v>4680</v>
      </c>
      <c r="M158" s="30" t="s">
        <v>5524</v>
      </c>
      <c r="N158" s="6" t="s">
        <v>5632</v>
      </c>
      <c r="O158" s="6" t="s">
        <v>814</v>
      </c>
      <c r="P158" s="254" t="s">
        <v>5308</v>
      </c>
      <c r="Q158" s="49" t="n">
        <f aca="false">Spec_Rack!G33</f>
        <v>3600</v>
      </c>
      <c r="R158" s="30" t="s">
        <v>814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5309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5643</v>
      </c>
      <c r="B159" s="254" t="s">
        <v>5304</v>
      </c>
      <c r="C159" s="30" t="s">
        <v>3207</v>
      </c>
      <c r="D159" s="30" t="s">
        <v>3246</v>
      </c>
      <c r="E159" s="6" t="s">
        <v>276</v>
      </c>
      <c r="F159" s="30" t="s">
        <v>137</v>
      </c>
      <c r="G159" s="254" t="s">
        <v>5305</v>
      </c>
      <c r="H159" s="30" t="s">
        <v>5644</v>
      </c>
      <c r="I159" s="20" t="s">
        <v>5645</v>
      </c>
      <c r="J159" s="30" t="s">
        <v>814</v>
      </c>
      <c r="K159" s="187" t="n">
        <f aca="false">Spec_Rack!C34*0.7</f>
        <v>21.7</v>
      </c>
      <c r="L159" s="187" t="n">
        <f aca="false">Spec_Rack!C34*1.3</f>
        <v>40.3</v>
      </c>
      <c r="M159" s="30" t="s">
        <v>5646</v>
      </c>
      <c r="N159" s="255" t="str">
        <f aca="false">Spec_Rack!$H$34</f>
        <v>Analogy：HBM3 約 3.9 pJ/bit、HBM3e 約 3、HBM4 約 2.5；區間 ±30%（S29） ｜物理慣例：×8＝pJ/bit 換 pJ/byte（8 bit／byte），不外露</v>
      </c>
      <c r="O159" s="6" t="s">
        <v>814</v>
      </c>
      <c r="P159" s="254" t="s">
        <v>5308</v>
      </c>
      <c r="Q159" s="49" t="n">
        <f aca="false">Spec_Rack!C34</f>
        <v>31</v>
      </c>
      <c r="R159" s="187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5309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5647</v>
      </c>
      <c r="B160" s="254" t="s">
        <v>5304</v>
      </c>
      <c r="C160" s="30" t="s">
        <v>3207</v>
      </c>
      <c r="D160" s="30" t="s">
        <v>3195</v>
      </c>
      <c r="E160" s="6" t="s">
        <v>276</v>
      </c>
      <c r="F160" s="30" t="s">
        <v>137</v>
      </c>
      <c r="G160" s="254" t="s">
        <v>5305</v>
      </c>
      <c r="H160" s="30" t="s">
        <v>5648</v>
      </c>
      <c r="I160" s="20" t="s">
        <v>5645</v>
      </c>
      <c r="J160" s="30" t="s">
        <v>814</v>
      </c>
      <c r="K160" s="187" t="n">
        <f aca="false">Spec_Rack!D34*0.7</f>
        <v>17.5</v>
      </c>
      <c r="L160" s="187" t="n">
        <f aca="false">Spec_Rack!D34*1.3</f>
        <v>32.5</v>
      </c>
      <c r="M160" s="30" t="s">
        <v>5646</v>
      </c>
      <c r="N160" s="255" t="str">
        <f aca="false">Spec_Rack!$H$34</f>
        <v>Analogy：HBM3 約 3.9 pJ/bit、HBM3e 約 3、HBM4 約 2.5；區間 ±30%（S29） ｜物理慣例：×8＝pJ/bit 換 pJ/byte（8 bit／byte），不外露</v>
      </c>
      <c r="O160" s="6" t="s">
        <v>814</v>
      </c>
      <c r="P160" s="254" t="s">
        <v>5308</v>
      </c>
      <c r="Q160" s="49" t="n">
        <f aca="false">Spec_Rack!D34</f>
        <v>25</v>
      </c>
      <c r="R160" s="187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5309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5649</v>
      </c>
      <c r="B161" s="254" t="s">
        <v>5304</v>
      </c>
      <c r="C161" s="30" t="s">
        <v>3207</v>
      </c>
      <c r="D161" s="30" t="s">
        <v>3196</v>
      </c>
      <c r="E161" s="6" t="s">
        <v>276</v>
      </c>
      <c r="F161" s="30" t="s">
        <v>137</v>
      </c>
      <c r="G161" s="254" t="s">
        <v>5305</v>
      </c>
      <c r="H161" s="30" t="s">
        <v>5648</v>
      </c>
      <c r="I161" s="20" t="s">
        <v>5645</v>
      </c>
      <c r="J161" s="30" t="s">
        <v>814</v>
      </c>
      <c r="K161" s="187" t="n">
        <f aca="false">Spec_Rack!E34*0.7</f>
        <v>17.5</v>
      </c>
      <c r="L161" s="187" t="n">
        <f aca="false">Spec_Rack!E34*1.3</f>
        <v>32.5</v>
      </c>
      <c r="M161" s="30" t="s">
        <v>5646</v>
      </c>
      <c r="N161" s="255" t="str">
        <f aca="false">Spec_Rack!$H$34</f>
        <v>Analogy：HBM3 約 3.9 pJ/bit、HBM3e 約 3、HBM4 約 2.5；區間 ±30%（S29） ｜物理慣例：×8＝pJ/bit 換 pJ/byte（8 bit／byte），不外露</v>
      </c>
      <c r="O161" s="6" t="s">
        <v>814</v>
      </c>
      <c r="P161" s="254" t="s">
        <v>5308</v>
      </c>
      <c r="Q161" s="49" t="n">
        <f aca="false">Spec_Rack!E34</f>
        <v>25</v>
      </c>
      <c r="R161" s="187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5309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5650</v>
      </c>
      <c r="B162" s="254" t="s">
        <v>5304</v>
      </c>
      <c r="C162" s="30" t="s">
        <v>3207</v>
      </c>
      <c r="D162" s="30" t="s">
        <v>3197</v>
      </c>
      <c r="E162" s="6" t="s">
        <v>276</v>
      </c>
      <c r="F162" s="254" t="s">
        <v>377</v>
      </c>
      <c r="G162" s="254" t="s">
        <v>5305</v>
      </c>
      <c r="H162" s="30" t="s">
        <v>5651</v>
      </c>
      <c r="I162" s="20" t="s">
        <v>5569</v>
      </c>
      <c r="J162" s="30" t="s">
        <v>814</v>
      </c>
      <c r="K162" s="254"/>
      <c r="L162" s="254"/>
      <c r="M162" s="30" t="s">
        <v>814</v>
      </c>
      <c r="N162" s="20" t="s">
        <v>5398</v>
      </c>
      <c r="O162" s="6" t="s">
        <v>814</v>
      </c>
      <c r="P162" s="254" t="s">
        <v>5308</v>
      </c>
      <c r="Q162" s="49" t="n">
        <f aca="false">Spec_Rack!F34</f>
        <v>20</v>
      </c>
      <c r="R162" s="187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5337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5652</v>
      </c>
      <c r="B163" s="254" t="s">
        <v>5304</v>
      </c>
      <c r="C163" s="30" t="s">
        <v>3207</v>
      </c>
      <c r="D163" s="30" t="s">
        <v>5653</v>
      </c>
      <c r="E163" s="6" t="s">
        <v>276</v>
      </c>
      <c r="F163" s="30" t="s">
        <v>132</v>
      </c>
      <c r="G163" s="254" t="s">
        <v>115</v>
      </c>
      <c r="H163" s="30" t="s">
        <v>814</v>
      </c>
      <c r="I163" s="6" t="s">
        <v>814</v>
      </c>
      <c r="J163" s="30" t="s">
        <v>5434</v>
      </c>
      <c r="K163" s="187" t="n">
        <f aca="false">Spec_Rack!G34*0.7</f>
        <v>12.6</v>
      </c>
      <c r="L163" s="187" t="n">
        <f aca="false">Spec_Rack!G34*1.3</f>
        <v>23.4</v>
      </c>
      <c r="M163" s="30" t="s">
        <v>5524</v>
      </c>
      <c r="N163" s="6" t="s">
        <v>5632</v>
      </c>
      <c r="O163" s="6" t="s">
        <v>814</v>
      </c>
      <c r="P163" s="254" t="s">
        <v>5308</v>
      </c>
      <c r="Q163" s="49" t="n">
        <f aca="false">Spec_Rack!G34</f>
        <v>18</v>
      </c>
      <c r="R163" s="30" t="s">
        <v>814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5309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5654</v>
      </c>
      <c r="B164" s="254" t="s">
        <v>5304</v>
      </c>
      <c r="C164" s="30" t="s">
        <v>3207</v>
      </c>
      <c r="D164" s="30" t="s">
        <v>3378</v>
      </c>
      <c r="E164" s="6" t="s">
        <v>282</v>
      </c>
      <c r="F164" s="254" t="s">
        <v>377</v>
      </c>
      <c r="G164" s="254" t="s">
        <v>5305</v>
      </c>
      <c r="H164" s="30" t="s">
        <v>5655</v>
      </c>
      <c r="I164" s="20" t="s">
        <v>5335</v>
      </c>
      <c r="J164" s="30" t="s">
        <v>814</v>
      </c>
      <c r="K164" s="254"/>
      <c r="L164" s="254"/>
      <c r="M164" s="30" t="s">
        <v>814</v>
      </c>
      <c r="N164" s="20" t="s">
        <v>5398</v>
      </c>
      <c r="O164" s="6" t="s">
        <v>814</v>
      </c>
      <c r="P164" s="254" t="s">
        <v>5308</v>
      </c>
      <c r="Q164" s="46" t="n">
        <f aca="false">Spec_Rack!C39</f>
        <v>0.989</v>
      </c>
      <c r="R164" s="187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5337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5656</v>
      </c>
      <c r="B165" s="254" t="s">
        <v>5304</v>
      </c>
      <c r="C165" s="30" t="s">
        <v>3207</v>
      </c>
      <c r="D165" s="30" t="s">
        <v>5657</v>
      </c>
      <c r="E165" s="6" t="s">
        <v>282</v>
      </c>
      <c r="F165" s="254" t="s">
        <v>377</v>
      </c>
      <c r="G165" s="254" t="s">
        <v>5305</v>
      </c>
      <c r="H165" s="30" t="s">
        <v>5658</v>
      </c>
      <c r="I165" s="20" t="s">
        <v>5335</v>
      </c>
      <c r="J165" s="30" t="s">
        <v>814</v>
      </c>
      <c r="K165" s="254"/>
      <c r="L165" s="254"/>
      <c r="M165" s="30" t="s">
        <v>814</v>
      </c>
      <c r="N165" s="20" t="s">
        <v>5398</v>
      </c>
      <c r="O165" s="6" t="s">
        <v>814</v>
      </c>
      <c r="P165" s="254" t="s">
        <v>5308</v>
      </c>
      <c r="Q165" s="46" t="n">
        <f aca="false">Spec_Rack!D39</f>
        <v>2.5</v>
      </c>
      <c r="R165" s="187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5337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5659</v>
      </c>
      <c r="B166" s="254" t="s">
        <v>5304</v>
      </c>
      <c r="C166" s="30" t="s">
        <v>3207</v>
      </c>
      <c r="D166" s="30" t="s">
        <v>5660</v>
      </c>
      <c r="E166" s="6" t="s">
        <v>282</v>
      </c>
      <c r="F166" s="254" t="s">
        <v>377</v>
      </c>
      <c r="G166" s="254" t="s">
        <v>5305</v>
      </c>
      <c r="H166" s="30" t="s">
        <v>5658</v>
      </c>
      <c r="I166" s="20" t="s">
        <v>5335</v>
      </c>
      <c r="J166" s="30" t="s">
        <v>814</v>
      </c>
      <c r="K166" s="254"/>
      <c r="L166" s="254"/>
      <c r="M166" s="30" t="s">
        <v>814</v>
      </c>
      <c r="N166" s="20" t="s">
        <v>5398</v>
      </c>
      <c r="O166" s="6" t="s">
        <v>814</v>
      </c>
      <c r="P166" s="254" t="s">
        <v>5308</v>
      </c>
      <c r="Q166" s="46" t="n">
        <f aca="false">Spec_Rack!E39</f>
        <v>2.5</v>
      </c>
      <c r="R166" s="187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5337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5661</v>
      </c>
      <c r="B167" s="254" t="s">
        <v>5304</v>
      </c>
      <c r="C167" s="30" t="s">
        <v>3207</v>
      </c>
      <c r="D167" s="30" t="s">
        <v>5662</v>
      </c>
      <c r="E167" s="6" t="s">
        <v>282</v>
      </c>
      <c r="F167" s="254" t="s">
        <v>377</v>
      </c>
      <c r="G167" s="254" t="s">
        <v>5305</v>
      </c>
      <c r="H167" s="30" t="s">
        <v>5663</v>
      </c>
      <c r="I167" s="20" t="s">
        <v>5569</v>
      </c>
      <c r="J167" s="30" t="s">
        <v>814</v>
      </c>
      <c r="K167" s="254"/>
      <c r="L167" s="254"/>
      <c r="M167" s="30" t="s">
        <v>814</v>
      </c>
      <c r="N167" s="20" t="s">
        <v>5398</v>
      </c>
      <c r="O167" s="6" t="s">
        <v>814</v>
      </c>
      <c r="P167" s="254" t="s">
        <v>5308</v>
      </c>
      <c r="Q167" s="46" t="n">
        <f aca="false">Spec_Rack!F39</f>
        <v>4</v>
      </c>
      <c r="R167" s="187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5337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5664</v>
      </c>
      <c r="B168" s="254" t="s">
        <v>5304</v>
      </c>
      <c r="C168" s="30" t="s">
        <v>3207</v>
      </c>
      <c r="D168" s="30" t="s">
        <v>5665</v>
      </c>
      <c r="E168" s="6" t="s">
        <v>282</v>
      </c>
      <c r="F168" s="30" t="s">
        <v>132</v>
      </c>
      <c r="G168" s="254" t="s">
        <v>115</v>
      </c>
      <c r="H168" s="30" t="s">
        <v>814</v>
      </c>
      <c r="I168" s="6" t="s">
        <v>814</v>
      </c>
      <c r="J168" s="30" t="s">
        <v>5434</v>
      </c>
      <c r="K168" s="187" t="n">
        <f aca="false">Spec_Rack!G39*0.7</f>
        <v>5.6</v>
      </c>
      <c r="L168" s="187" t="n">
        <f aca="false">Spec_Rack!G39*1.3</f>
        <v>10.4</v>
      </c>
      <c r="M168" s="30" t="s">
        <v>5524</v>
      </c>
      <c r="N168" s="6" t="s">
        <v>5632</v>
      </c>
      <c r="O168" s="6" t="s">
        <v>814</v>
      </c>
      <c r="P168" s="254" t="s">
        <v>5308</v>
      </c>
      <c r="Q168" s="46" t="n">
        <f aca="false">Spec_Rack!G39</f>
        <v>8</v>
      </c>
      <c r="R168" s="30" t="s">
        <v>814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5309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5666</v>
      </c>
      <c r="B169" s="254" t="s">
        <v>5304</v>
      </c>
      <c r="C169" s="30" t="s">
        <v>3207</v>
      </c>
      <c r="D169" s="30" t="s">
        <v>3379</v>
      </c>
      <c r="E169" s="6" t="s">
        <v>285</v>
      </c>
      <c r="F169" s="254" t="s">
        <v>377</v>
      </c>
      <c r="G169" s="254" t="s">
        <v>5305</v>
      </c>
      <c r="H169" s="30" t="s">
        <v>5514</v>
      </c>
      <c r="I169" s="20" t="s">
        <v>5335</v>
      </c>
      <c r="J169" s="30" t="s">
        <v>814</v>
      </c>
      <c r="K169" s="254"/>
      <c r="L169" s="254"/>
      <c r="M169" s="30" t="s">
        <v>814</v>
      </c>
      <c r="N169" s="20" t="s">
        <v>5469</v>
      </c>
      <c r="O169" s="6" t="s">
        <v>814</v>
      </c>
      <c r="P169" s="254" t="s">
        <v>5308</v>
      </c>
      <c r="Q169" s="46" t="n">
        <f aca="false">Spec_Rack!C40</f>
        <v>1.979</v>
      </c>
      <c r="R169" s="187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5337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5667</v>
      </c>
      <c r="B170" s="254" t="s">
        <v>5304</v>
      </c>
      <c r="C170" s="30" t="s">
        <v>3207</v>
      </c>
      <c r="D170" s="30" t="s">
        <v>5668</v>
      </c>
      <c r="E170" s="6" t="s">
        <v>285</v>
      </c>
      <c r="F170" s="254" t="s">
        <v>377</v>
      </c>
      <c r="G170" s="254" t="s">
        <v>5305</v>
      </c>
      <c r="H170" s="30" t="s">
        <v>5669</v>
      </c>
      <c r="I170" s="20" t="s">
        <v>5335</v>
      </c>
      <c r="J170" s="30" t="s">
        <v>814</v>
      </c>
      <c r="K170" s="254"/>
      <c r="L170" s="254"/>
      <c r="M170" s="30" t="s">
        <v>814</v>
      </c>
      <c r="N170" s="20" t="s">
        <v>5469</v>
      </c>
      <c r="O170" s="6" t="s">
        <v>814</v>
      </c>
      <c r="P170" s="254" t="s">
        <v>5308</v>
      </c>
      <c r="Q170" s="46" t="n">
        <f aca="false">Spec_Rack!D40</f>
        <v>5</v>
      </c>
      <c r="R170" s="187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5337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5670</v>
      </c>
      <c r="B171" s="254" t="s">
        <v>5304</v>
      </c>
      <c r="C171" s="30" t="s">
        <v>3207</v>
      </c>
      <c r="D171" s="30" t="s">
        <v>5671</v>
      </c>
      <c r="E171" s="6" t="s">
        <v>285</v>
      </c>
      <c r="F171" s="254" t="s">
        <v>377</v>
      </c>
      <c r="G171" s="254" t="s">
        <v>5305</v>
      </c>
      <c r="H171" s="30" t="s">
        <v>5669</v>
      </c>
      <c r="I171" s="20" t="s">
        <v>5335</v>
      </c>
      <c r="J171" s="30" t="s">
        <v>814</v>
      </c>
      <c r="K171" s="254"/>
      <c r="L171" s="254"/>
      <c r="M171" s="30" t="s">
        <v>814</v>
      </c>
      <c r="N171" s="20" t="s">
        <v>5469</v>
      </c>
      <c r="O171" s="6" t="s">
        <v>814</v>
      </c>
      <c r="P171" s="254" t="s">
        <v>5308</v>
      </c>
      <c r="Q171" s="46" t="n">
        <f aca="false">Spec_Rack!E40</f>
        <v>5</v>
      </c>
      <c r="R171" s="187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5337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5672</v>
      </c>
      <c r="B172" s="254" t="s">
        <v>5304</v>
      </c>
      <c r="C172" s="30" t="s">
        <v>3207</v>
      </c>
      <c r="D172" s="30" t="s">
        <v>5673</v>
      </c>
      <c r="E172" s="6" t="s">
        <v>285</v>
      </c>
      <c r="F172" s="254" t="s">
        <v>377</v>
      </c>
      <c r="G172" s="254" t="s">
        <v>5305</v>
      </c>
      <c r="H172" s="30" t="s">
        <v>5674</v>
      </c>
      <c r="I172" s="20" t="s">
        <v>5569</v>
      </c>
      <c r="J172" s="30" t="s">
        <v>814</v>
      </c>
      <c r="K172" s="254"/>
      <c r="L172" s="254"/>
      <c r="M172" s="30" t="s">
        <v>814</v>
      </c>
      <c r="N172" s="20" t="s">
        <v>5469</v>
      </c>
      <c r="O172" s="6" t="s">
        <v>814</v>
      </c>
      <c r="P172" s="254" t="s">
        <v>5308</v>
      </c>
      <c r="Q172" s="46" t="n">
        <f aca="false">Spec_Rack!F40</f>
        <v>17.5</v>
      </c>
      <c r="R172" s="187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5337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5675</v>
      </c>
      <c r="B173" s="254" t="s">
        <v>5304</v>
      </c>
      <c r="C173" s="30" t="s">
        <v>3207</v>
      </c>
      <c r="D173" s="30" t="s">
        <v>3236</v>
      </c>
      <c r="E173" s="6" t="s">
        <v>285</v>
      </c>
      <c r="F173" s="254" t="s">
        <v>180</v>
      </c>
      <c r="G173" s="254" t="s">
        <v>5305</v>
      </c>
      <c r="H173" s="30" t="s">
        <v>5522</v>
      </c>
      <c r="I173" s="20" t="s">
        <v>5676</v>
      </c>
      <c r="J173" s="30" t="s">
        <v>814</v>
      </c>
      <c r="K173" s="254"/>
      <c r="L173" s="254"/>
      <c r="M173" s="30" t="s">
        <v>814</v>
      </c>
      <c r="N173" s="20" t="s">
        <v>5677</v>
      </c>
      <c r="O173" s="20" t="s">
        <v>5539</v>
      </c>
      <c r="P173" s="254" t="s">
        <v>5308</v>
      </c>
      <c r="Q173" s="46" t="n">
        <f aca="false">Spec_Rack!G40</f>
        <v>35</v>
      </c>
      <c r="R173" s="187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5309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5678</v>
      </c>
      <c r="B174" s="254" t="s">
        <v>5304</v>
      </c>
      <c r="C174" s="30" t="s">
        <v>3207</v>
      </c>
      <c r="D174" s="30" t="s">
        <v>3380</v>
      </c>
      <c r="E174" s="6" t="s">
        <v>287</v>
      </c>
      <c r="F174" s="30" t="s">
        <v>5369</v>
      </c>
      <c r="G174" s="254" t="s">
        <v>5305</v>
      </c>
      <c r="H174" s="30" t="s">
        <v>814</v>
      </c>
      <c r="I174" s="6" t="s">
        <v>814</v>
      </c>
      <c r="J174" s="30" t="s">
        <v>5529</v>
      </c>
      <c r="K174" s="254"/>
      <c r="L174" s="254"/>
      <c r="M174" s="30" t="s">
        <v>814</v>
      </c>
      <c r="N174" s="6" t="s">
        <v>5679</v>
      </c>
      <c r="O174" s="6" t="s">
        <v>814</v>
      </c>
      <c r="P174" s="254" t="s">
        <v>5308</v>
      </c>
      <c r="Q174" s="46" t="n">
        <f aca="false">Spec_Rack!C41</f>
        <v>1.979</v>
      </c>
      <c r="R174" s="30" t="s">
        <v>814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5373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5680</v>
      </c>
      <c r="B175" s="254" t="s">
        <v>5304</v>
      </c>
      <c r="C175" s="30" t="s">
        <v>3207</v>
      </c>
      <c r="D175" s="30" t="s">
        <v>5681</v>
      </c>
      <c r="E175" s="6" t="s">
        <v>287</v>
      </c>
      <c r="F175" s="30" t="s">
        <v>137</v>
      </c>
      <c r="G175" s="254" t="s">
        <v>5305</v>
      </c>
      <c r="H175" s="30" t="s">
        <v>5682</v>
      </c>
      <c r="I175" s="20" t="s">
        <v>5683</v>
      </c>
      <c r="J175" s="30" t="s">
        <v>814</v>
      </c>
      <c r="K175" s="256" t="n">
        <v>5</v>
      </c>
      <c r="L175" s="256" t="n">
        <v>10</v>
      </c>
      <c r="M175" s="30" t="s">
        <v>5684</v>
      </c>
      <c r="N175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814</v>
      </c>
      <c r="P175" s="254" t="s">
        <v>5308</v>
      </c>
      <c r="Q175" s="46" t="n">
        <f aca="false">Spec_Rack!D41</f>
        <v>10</v>
      </c>
      <c r="R175" s="187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5309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5685</v>
      </c>
      <c r="B176" s="254" t="s">
        <v>5304</v>
      </c>
      <c r="C176" s="30" t="s">
        <v>3207</v>
      </c>
      <c r="D176" s="30" t="s">
        <v>5686</v>
      </c>
      <c r="E176" s="6" t="s">
        <v>287</v>
      </c>
      <c r="F176" s="30" t="s">
        <v>132</v>
      </c>
      <c r="G176" s="254" t="s">
        <v>5305</v>
      </c>
      <c r="H176" s="30" t="s">
        <v>814</v>
      </c>
      <c r="I176" s="6" t="s">
        <v>814</v>
      </c>
      <c r="J176" s="30" t="s">
        <v>3347</v>
      </c>
      <c r="K176" s="256" t="n">
        <v>10</v>
      </c>
      <c r="L176" s="256" t="n">
        <v>15</v>
      </c>
      <c r="M176" s="30" t="s">
        <v>5687</v>
      </c>
      <c r="N176" s="255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814</v>
      </c>
      <c r="P176" s="254" t="s">
        <v>5308</v>
      </c>
      <c r="Q176" s="46" t="n">
        <f aca="false">Spec_Rack!E41</f>
        <v>15</v>
      </c>
      <c r="R176" s="30" t="s">
        <v>814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5309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5688</v>
      </c>
      <c r="B177" s="254" t="s">
        <v>5304</v>
      </c>
      <c r="C177" s="30" t="s">
        <v>3207</v>
      </c>
      <c r="D177" s="30" t="s">
        <v>5689</v>
      </c>
      <c r="E177" s="6" t="s">
        <v>287</v>
      </c>
      <c r="F177" s="254" t="s">
        <v>377</v>
      </c>
      <c r="G177" s="254" t="s">
        <v>5305</v>
      </c>
      <c r="H177" s="30" t="s">
        <v>5682</v>
      </c>
      <c r="I177" s="20" t="s">
        <v>5569</v>
      </c>
      <c r="J177" s="30" t="s">
        <v>814</v>
      </c>
      <c r="K177" s="254"/>
      <c r="L177" s="254"/>
      <c r="M177" s="30" t="s">
        <v>814</v>
      </c>
      <c r="N177" s="20" t="s">
        <v>5398</v>
      </c>
      <c r="O177" s="6" t="s">
        <v>814</v>
      </c>
      <c r="P177" s="254" t="s">
        <v>5308</v>
      </c>
      <c r="Q177" s="46" t="n">
        <f aca="false">Spec_Rack!F41</f>
        <v>35</v>
      </c>
      <c r="R177" s="187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5337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5690</v>
      </c>
      <c r="B178" s="254" t="s">
        <v>5304</v>
      </c>
      <c r="C178" s="30" t="s">
        <v>3207</v>
      </c>
      <c r="D178" s="30" t="s">
        <v>5691</v>
      </c>
      <c r="E178" s="6" t="s">
        <v>287</v>
      </c>
      <c r="F178" s="30" t="s">
        <v>132</v>
      </c>
      <c r="G178" s="254" t="s">
        <v>115</v>
      </c>
      <c r="H178" s="30" t="s">
        <v>814</v>
      </c>
      <c r="I178" s="6" t="s">
        <v>814</v>
      </c>
      <c r="J178" s="30" t="s">
        <v>5434</v>
      </c>
      <c r="K178" s="187" t="n">
        <f aca="false">Spec_Rack!G41*0.7</f>
        <v>49</v>
      </c>
      <c r="L178" s="187" t="n">
        <f aca="false">Spec_Rack!G41*1.3</f>
        <v>91</v>
      </c>
      <c r="M178" s="30" t="s">
        <v>5524</v>
      </c>
      <c r="N178" s="6" t="s">
        <v>5632</v>
      </c>
      <c r="O178" s="6" t="s">
        <v>814</v>
      </c>
      <c r="P178" s="254" t="s">
        <v>5308</v>
      </c>
      <c r="Q178" s="46" t="n">
        <f aca="false">Spec_Rack!G41</f>
        <v>70</v>
      </c>
      <c r="R178" s="30" t="s">
        <v>814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5309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5692</v>
      </c>
      <c r="B179" s="254" t="s">
        <v>5304</v>
      </c>
      <c r="C179" s="30" t="s">
        <v>3244</v>
      </c>
      <c r="D179" s="30" t="s">
        <v>3208</v>
      </c>
      <c r="E179" s="20" t="s">
        <v>314</v>
      </c>
      <c r="F179" s="254" t="s">
        <v>377</v>
      </c>
      <c r="G179" s="254" t="s">
        <v>5305</v>
      </c>
      <c r="H179" s="30" t="s">
        <v>5693</v>
      </c>
      <c r="I179" s="20" t="s">
        <v>5335</v>
      </c>
      <c r="J179" s="30" t="s">
        <v>814</v>
      </c>
      <c r="K179" s="254"/>
      <c r="L179" s="254"/>
      <c r="M179" s="30" t="s">
        <v>814</v>
      </c>
      <c r="N179" s="20" t="s">
        <v>5469</v>
      </c>
      <c r="O179" s="6" t="s">
        <v>814</v>
      </c>
      <c r="P179" s="254" t="s">
        <v>5351</v>
      </c>
      <c r="Q179" s="49" t="n">
        <f aca="false">Arch!C6</f>
        <v>284</v>
      </c>
      <c r="R179" s="187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5337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5694</v>
      </c>
      <c r="B180" s="254" t="s">
        <v>5304</v>
      </c>
      <c r="C180" s="30" t="s">
        <v>3244</v>
      </c>
      <c r="D180" s="30" t="s">
        <v>3336</v>
      </c>
      <c r="E180" s="20" t="s">
        <v>314</v>
      </c>
      <c r="F180" s="254" t="s">
        <v>377</v>
      </c>
      <c r="G180" s="254" t="s">
        <v>5305</v>
      </c>
      <c r="H180" s="30" t="s">
        <v>5695</v>
      </c>
      <c r="I180" s="20" t="s">
        <v>5335</v>
      </c>
      <c r="J180" s="30" t="s">
        <v>814</v>
      </c>
      <c r="K180" s="254"/>
      <c r="L180" s="254"/>
      <c r="M180" s="30" t="s">
        <v>814</v>
      </c>
      <c r="N180" s="20" t="s">
        <v>5469</v>
      </c>
      <c r="O180" s="6" t="s">
        <v>814</v>
      </c>
      <c r="P180" s="254" t="s">
        <v>5351</v>
      </c>
      <c r="Q180" s="49" t="n">
        <f aca="false">Arch!D6</f>
        <v>1600</v>
      </c>
      <c r="R180" s="187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5337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5696</v>
      </c>
      <c r="B181" s="254" t="s">
        <v>5304</v>
      </c>
      <c r="C181" s="30" t="s">
        <v>3244</v>
      </c>
      <c r="D181" s="30" t="s">
        <v>3344</v>
      </c>
      <c r="E181" s="20" t="s">
        <v>317</v>
      </c>
      <c r="F181" s="254" t="s">
        <v>377</v>
      </c>
      <c r="G181" s="254" t="s">
        <v>5305</v>
      </c>
      <c r="H181" s="30" t="s">
        <v>5697</v>
      </c>
      <c r="I181" s="20" t="s">
        <v>5335</v>
      </c>
      <c r="J181" s="30" t="s">
        <v>814</v>
      </c>
      <c r="K181" s="254"/>
      <c r="L181" s="254"/>
      <c r="M181" s="30" t="s">
        <v>814</v>
      </c>
      <c r="N181" s="20" t="s">
        <v>5398</v>
      </c>
      <c r="O181" s="6" t="s">
        <v>814</v>
      </c>
      <c r="P181" s="254" t="s">
        <v>1441</v>
      </c>
      <c r="Q181" s="49" t="n">
        <f aca="false">Arch!C7</f>
        <v>13</v>
      </c>
      <c r="R181" s="187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5337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5698</v>
      </c>
      <c r="B182" s="254" t="s">
        <v>5304</v>
      </c>
      <c r="C182" s="30" t="s">
        <v>3244</v>
      </c>
      <c r="D182" s="30" t="s">
        <v>3345</v>
      </c>
      <c r="E182" s="20" t="s">
        <v>317</v>
      </c>
      <c r="F182" s="254" t="s">
        <v>377</v>
      </c>
      <c r="G182" s="254" t="s">
        <v>5305</v>
      </c>
      <c r="H182" s="30" t="s">
        <v>5699</v>
      </c>
      <c r="I182" s="20" t="s">
        <v>5335</v>
      </c>
      <c r="J182" s="30" t="s">
        <v>814</v>
      </c>
      <c r="K182" s="254"/>
      <c r="L182" s="254"/>
      <c r="M182" s="30" t="s">
        <v>814</v>
      </c>
      <c r="N182" s="20" t="s">
        <v>5398</v>
      </c>
      <c r="O182" s="6" t="s">
        <v>814</v>
      </c>
      <c r="P182" s="254" t="s">
        <v>1441</v>
      </c>
      <c r="Q182" s="49" t="n">
        <f aca="false">Arch!D7</f>
        <v>49</v>
      </c>
      <c r="R182" s="187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5337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5700</v>
      </c>
      <c r="B183" s="254" t="s">
        <v>5304</v>
      </c>
      <c r="C183" s="30" t="s">
        <v>3244</v>
      </c>
      <c r="D183" s="30" t="s">
        <v>3209</v>
      </c>
      <c r="E183" s="20" t="s">
        <v>319</v>
      </c>
      <c r="F183" s="254" t="s">
        <v>377</v>
      </c>
      <c r="G183" s="254" t="s">
        <v>5305</v>
      </c>
      <c r="H183" s="30" t="s">
        <v>5701</v>
      </c>
      <c r="I183" s="20" t="s">
        <v>5335</v>
      </c>
      <c r="J183" s="30" t="s">
        <v>814</v>
      </c>
      <c r="K183" s="254"/>
      <c r="L183" s="254"/>
      <c r="M183" s="30" t="s">
        <v>814</v>
      </c>
      <c r="N183" s="20" t="s">
        <v>5469</v>
      </c>
      <c r="O183" s="6" t="s">
        <v>814</v>
      </c>
      <c r="P183" s="254" t="s">
        <v>5351</v>
      </c>
      <c r="Q183" s="49" t="n">
        <f aca="false">Arch!C8</f>
        <v>43</v>
      </c>
      <c r="R183" s="187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5337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5702</v>
      </c>
      <c r="B184" s="254" t="s">
        <v>5304</v>
      </c>
      <c r="C184" s="30" t="s">
        <v>3244</v>
      </c>
      <c r="D184" s="30" t="s">
        <v>3386</v>
      </c>
      <c r="E184" s="20" t="s">
        <v>319</v>
      </c>
      <c r="F184" s="254" t="s">
        <v>377</v>
      </c>
      <c r="G184" s="254" t="s">
        <v>5305</v>
      </c>
      <c r="H184" s="30" t="s">
        <v>5703</v>
      </c>
      <c r="I184" s="20" t="s">
        <v>5335</v>
      </c>
      <c r="J184" s="30" t="s">
        <v>814</v>
      </c>
      <c r="K184" s="254"/>
      <c r="L184" s="254"/>
      <c r="M184" s="30" t="s">
        <v>814</v>
      </c>
      <c r="N184" s="20" t="s">
        <v>5469</v>
      </c>
      <c r="O184" s="6" t="s">
        <v>814</v>
      </c>
      <c r="P184" s="254" t="s">
        <v>5351</v>
      </c>
      <c r="Q184" s="49" t="n">
        <f aca="false">Arch!D8</f>
        <v>61</v>
      </c>
      <c r="R184" s="187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5337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5704</v>
      </c>
      <c r="B185" s="254" t="s">
        <v>5304</v>
      </c>
      <c r="C185" s="30" t="s">
        <v>3244</v>
      </c>
      <c r="D185" s="30" t="s">
        <v>3215</v>
      </c>
      <c r="E185" s="6" t="s">
        <v>327</v>
      </c>
      <c r="F185" s="254" t="s">
        <v>377</v>
      </c>
      <c r="G185" s="254" t="s">
        <v>5305</v>
      </c>
      <c r="H185" s="30" t="s">
        <v>5705</v>
      </c>
      <c r="I185" s="20" t="s">
        <v>5335</v>
      </c>
      <c r="J185" s="30" t="s">
        <v>814</v>
      </c>
      <c r="K185" s="254"/>
      <c r="L185" s="254"/>
      <c r="M185" s="30" t="s">
        <v>814</v>
      </c>
      <c r="N185" s="20" t="s">
        <v>5398</v>
      </c>
      <c r="O185" s="6" t="s">
        <v>814</v>
      </c>
      <c r="P185" s="254" t="s">
        <v>5351</v>
      </c>
      <c r="Q185" s="49" t="n">
        <f aca="false">Arch!C11</f>
        <v>512</v>
      </c>
      <c r="R185" s="187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5337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5706</v>
      </c>
      <c r="B186" s="254" t="s">
        <v>5304</v>
      </c>
      <c r="C186" s="30" t="s">
        <v>3244</v>
      </c>
      <c r="D186" s="30" t="s">
        <v>3153</v>
      </c>
      <c r="E186" s="6" t="s">
        <v>327</v>
      </c>
      <c r="F186" s="254" t="s">
        <v>377</v>
      </c>
      <c r="G186" s="254" t="s">
        <v>5305</v>
      </c>
      <c r="H186" s="30" t="s">
        <v>5705</v>
      </c>
      <c r="I186" s="20" t="s">
        <v>5335</v>
      </c>
      <c r="J186" s="30" t="s">
        <v>814</v>
      </c>
      <c r="K186" s="254"/>
      <c r="L186" s="254"/>
      <c r="M186" s="30" t="s">
        <v>814</v>
      </c>
      <c r="N186" s="20" t="s">
        <v>5398</v>
      </c>
      <c r="O186" s="6" t="s">
        <v>814</v>
      </c>
      <c r="P186" s="254" t="s">
        <v>5351</v>
      </c>
      <c r="Q186" s="49" t="n">
        <f aca="false">Arch!D11</f>
        <v>512</v>
      </c>
      <c r="R186" s="187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5337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5707</v>
      </c>
      <c r="B187" s="254" t="s">
        <v>5304</v>
      </c>
      <c r="C187" s="30" t="s">
        <v>3244</v>
      </c>
      <c r="D187" s="30" t="s">
        <v>3216</v>
      </c>
      <c r="E187" s="6" t="s">
        <v>329</v>
      </c>
      <c r="F187" s="254" t="s">
        <v>377</v>
      </c>
      <c r="G187" s="254" t="s">
        <v>5305</v>
      </c>
      <c r="H187" s="30" t="s">
        <v>5708</v>
      </c>
      <c r="I187" s="20" t="s">
        <v>5335</v>
      </c>
      <c r="J187" s="30" t="s">
        <v>814</v>
      </c>
      <c r="K187" s="254"/>
      <c r="L187" s="254"/>
      <c r="M187" s="30" t="s">
        <v>814</v>
      </c>
      <c r="N187" s="20" t="s">
        <v>5469</v>
      </c>
      <c r="O187" s="6" t="s">
        <v>814</v>
      </c>
      <c r="P187" s="254" t="s">
        <v>5351</v>
      </c>
      <c r="Q187" s="49" t="n">
        <f aca="false">Arch!C12</f>
        <v>256</v>
      </c>
      <c r="R187" s="187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5337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5709</v>
      </c>
      <c r="B188" s="254" t="s">
        <v>5304</v>
      </c>
      <c r="C188" s="30" t="s">
        <v>3244</v>
      </c>
      <c r="D188" s="30" t="s">
        <v>3217</v>
      </c>
      <c r="E188" s="6" t="s">
        <v>329</v>
      </c>
      <c r="F188" s="254" t="s">
        <v>377</v>
      </c>
      <c r="G188" s="254" t="s">
        <v>5305</v>
      </c>
      <c r="H188" s="30" t="s">
        <v>5710</v>
      </c>
      <c r="I188" s="20" t="s">
        <v>5335</v>
      </c>
      <c r="J188" s="30" t="s">
        <v>814</v>
      </c>
      <c r="K188" s="254"/>
      <c r="L188" s="254"/>
      <c r="M188" s="30" t="s">
        <v>814</v>
      </c>
      <c r="N188" s="20" t="s">
        <v>5469</v>
      </c>
      <c r="O188" s="6" t="s">
        <v>814</v>
      </c>
      <c r="P188" s="254" t="s">
        <v>5351</v>
      </c>
      <c r="Q188" s="49" t="n">
        <f aca="false">Arch!D12</f>
        <v>384</v>
      </c>
      <c r="R188" s="187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5337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5711</v>
      </c>
      <c r="B189" s="254" t="s">
        <v>5304</v>
      </c>
      <c r="C189" s="30" t="s">
        <v>3244</v>
      </c>
      <c r="D189" s="30" t="s">
        <v>3220</v>
      </c>
      <c r="E189" s="20" t="s">
        <v>5712</v>
      </c>
      <c r="F189" s="254" t="s">
        <v>377</v>
      </c>
      <c r="G189" s="254" t="s">
        <v>5305</v>
      </c>
      <c r="H189" s="30" t="s">
        <v>5713</v>
      </c>
      <c r="I189" s="20" t="s">
        <v>5335</v>
      </c>
      <c r="J189" s="30" t="s">
        <v>814</v>
      </c>
      <c r="K189" s="254"/>
      <c r="L189" s="254"/>
      <c r="M189" s="30" t="s">
        <v>814</v>
      </c>
      <c r="N189" s="20" t="s">
        <v>5469</v>
      </c>
      <c r="O189" s="6" t="s">
        <v>814</v>
      </c>
      <c r="P189" s="254" t="s">
        <v>5351</v>
      </c>
      <c r="Q189" s="49" t="n">
        <f aca="false">Arch!C13</f>
        <v>6</v>
      </c>
      <c r="R189" s="187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5337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5714</v>
      </c>
      <c r="B190" s="254" t="s">
        <v>5304</v>
      </c>
      <c r="C190" s="30" t="s">
        <v>3244</v>
      </c>
      <c r="D190" s="30" t="s">
        <v>3156</v>
      </c>
      <c r="E190" s="20" t="s">
        <v>5712</v>
      </c>
      <c r="F190" s="254" t="s">
        <v>377</v>
      </c>
      <c r="G190" s="254" t="s">
        <v>5305</v>
      </c>
      <c r="H190" s="30" t="s">
        <v>5713</v>
      </c>
      <c r="I190" s="20" t="s">
        <v>5335</v>
      </c>
      <c r="J190" s="30" t="s">
        <v>814</v>
      </c>
      <c r="K190" s="254"/>
      <c r="L190" s="254"/>
      <c r="M190" s="30" t="s">
        <v>814</v>
      </c>
      <c r="N190" s="20" t="s">
        <v>5469</v>
      </c>
      <c r="O190" s="6" t="s">
        <v>814</v>
      </c>
      <c r="P190" s="254" t="s">
        <v>5351</v>
      </c>
      <c r="Q190" s="49" t="n">
        <f aca="false">Arch!D13</f>
        <v>6</v>
      </c>
      <c r="R190" s="187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5337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5715</v>
      </c>
      <c r="B191" s="254" t="s">
        <v>5304</v>
      </c>
      <c r="C191" s="30" t="s">
        <v>3244</v>
      </c>
      <c r="D191" s="30" t="s">
        <v>3249</v>
      </c>
      <c r="E191" s="6" t="s">
        <v>331</v>
      </c>
      <c r="F191" s="254" t="s">
        <v>377</v>
      </c>
      <c r="G191" s="254" t="s">
        <v>5305</v>
      </c>
      <c r="H191" s="30" t="s">
        <v>5716</v>
      </c>
      <c r="I191" s="20" t="s">
        <v>5335</v>
      </c>
      <c r="J191" s="30" t="s">
        <v>814</v>
      </c>
      <c r="K191" s="254"/>
      <c r="L191" s="254"/>
      <c r="M191" s="30" t="s">
        <v>814</v>
      </c>
      <c r="N191" s="20" t="s">
        <v>5398</v>
      </c>
      <c r="O191" s="6" t="s">
        <v>814</v>
      </c>
      <c r="P191" s="254" t="s">
        <v>1440</v>
      </c>
      <c r="Q191" s="49" t="n">
        <f aca="false">Arch!C14</f>
        <v>1</v>
      </c>
      <c r="R191" s="187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5337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5717</v>
      </c>
      <c r="B192" s="254" t="s">
        <v>5304</v>
      </c>
      <c r="C192" s="30" t="s">
        <v>3244</v>
      </c>
      <c r="D192" s="30" t="s">
        <v>3158</v>
      </c>
      <c r="E192" s="6" t="s">
        <v>331</v>
      </c>
      <c r="F192" s="254" t="s">
        <v>377</v>
      </c>
      <c r="G192" s="254" t="s">
        <v>5305</v>
      </c>
      <c r="H192" s="30" t="s">
        <v>5716</v>
      </c>
      <c r="I192" s="20" t="s">
        <v>5335</v>
      </c>
      <c r="J192" s="30" t="s">
        <v>814</v>
      </c>
      <c r="K192" s="254"/>
      <c r="L192" s="254"/>
      <c r="M192" s="30" t="s">
        <v>814</v>
      </c>
      <c r="N192" s="20" t="s">
        <v>5398</v>
      </c>
      <c r="O192" s="6" t="s">
        <v>814</v>
      </c>
      <c r="P192" s="254" t="s">
        <v>1440</v>
      </c>
      <c r="Q192" s="49" t="n">
        <f aca="false">Arch!D14</f>
        <v>1</v>
      </c>
      <c r="R192" s="187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5337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5718</v>
      </c>
      <c r="B193" s="254" t="s">
        <v>5304</v>
      </c>
      <c r="C193" s="30" t="s">
        <v>3244</v>
      </c>
      <c r="D193" s="30" t="s">
        <v>3250</v>
      </c>
      <c r="E193" s="6" t="s">
        <v>332</v>
      </c>
      <c r="F193" s="254" t="s">
        <v>377</v>
      </c>
      <c r="G193" s="254" t="s">
        <v>5305</v>
      </c>
      <c r="H193" s="30" t="s">
        <v>5719</v>
      </c>
      <c r="I193" s="20" t="s">
        <v>5335</v>
      </c>
      <c r="J193" s="30" t="s">
        <v>814</v>
      </c>
      <c r="K193" s="254"/>
      <c r="L193" s="254"/>
      <c r="M193" s="30" t="s">
        <v>814</v>
      </c>
      <c r="N193" s="20" t="s">
        <v>5398</v>
      </c>
      <c r="O193" s="6" t="s">
        <v>814</v>
      </c>
      <c r="P193" s="254" t="s">
        <v>5308</v>
      </c>
      <c r="Q193" s="49" t="n">
        <f aca="false">Arch!C15</f>
        <v>129280</v>
      </c>
      <c r="R193" s="187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5337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5720</v>
      </c>
      <c r="B194" s="254" t="s">
        <v>5304</v>
      </c>
      <c r="C194" s="30" t="s">
        <v>3244</v>
      </c>
      <c r="D194" s="30" t="s">
        <v>5721</v>
      </c>
      <c r="E194" s="6" t="s">
        <v>332</v>
      </c>
      <c r="F194" s="254" t="s">
        <v>377</v>
      </c>
      <c r="G194" s="254" t="s">
        <v>5305</v>
      </c>
      <c r="H194" s="30" t="s">
        <v>5719</v>
      </c>
      <c r="I194" s="20" t="s">
        <v>5335</v>
      </c>
      <c r="J194" s="30" t="s">
        <v>814</v>
      </c>
      <c r="K194" s="254"/>
      <c r="L194" s="254"/>
      <c r="M194" s="30" t="s">
        <v>814</v>
      </c>
      <c r="N194" s="20" t="s">
        <v>5398</v>
      </c>
      <c r="O194" s="6" t="s">
        <v>814</v>
      </c>
      <c r="P194" s="254" t="s">
        <v>5308</v>
      </c>
      <c r="Q194" s="49" t="n">
        <f aca="false">Arch!D15</f>
        <v>129280</v>
      </c>
      <c r="R194" s="187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5337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5722</v>
      </c>
      <c r="B195" s="254" t="s">
        <v>5304</v>
      </c>
      <c r="C195" s="30" t="s">
        <v>3244</v>
      </c>
      <c r="D195" s="30" t="s">
        <v>3251</v>
      </c>
      <c r="E195" s="20" t="s">
        <v>334</v>
      </c>
      <c r="F195" s="254" t="s">
        <v>377</v>
      </c>
      <c r="G195" s="254" t="s">
        <v>5305</v>
      </c>
      <c r="H195" s="30" t="s">
        <v>5723</v>
      </c>
      <c r="I195" s="20" t="s">
        <v>5335</v>
      </c>
      <c r="J195" s="30" t="s">
        <v>814</v>
      </c>
      <c r="K195" s="254"/>
      <c r="L195" s="254"/>
      <c r="M195" s="30" t="s">
        <v>814</v>
      </c>
      <c r="N195" s="20" t="s">
        <v>5398</v>
      </c>
      <c r="O195" s="6" t="s">
        <v>814</v>
      </c>
      <c r="P195" s="254" t="s">
        <v>5351</v>
      </c>
      <c r="Q195" s="197" t="n">
        <f aca="false">Arch!C16</f>
        <v>0.512</v>
      </c>
      <c r="R195" s="187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5337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5724</v>
      </c>
      <c r="B196" s="254" t="s">
        <v>5304</v>
      </c>
      <c r="C196" s="30" t="s">
        <v>3244</v>
      </c>
      <c r="D196" s="30" t="s">
        <v>3161</v>
      </c>
      <c r="E196" s="20" t="s">
        <v>334</v>
      </c>
      <c r="F196" s="254" t="s">
        <v>377</v>
      </c>
      <c r="G196" s="254" t="s">
        <v>5305</v>
      </c>
      <c r="H196" s="30" t="s">
        <v>5723</v>
      </c>
      <c r="I196" s="20" t="s">
        <v>5335</v>
      </c>
      <c r="J196" s="30" t="s">
        <v>814</v>
      </c>
      <c r="K196" s="254"/>
      <c r="L196" s="254"/>
      <c r="M196" s="30" t="s">
        <v>814</v>
      </c>
      <c r="N196" s="20" t="s">
        <v>5398</v>
      </c>
      <c r="O196" s="6" t="s">
        <v>814</v>
      </c>
      <c r="P196" s="254" t="s">
        <v>5351</v>
      </c>
      <c r="Q196" s="197" t="n">
        <f aca="false">Arch!D16</f>
        <v>0.492</v>
      </c>
      <c r="R196" s="187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5337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5725</v>
      </c>
      <c r="B197" s="254" t="s">
        <v>5304</v>
      </c>
      <c r="C197" s="30" t="s">
        <v>3244</v>
      </c>
      <c r="D197" s="30" t="s">
        <v>3253</v>
      </c>
      <c r="E197" s="20" t="s">
        <v>339</v>
      </c>
      <c r="F197" s="254" t="s">
        <v>377</v>
      </c>
      <c r="G197" s="254" t="s">
        <v>5305</v>
      </c>
      <c r="H197" s="30" t="s">
        <v>5726</v>
      </c>
      <c r="I197" s="20" t="s">
        <v>5335</v>
      </c>
      <c r="J197" s="30" t="s">
        <v>814</v>
      </c>
      <c r="K197" s="254"/>
      <c r="L197" s="254"/>
      <c r="M197" s="30" t="s">
        <v>814</v>
      </c>
      <c r="N197" s="20" t="s">
        <v>5398</v>
      </c>
      <c r="O197" s="6" t="s">
        <v>814</v>
      </c>
      <c r="P197" s="254" t="s">
        <v>1440</v>
      </c>
      <c r="Q197" s="49" t="n">
        <f aca="false">Arch!C18</f>
        <v>128</v>
      </c>
      <c r="R197" s="187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5337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5727</v>
      </c>
      <c r="B198" s="254" t="s">
        <v>5304</v>
      </c>
      <c r="C198" s="30" t="s">
        <v>3244</v>
      </c>
      <c r="D198" s="30" t="s">
        <v>3167</v>
      </c>
      <c r="E198" s="20" t="s">
        <v>339</v>
      </c>
      <c r="F198" s="254" t="s">
        <v>377</v>
      </c>
      <c r="G198" s="254" t="s">
        <v>5305</v>
      </c>
      <c r="H198" s="30" t="s">
        <v>5726</v>
      </c>
      <c r="I198" s="20" t="s">
        <v>5335</v>
      </c>
      <c r="J198" s="30" t="s">
        <v>814</v>
      </c>
      <c r="K198" s="254"/>
      <c r="L198" s="254"/>
      <c r="M198" s="30" t="s">
        <v>814</v>
      </c>
      <c r="N198" s="20" t="s">
        <v>5398</v>
      </c>
      <c r="O198" s="6" t="s">
        <v>814</v>
      </c>
      <c r="P198" s="254" t="s">
        <v>1440</v>
      </c>
      <c r="Q198" s="49" t="n">
        <f aca="false">Arch!D18</f>
        <v>128</v>
      </c>
      <c r="R198" s="187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5337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5728</v>
      </c>
      <c r="B199" s="254" t="s">
        <v>5304</v>
      </c>
      <c r="C199" s="30" t="s">
        <v>3244</v>
      </c>
      <c r="D199" s="30" t="s">
        <v>3410</v>
      </c>
      <c r="E199" s="20" t="s">
        <v>341</v>
      </c>
      <c r="F199" s="254" t="s">
        <v>377</v>
      </c>
      <c r="G199" s="254" t="s">
        <v>5305</v>
      </c>
      <c r="H199" s="30" t="s">
        <v>5729</v>
      </c>
      <c r="I199" s="20" t="s">
        <v>5335</v>
      </c>
      <c r="J199" s="30" t="s">
        <v>814</v>
      </c>
      <c r="K199" s="254"/>
      <c r="L199" s="254"/>
      <c r="M199" s="30" t="s">
        <v>814</v>
      </c>
      <c r="N199" s="20" t="s">
        <v>5398</v>
      </c>
      <c r="O199" s="6" t="s">
        <v>814</v>
      </c>
      <c r="P199" s="254" t="s">
        <v>1440</v>
      </c>
      <c r="Q199" s="49" t="n">
        <f aca="false">Arch!C19</f>
        <v>128</v>
      </c>
      <c r="R199" s="187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5337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5730</v>
      </c>
      <c r="B200" s="254" t="s">
        <v>5304</v>
      </c>
      <c r="C200" s="30" t="s">
        <v>3244</v>
      </c>
      <c r="D200" s="30" t="s">
        <v>3170</v>
      </c>
      <c r="E200" s="20" t="s">
        <v>341</v>
      </c>
      <c r="F200" s="254" t="s">
        <v>377</v>
      </c>
      <c r="G200" s="254" t="s">
        <v>5305</v>
      </c>
      <c r="H200" s="30" t="s">
        <v>5729</v>
      </c>
      <c r="I200" s="20" t="s">
        <v>5335</v>
      </c>
      <c r="J200" s="30" t="s">
        <v>814</v>
      </c>
      <c r="K200" s="254"/>
      <c r="L200" s="254"/>
      <c r="M200" s="30" t="s">
        <v>814</v>
      </c>
      <c r="N200" s="20" t="s">
        <v>5398</v>
      </c>
      <c r="O200" s="6" t="s">
        <v>814</v>
      </c>
      <c r="P200" s="254" t="s">
        <v>1440</v>
      </c>
      <c r="Q200" s="49" t="n">
        <f aca="false">Arch!D19</f>
        <v>128</v>
      </c>
      <c r="R200" s="187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5337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5731</v>
      </c>
      <c r="B201" s="254" t="s">
        <v>5304</v>
      </c>
      <c r="C201" s="30" t="s">
        <v>3244</v>
      </c>
      <c r="D201" s="30" t="s">
        <v>3147</v>
      </c>
      <c r="E201" s="6" t="s">
        <v>322</v>
      </c>
      <c r="F201" s="254" t="s">
        <v>377</v>
      </c>
      <c r="G201" s="254" t="s">
        <v>5305</v>
      </c>
      <c r="H201" s="30" t="s">
        <v>5732</v>
      </c>
      <c r="I201" s="20" t="s">
        <v>5335</v>
      </c>
      <c r="J201" s="30" t="s">
        <v>814</v>
      </c>
      <c r="K201" s="254"/>
      <c r="L201" s="254"/>
      <c r="M201" s="30" t="s">
        <v>814</v>
      </c>
      <c r="N201" s="20" t="s">
        <v>5398</v>
      </c>
      <c r="O201" s="6" t="s">
        <v>814</v>
      </c>
      <c r="P201" s="254" t="s">
        <v>5308</v>
      </c>
      <c r="Q201" s="49" t="n">
        <f aca="false">Arch!D9</f>
        <v>7168</v>
      </c>
      <c r="R201" s="187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5337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5733</v>
      </c>
      <c r="B202" s="254" t="s">
        <v>5304</v>
      </c>
      <c r="C202" s="30" t="s">
        <v>3244</v>
      </c>
      <c r="D202" s="30" t="s">
        <v>3150</v>
      </c>
      <c r="E202" s="6" t="s">
        <v>325</v>
      </c>
      <c r="F202" s="254" t="s">
        <v>377</v>
      </c>
      <c r="G202" s="254" t="s">
        <v>5305</v>
      </c>
      <c r="H202" s="30" t="s">
        <v>5734</v>
      </c>
      <c r="I202" s="20" t="s">
        <v>5335</v>
      </c>
      <c r="J202" s="30" t="s">
        <v>814</v>
      </c>
      <c r="K202" s="254"/>
      <c r="L202" s="254"/>
      <c r="M202" s="30" t="s">
        <v>814</v>
      </c>
      <c r="N202" s="20" t="s">
        <v>5398</v>
      </c>
      <c r="O202" s="6" t="s">
        <v>814</v>
      </c>
      <c r="P202" s="254" t="s">
        <v>5351</v>
      </c>
      <c r="Q202" s="49" t="n">
        <f aca="false">Arch!D10</f>
        <v>128</v>
      </c>
      <c r="R202" s="187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5337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5735</v>
      </c>
      <c r="B203" s="254" t="s">
        <v>5304</v>
      </c>
      <c r="C203" s="30" t="s">
        <v>3244</v>
      </c>
      <c r="D203" s="30" t="s">
        <v>3211</v>
      </c>
      <c r="E203" s="6" t="s">
        <v>322</v>
      </c>
      <c r="F203" s="254" t="s">
        <v>377</v>
      </c>
      <c r="G203" s="254" t="s">
        <v>5305</v>
      </c>
      <c r="H203" s="30" t="s">
        <v>5736</v>
      </c>
      <c r="I203" s="20" t="s">
        <v>5335</v>
      </c>
      <c r="J203" s="30" t="s">
        <v>814</v>
      </c>
      <c r="K203" s="254"/>
      <c r="L203" s="254"/>
      <c r="M203" s="30" t="s">
        <v>814</v>
      </c>
      <c r="N203" s="20" t="s">
        <v>5737</v>
      </c>
      <c r="O203" s="6" t="s">
        <v>814</v>
      </c>
      <c r="P203" s="254" t="s">
        <v>5308</v>
      </c>
      <c r="Q203" s="49" t="n">
        <f aca="false">Arch!C9</f>
        <v>4096</v>
      </c>
      <c r="R203" s="187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5337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5738</v>
      </c>
      <c r="B204" s="254" t="s">
        <v>5304</v>
      </c>
      <c r="C204" s="30" t="s">
        <v>3244</v>
      </c>
      <c r="D204" s="30" t="s">
        <v>3213</v>
      </c>
      <c r="E204" s="6" t="s">
        <v>325</v>
      </c>
      <c r="F204" s="254" t="s">
        <v>377</v>
      </c>
      <c r="G204" s="254" t="s">
        <v>5305</v>
      </c>
      <c r="H204" s="30" t="s">
        <v>5739</v>
      </c>
      <c r="I204" s="20" t="s">
        <v>5335</v>
      </c>
      <c r="J204" s="30" t="s">
        <v>814</v>
      </c>
      <c r="K204" s="256"/>
      <c r="L204" s="256"/>
      <c r="M204" s="30" t="s">
        <v>814</v>
      </c>
      <c r="N204" s="255" t="str">
        <f aca="false">Arch!$G$10</f>
        <v>V4-Pro 128；V4-Flash 64（官方 config.json num_attention_heads，v5.13 讀原文）；Astra [Assumed]</v>
      </c>
      <c r="O204" s="6" t="s">
        <v>5740</v>
      </c>
      <c r="P204" s="254" t="s">
        <v>5351</v>
      </c>
      <c r="Q204" s="49" t="n">
        <f aca="false">Arch!C10</f>
        <v>64</v>
      </c>
      <c r="R204" s="187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5337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5741</v>
      </c>
      <c r="B205" s="254" t="s">
        <v>5304</v>
      </c>
      <c r="C205" s="30" t="s">
        <v>3244</v>
      </c>
      <c r="D205" s="30" t="s">
        <v>3252</v>
      </c>
      <c r="E205" s="20" t="s">
        <v>5742</v>
      </c>
      <c r="F205" s="254" t="s">
        <v>377</v>
      </c>
      <c r="G205" s="254" t="s">
        <v>5305</v>
      </c>
      <c r="H205" s="30" t="s">
        <v>5743</v>
      </c>
      <c r="I205" s="20" t="s">
        <v>5569</v>
      </c>
      <c r="J205" s="30" t="s">
        <v>814</v>
      </c>
      <c r="K205" s="254"/>
      <c r="L205" s="254"/>
      <c r="M205" s="30" t="s">
        <v>814</v>
      </c>
      <c r="N205" s="20" t="s">
        <v>5398</v>
      </c>
      <c r="O205" s="6" t="s">
        <v>814</v>
      </c>
      <c r="P205" s="254" t="s">
        <v>5308</v>
      </c>
      <c r="Q205" s="49" t="n">
        <f aca="false">Arch!C17</f>
        <v>4224</v>
      </c>
      <c r="R205" s="187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5337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5744</v>
      </c>
      <c r="B206" s="254" t="s">
        <v>5304</v>
      </c>
      <c r="C206" s="30" t="s">
        <v>3244</v>
      </c>
      <c r="D206" s="30" t="s">
        <v>3164</v>
      </c>
      <c r="E206" s="20" t="s">
        <v>5742</v>
      </c>
      <c r="F206" s="254" t="s">
        <v>377</v>
      </c>
      <c r="G206" s="254" t="s">
        <v>5305</v>
      </c>
      <c r="H206" s="30" t="s">
        <v>5743</v>
      </c>
      <c r="I206" s="20" t="s">
        <v>5569</v>
      </c>
      <c r="J206" s="30" t="s">
        <v>814</v>
      </c>
      <c r="K206" s="254"/>
      <c r="L206" s="254"/>
      <c r="M206" s="30" t="s">
        <v>814</v>
      </c>
      <c r="N206" s="20" t="s">
        <v>5398</v>
      </c>
      <c r="O206" s="6" t="s">
        <v>814</v>
      </c>
      <c r="P206" s="254" t="s">
        <v>5308</v>
      </c>
      <c r="Q206" s="49" t="n">
        <f aca="false">Arch!D17</f>
        <v>4224</v>
      </c>
      <c r="R206" s="187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5337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5745</v>
      </c>
      <c r="B207" s="254" t="s">
        <v>5304</v>
      </c>
      <c r="C207" s="30" t="s">
        <v>3244</v>
      </c>
      <c r="D207" s="30" t="s">
        <v>3145</v>
      </c>
      <c r="E207" s="20" t="s">
        <v>314</v>
      </c>
      <c r="F207" s="30" t="s">
        <v>132</v>
      </c>
      <c r="G207" s="254" t="s">
        <v>5305</v>
      </c>
      <c r="H207" s="30" t="s">
        <v>814</v>
      </c>
      <c r="I207" s="6" t="s">
        <v>814</v>
      </c>
      <c r="J207" s="30" t="s">
        <v>5746</v>
      </c>
      <c r="K207" s="256" t="n">
        <v>2000</v>
      </c>
      <c r="L207" s="256" t="n">
        <v>10000</v>
      </c>
      <c r="M207" s="30" t="s">
        <v>5747</v>
      </c>
      <c r="N207" s="255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814</v>
      </c>
      <c r="P207" s="254" t="s">
        <v>1441</v>
      </c>
      <c r="Q207" s="49" t="n">
        <f aca="false">Arch!E6</f>
        <v>4000</v>
      </c>
      <c r="R207" s="30" t="s">
        <v>814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5309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5748</v>
      </c>
      <c r="B208" s="254" t="s">
        <v>5304</v>
      </c>
      <c r="C208" s="30" t="s">
        <v>3244</v>
      </c>
      <c r="D208" s="30" t="s">
        <v>3245</v>
      </c>
      <c r="E208" s="20" t="s">
        <v>317</v>
      </c>
      <c r="F208" s="30" t="s">
        <v>132</v>
      </c>
      <c r="G208" s="254" t="s">
        <v>5305</v>
      </c>
      <c r="H208" s="30" t="s">
        <v>814</v>
      </c>
      <c r="I208" s="6" t="s">
        <v>814</v>
      </c>
      <c r="J208" s="30" t="s">
        <v>5746</v>
      </c>
      <c r="K208" s="256" t="n">
        <v>60</v>
      </c>
      <c r="L208" s="256" t="n">
        <v>250</v>
      </c>
      <c r="M208" s="30" t="s">
        <v>5749</v>
      </c>
      <c r="N208" s="255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814</v>
      </c>
      <c r="P208" s="254" t="s">
        <v>1441</v>
      </c>
      <c r="Q208" s="49" t="n">
        <f aca="false">Arch!E7</f>
        <v>180</v>
      </c>
      <c r="R208" s="30" t="s">
        <v>814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5309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5750</v>
      </c>
      <c r="B209" s="254" t="s">
        <v>5304</v>
      </c>
      <c r="C209" s="30" t="s">
        <v>3244</v>
      </c>
      <c r="D209" s="30" t="s">
        <v>3146</v>
      </c>
      <c r="E209" s="20" t="s">
        <v>319</v>
      </c>
      <c r="F209" s="30" t="s">
        <v>132</v>
      </c>
      <c r="G209" s="254" t="s">
        <v>5305</v>
      </c>
      <c r="H209" s="30" t="s">
        <v>814</v>
      </c>
      <c r="I209" s="6" t="s">
        <v>814</v>
      </c>
      <c r="J209" s="30" t="s">
        <v>5746</v>
      </c>
      <c r="K209" s="256" t="n">
        <v>80</v>
      </c>
      <c r="L209" s="256" t="n">
        <v>160</v>
      </c>
      <c r="M209" s="30" t="s">
        <v>5751</v>
      </c>
      <c r="N209" s="6" t="s">
        <v>5752</v>
      </c>
      <c r="O209" s="6" t="s">
        <v>814</v>
      </c>
      <c r="P209" s="254" t="s">
        <v>1441</v>
      </c>
      <c r="Q209" s="49" t="n">
        <f aca="false">Arch!E8</f>
        <v>100</v>
      </c>
      <c r="R209" s="30" t="s">
        <v>814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5309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5753</v>
      </c>
      <c r="B210" s="254" t="s">
        <v>5304</v>
      </c>
      <c r="C210" s="30" t="s">
        <v>3244</v>
      </c>
      <c r="D210" s="30" t="s">
        <v>3148</v>
      </c>
      <c r="E210" s="6" t="s">
        <v>322</v>
      </c>
      <c r="F210" s="30" t="s">
        <v>132</v>
      </c>
      <c r="G210" s="254" t="s">
        <v>5305</v>
      </c>
      <c r="H210" s="30" t="s">
        <v>814</v>
      </c>
      <c r="I210" s="6" t="s">
        <v>814</v>
      </c>
      <c r="J210" s="30" t="s">
        <v>5746</v>
      </c>
      <c r="K210" s="256" t="n">
        <v>8192</v>
      </c>
      <c r="L210" s="256" t="n">
        <v>16384</v>
      </c>
      <c r="M210" s="30" t="s">
        <v>5754</v>
      </c>
      <c r="N210" s="6" t="s">
        <v>5755</v>
      </c>
      <c r="O210" s="6" t="s">
        <v>814</v>
      </c>
      <c r="P210" s="254" t="s">
        <v>5308</v>
      </c>
      <c r="Q210" s="49" t="n">
        <f aca="false">Arch!E9</f>
        <v>12288</v>
      </c>
      <c r="R210" s="30" t="s">
        <v>814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5309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5756</v>
      </c>
      <c r="B211" s="254" t="s">
        <v>5304</v>
      </c>
      <c r="C211" s="30" t="s">
        <v>3244</v>
      </c>
      <c r="D211" s="30" t="s">
        <v>3151</v>
      </c>
      <c r="E211" s="6" t="s">
        <v>325</v>
      </c>
      <c r="F211" s="30" t="s">
        <v>132</v>
      </c>
      <c r="G211" s="254" t="s">
        <v>5305</v>
      </c>
      <c r="H211" s="30" t="s">
        <v>814</v>
      </c>
      <c r="I211" s="6" t="s">
        <v>814</v>
      </c>
      <c r="J211" s="30" t="s">
        <v>5746</v>
      </c>
      <c r="K211" s="256" t="n">
        <v>64</v>
      </c>
      <c r="L211" s="256" t="n">
        <v>128</v>
      </c>
      <c r="M211" s="30" t="s">
        <v>5757</v>
      </c>
      <c r="N211" s="6" t="s">
        <v>5755</v>
      </c>
      <c r="O211" s="6" t="s">
        <v>814</v>
      </c>
      <c r="P211" s="254" t="s">
        <v>5351</v>
      </c>
      <c r="Q211" s="49" t="n">
        <f aca="false">Arch!E10</f>
        <v>96</v>
      </c>
      <c r="R211" s="30" t="s">
        <v>814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5309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5758</v>
      </c>
      <c r="B212" s="254" t="s">
        <v>5304</v>
      </c>
      <c r="C212" s="30" t="s">
        <v>3244</v>
      </c>
      <c r="D212" s="30" t="s">
        <v>3154</v>
      </c>
      <c r="E212" s="6" t="s">
        <v>327</v>
      </c>
      <c r="F212" s="30" t="s">
        <v>132</v>
      </c>
      <c r="G212" s="254" t="s">
        <v>5305</v>
      </c>
      <c r="H212" s="30" t="s">
        <v>814</v>
      </c>
      <c r="I212" s="6" t="s">
        <v>814</v>
      </c>
      <c r="J212" s="30" t="s">
        <v>5746</v>
      </c>
      <c r="K212" s="256" t="n">
        <v>128</v>
      </c>
      <c r="L212" s="256" t="n">
        <v>192</v>
      </c>
      <c r="M212" s="30" t="s">
        <v>5759</v>
      </c>
      <c r="N212" s="6" t="s">
        <v>5755</v>
      </c>
      <c r="O212" s="6" t="s">
        <v>814</v>
      </c>
      <c r="P212" s="254" t="s">
        <v>5351</v>
      </c>
      <c r="Q212" s="49" t="n">
        <f aca="false">Arch!E11</f>
        <v>128</v>
      </c>
      <c r="R212" s="30" t="s">
        <v>814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5309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5760</v>
      </c>
      <c r="B213" s="254" t="s">
        <v>5304</v>
      </c>
      <c r="C213" s="30" t="s">
        <v>3244</v>
      </c>
      <c r="D213" s="30" t="s">
        <v>3218</v>
      </c>
      <c r="E213" s="6" t="s">
        <v>329</v>
      </c>
      <c r="F213" s="30" t="s">
        <v>132</v>
      </c>
      <c r="G213" s="254" t="s">
        <v>5305</v>
      </c>
      <c r="H213" s="30" t="s">
        <v>814</v>
      </c>
      <c r="I213" s="6" t="s">
        <v>814</v>
      </c>
      <c r="J213" s="30" t="s">
        <v>5746</v>
      </c>
      <c r="K213" s="256" t="n">
        <v>256</v>
      </c>
      <c r="L213" s="256" t="n">
        <v>1024</v>
      </c>
      <c r="M213" s="30" t="s">
        <v>5761</v>
      </c>
      <c r="N213" s="6" t="s">
        <v>5762</v>
      </c>
      <c r="O213" s="6" t="s">
        <v>814</v>
      </c>
      <c r="P213" s="254" t="s">
        <v>5351</v>
      </c>
      <c r="Q213" s="49" t="n">
        <f aca="false">Arch!E12</f>
        <v>512</v>
      </c>
      <c r="R213" s="30" t="s">
        <v>814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5309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5763</v>
      </c>
      <c r="B214" s="254" t="s">
        <v>5304</v>
      </c>
      <c r="C214" s="30" t="s">
        <v>3244</v>
      </c>
      <c r="D214" s="30" t="s">
        <v>3157</v>
      </c>
      <c r="E214" s="20" t="s">
        <v>5712</v>
      </c>
      <c r="F214" s="30" t="s">
        <v>132</v>
      </c>
      <c r="G214" s="254" t="s">
        <v>5305</v>
      </c>
      <c r="H214" s="30" t="s">
        <v>814</v>
      </c>
      <c r="I214" s="6" t="s">
        <v>814</v>
      </c>
      <c r="J214" s="30" t="s">
        <v>5746</v>
      </c>
      <c r="K214" s="256" t="n">
        <v>8</v>
      </c>
      <c r="L214" s="256" t="n">
        <v>32</v>
      </c>
      <c r="M214" s="30" t="s">
        <v>5764</v>
      </c>
      <c r="N214" s="6" t="s">
        <v>5765</v>
      </c>
      <c r="O214" s="6" t="s">
        <v>814</v>
      </c>
      <c r="P214" s="254" t="s">
        <v>5351</v>
      </c>
      <c r="Q214" s="49" t="n">
        <f aca="false">Arch!E13</f>
        <v>16</v>
      </c>
      <c r="R214" s="30" t="s">
        <v>814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5309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5766</v>
      </c>
      <c r="B215" s="254" t="s">
        <v>5304</v>
      </c>
      <c r="C215" s="30" t="s">
        <v>3244</v>
      </c>
      <c r="D215" s="30" t="s">
        <v>3325</v>
      </c>
      <c r="E215" s="6" t="s">
        <v>332</v>
      </c>
      <c r="F215" s="30" t="s">
        <v>132</v>
      </c>
      <c r="G215" s="254" t="s">
        <v>5305</v>
      </c>
      <c r="H215" s="30" t="s">
        <v>814</v>
      </c>
      <c r="I215" s="6" t="s">
        <v>814</v>
      </c>
      <c r="J215" s="30" t="s">
        <v>5746</v>
      </c>
      <c r="K215" s="256" t="n">
        <v>128000</v>
      </c>
      <c r="L215" s="256" t="n">
        <v>262144</v>
      </c>
      <c r="M215" s="30" t="s">
        <v>5767</v>
      </c>
      <c r="N215" s="6" t="s">
        <v>5755</v>
      </c>
      <c r="O215" s="6" t="s">
        <v>814</v>
      </c>
      <c r="P215" s="254" t="s">
        <v>5308</v>
      </c>
      <c r="Q215" s="49" t="n">
        <f aca="false">Arch!E15</f>
        <v>200000</v>
      </c>
      <c r="R215" s="30" t="s">
        <v>814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5309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5768</v>
      </c>
      <c r="B216" s="254" t="s">
        <v>5304</v>
      </c>
      <c r="C216" s="30" t="s">
        <v>3244</v>
      </c>
      <c r="D216" s="30" t="s">
        <v>3159</v>
      </c>
      <c r="E216" s="6" t="s">
        <v>331</v>
      </c>
      <c r="F216" s="30" t="s">
        <v>132</v>
      </c>
      <c r="G216" s="254" t="s">
        <v>5305</v>
      </c>
      <c r="H216" s="30" t="s">
        <v>814</v>
      </c>
      <c r="I216" s="6" t="s">
        <v>814</v>
      </c>
      <c r="J216" s="30" t="s">
        <v>5746</v>
      </c>
      <c r="K216" s="254"/>
      <c r="L216" s="254"/>
      <c r="M216" s="254" t="s">
        <v>5082</v>
      </c>
      <c r="N216" s="6" t="s">
        <v>5769</v>
      </c>
      <c r="O216" s="6" t="s">
        <v>814</v>
      </c>
      <c r="P216" s="254" t="s">
        <v>1440</v>
      </c>
      <c r="Q216" s="49" t="n">
        <f aca="false">Arch!E14</f>
        <v>1</v>
      </c>
      <c r="R216" s="30" t="s">
        <v>814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5309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5770</v>
      </c>
      <c r="B217" s="254" t="s">
        <v>5304</v>
      </c>
      <c r="C217" s="30" t="s">
        <v>3244</v>
      </c>
      <c r="D217" s="30" t="s">
        <v>3162</v>
      </c>
      <c r="E217" s="20" t="s">
        <v>334</v>
      </c>
      <c r="F217" s="30" t="s">
        <v>132</v>
      </c>
      <c r="G217" s="254" t="s">
        <v>5305</v>
      </c>
      <c r="H217" s="30" t="s">
        <v>814</v>
      </c>
      <c r="I217" s="6" t="s">
        <v>814</v>
      </c>
      <c r="J217" s="30" t="s">
        <v>5771</v>
      </c>
      <c r="K217" s="254"/>
      <c r="L217" s="254"/>
      <c r="M217" s="254" t="s">
        <v>5082</v>
      </c>
      <c r="N217" s="6" t="s">
        <v>5772</v>
      </c>
      <c r="O217" s="6" t="s">
        <v>814</v>
      </c>
      <c r="P217" s="254" t="s">
        <v>5351</v>
      </c>
      <c r="Q217" s="197" t="n">
        <f aca="false">Arch!E16</f>
        <v>1</v>
      </c>
      <c r="R217" s="30" t="s">
        <v>814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5309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5773</v>
      </c>
      <c r="B218" s="254" t="s">
        <v>5304</v>
      </c>
      <c r="C218" s="30" t="s">
        <v>3244</v>
      </c>
      <c r="D218" s="30" t="s">
        <v>3165</v>
      </c>
      <c r="E218" s="20" t="s">
        <v>5742</v>
      </c>
      <c r="F218" s="30" t="s">
        <v>132</v>
      </c>
      <c r="G218" s="254" t="s">
        <v>5305</v>
      </c>
      <c r="H218" s="30" t="s">
        <v>814</v>
      </c>
      <c r="I218" s="6" t="s">
        <v>814</v>
      </c>
      <c r="J218" s="30" t="s">
        <v>5771</v>
      </c>
      <c r="K218" s="254"/>
      <c r="L218" s="254"/>
      <c r="M218" s="254" t="s">
        <v>5082</v>
      </c>
      <c r="N218" s="6" t="s">
        <v>5774</v>
      </c>
      <c r="O218" s="6" t="s">
        <v>814</v>
      </c>
      <c r="P218" s="254" t="s">
        <v>5308</v>
      </c>
      <c r="Q218" s="49" t="n">
        <f aca="false">Arch!E17</f>
        <v>0</v>
      </c>
      <c r="R218" s="30" t="s">
        <v>814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5309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5775</v>
      </c>
      <c r="B219" s="254" t="s">
        <v>5304</v>
      </c>
      <c r="C219" s="30" t="s">
        <v>3244</v>
      </c>
      <c r="D219" s="30" t="s">
        <v>3168</v>
      </c>
      <c r="E219" s="20" t="s">
        <v>339</v>
      </c>
      <c r="F219" s="30" t="s">
        <v>132</v>
      </c>
      <c r="G219" s="254" t="s">
        <v>5305</v>
      </c>
      <c r="H219" s="30" t="s">
        <v>814</v>
      </c>
      <c r="I219" s="6" t="s">
        <v>814</v>
      </c>
      <c r="J219" s="30" t="s">
        <v>5771</v>
      </c>
      <c r="K219" s="254"/>
      <c r="L219" s="254"/>
      <c r="M219" s="254" t="s">
        <v>5082</v>
      </c>
      <c r="N219" s="6" t="s">
        <v>5776</v>
      </c>
      <c r="O219" s="6" t="s">
        <v>814</v>
      </c>
      <c r="P219" s="254" t="s">
        <v>1440</v>
      </c>
      <c r="Q219" s="49" t="n">
        <f aca="false">Arch!E18</f>
        <v>1</v>
      </c>
      <c r="R219" s="30" t="s">
        <v>814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5309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5777</v>
      </c>
      <c r="B220" s="254" t="s">
        <v>5304</v>
      </c>
      <c r="C220" s="30" t="s">
        <v>3244</v>
      </c>
      <c r="D220" s="30" t="s">
        <v>3171</v>
      </c>
      <c r="E220" s="20" t="s">
        <v>341</v>
      </c>
      <c r="F220" s="30" t="s">
        <v>132</v>
      </c>
      <c r="G220" s="254" t="s">
        <v>5305</v>
      </c>
      <c r="H220" s="30" t="s">
        <v>814</v>
      </c>
      <c r="I220" s="6" t="s">
        <v>814</v>
      </c>
      <c r="J220" s="30" t="s">
        <v>5771</v>
      </c>
      <c r="K220" s="254"/>
      <c r="L220" s="254"/>
      <c r="M220" s="254" t="s">
        <v>5082</v>
      </c>
      <c r="N220" s="6" t="s">
        <v>5778</v>
      </c>
      <c r="O220" s="6" t="s">
        <v>814</v>
      </c>
      <c r="P220" s="254" t="s">
        <v>1440</v>
      </c>
      <c r="Q220" s="49" t="n">
        <f aca="false">Arch!E19</f>
        <v>0</v>
      </c>
      <c r="R220" s="30" t="s">
        <v>814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5309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5779</v>
      </c>
      <c r="B221" s="254" t="s">
        <v>5304</v>
      </c>
      <c r="C221" s="30" t="s">
        <v>3244</v>
      </c>
      <c r="D221" s="30" t="s">
        <v>3174</v>
      </c>
      <c r="E221" s="6" t="s">
        <v>342</v>
      </c>
      <c r="F221" s="30" t="s">
        <v>122</v>
      </c>
      <c r="G221" s="254" t="s">
        <v>5305</v>
      </c>
      <c r="H221" s="30" t="s">
        <v>814</v>
      </c>
      <c r="I221" s="6" t="s">
        <v>814</v>
      </c>
      <c r="J221" s="30" t="s">
        <v>5771</v>
      </c>
      <c r="K221" s="254"/>
      <c r="L221" s="254"/>
      <c r="M221" s="30" t="s">
        <v>814</v>
      </c>
      <c r="N221" s="6" t="s">
        <v>5780</v>
      </c>
      <c r="O221" s="6" t="s">
        <v>814</v>
      </c>
      <c r="P221" s="254" t="s">
        <v>5308</v>
      </c>
      <c r="Q221" s="33" t="n">
        <f aca="false">Arch!E20</f>
        <v>2</v>
      </c>
      <c r="R221" s="30" t="s">
        <v>814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5309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5781</v>
      </c>
      <c r="B222" s="254" t="s">
        <v>5304</v>
      </c>
      <c r="C222" s="30" t="s">
        <v>3244</v>
      </c>
      <c r="D222" s="30" t="s">
        <v>3355</v>
      </c>
      <c r="E222" s="6" t="s">
        <v>344</v>
      </c>
      <c r="F222" s="30" t="s">
        <v>5369</v>
      </c>
      <c r="G222" s="254" t="s">
        <v>5305</v>
      </c>
      <c r="H222" s="30" t="s">
        <v>814</v>
      </c>
      <c r="I222" s="6" t="s">
        <v>814</v>
      </c>
      <c r="J222" s="30" t="s">
        <v>5771</v>
      </c>
      <c r="K222" s="254"/>
      <c r="L222" s="254"/>
      <c r="M222" s="30" t="s">
        <v>814</v>
      </c>
      <c r="N222" s="246" t="s">
        <v>5782</v>
      </c>
      <c r="O222" s="6" t="s">
        <v>814</v>
      </c>
      <c r="P222" s="254" t="s">
        <v>5308</v>
      </c>
      <c r="Q222" s="49" t="n">
        <f aca="false">Arch!C21</f>
        <v>2795</v>
      </c>
      <c r="R222" s="30" t="s">
        <v>814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5373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5783</v>
      </c>
      <c r="B223" s="254" t="s">
        <v>5304</v>
      </c>
      <c r="C223" s="30" t="s">
        <v>3244</v>
      </c>
      <c r="D223" s="30" t="s">
        <v>3176</v>
      </c>
      <c r="E223" s="6" t="s">
        <v>344</v>
      </c>
      <c r="F223" s="30" t="s">
        <v>5369</v>
      </c>
      <c r="G223" s="254" t="s">
        <v>5305</v>
      </c>
      <c r="H223" s="30" t="s">
        <v>814</v>
      </c>
      <c r="I223" s="6" t="s">
        <v>814</v>
      </c>
      <c r="J223" s="30" t="s">
        <v>5771</v>
      </c>
      <c r="K223" s="254"/>
      <c r="L223" s="254"/>
      <c r="M223" s="30" t="s">
        <v>814</v>
      </c>
      <c r="N223" s="246" t="s">
        <v>5782</v>
      </c>
      <c r="O223" s="6" t="s">
        <v>814</v>
      </c>
      <c r="P223" s="254" t="s">
        <v>5308</v>
      </c>
      <c r="Q223" s="49" t="n">
        <f aca="false">Arch!D21</f>
        <v>3965</v>
      </c>
      <c r="R223" s="30" t="s">
        <v>814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5373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5784</v>
      </c>
      <c r="B224" s="254" t="s">
        <v>5304</v>
      </c>
      <c r="C224" s="30" t="s">
        <v>3244</v>
      </c>
      <c r="D224" s="30" t="s">
        <v>3177</v>
      </c>
      <c r="E224" s="6" t="s">
        <v>344</v>
      </c>
      <c r="F224" s="30" t="s">
        <v>5369</v>
      </c>
      <c r="G224" s="254" t="s">
        <v>5305</v>
      </c>
      <c r="H224" s="30" t="s">
        <v>814</v>
      </c>
      <c r="I224" s="6" t="s">
        <v>814</v>
      </c>
      <c r="J224" s="30" t="s">
        <v>5771</v>
      </c>
      <c r="K224" s="254"/>
      <c r="L224" s="254"/>
      <c r="M224" s="30" t="s">
        <v>814</v>
      </c>
      <c r="N224" s="246" t="s">
        <v>5782</v>
      </c>
      <c r="O224" s="6" t="s">
        <v>814</v>
      </c>
      <c r="P224" s="254" t="s">
        <v>5308</v>
      </c>
      <c r="Q224" s="49" t="n">
        <f aca="false">Arch!E21</f>
        <v>14976</v>
      </c>
      <c r="R224" s="30" t="s">
        <v>814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5373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5785</v>
      </c>
      <c r="B225" s="254" t="s">
        <v>5304</v>
      </c>
      <c r="C225" s="30" t="s">
        <v>3244</v>
      </c>
      <c r="D225" s="30" t="s">
        <v>3254</v>
      </c>
      <c r="E225" s="6" t="s">
        <v>347</v>
      </c>
      <c r="F225" s="30" t="s">
        <v>5369</v>
      </c>
      <c r="G225" s="254" t="s">
        <v>5305</v>
      </c>
      <c r="H225" s="30" t="s">
        <v>814</v>
      </c>
      <c r="I225" s="6" t="s">
        <v>814</v>
      </c>
      <c r="J225" s="30" t="s">
        <v>5771</v>
      </c>
      <c r="K225" s="254"/>
      <c r="L225" s="254"/>
      <c r="M225" s="30" t="s">
        <v>814</v>
      </c>
      <c r="N225" s="246" t="s">
        <v>5782</v>
      </c>
      <c r="O225" s="6" t="s">
        <v>814</v>
      </c>
      <c r="P225" s="254" t="s">
        <v>5308</v>
      </c>
      <c r="Q225" s="49" t="n">
        <f aca="false">Arch!C22</f>
        <v>2795</v>
      </c>
      <c r="R225" s="30" t="s">
        <v>814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5373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5786</v>
      </c>
      <c r="B226" s="254" t="s">
        <v>5304</v>
      </c>
      <c r="C226" s="30" t="s">
        <v>3244</v>
      </c>
      <c r="D226" s="30" t="s">
        <v>3255</v>
      </c>
      <c r="E226" s="6" t="s">
        <v>347</v>
      </c>
      <c r="F226" s="30" t="s">
        <v>5369</v>
      </c>
      <c r="G226" s="254" t="s">
        <v>5305</v>
      </c>
      <c r="H226" s="30" t="s">
        <v>814</v>
      </c>
      <c r="I226" s="6" t="s">
        <v>814</v>
      </c>
      <c r="J226" s="30" t="s">
        <v>5771</v>
      </c>
      <c r="K226" s="254"/>
      <c r="L226" s="254"/>
      <c r="M226" s="30" t="s">
        <v>814</v>
      </c>
      <c r="N226" s="246" t="s">
        <v>5782</v>
      </c>
      <c r="O226" s="6" t="s">
        <v>814</v>
      </c>
      <c r="P226" s="254" t="s">
        <v>5308</v>
      </c>
      <c r="Q226" s="49" t="n">
        <f aca="false">Arch!D22</f>
        <v>3965</v>
      </c>
      <c r="R226" s="30" t="s">
        <v>814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5373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5787</v>
      </c>
      <c r="B227" s="254" t="s">
        <v>5304</v>
      </c>
      <c r="C227" s="30" t="s">
        <v>3244</v>
      </c>
      <c r="D227" s="30" t="s">
        <v>3256</v>
      </c>
      <c r="E227" s="6" t="s">
        <v>347</v>
      </c>
      <c r="F227" s="30" t="s">
        <v>5369</v>
      </c>
      <c r="G227" s="254" t="s">
        <v>5305</v>
      </c>
      <c r="H227" s="30" t="s">
        <v>814</v>
      </c>
      <c r="I227" s="6" t="s">
        <v>814</v>
      </c>
      <c r="J227" s="30" t="s">
        <v>5771</v>
      </c>
      <c r="K227" s="254"/>
      <c r="L227" s="254"/>
      <c r="M227" s="30" t="s">
        <v>814</v>
      </c>
      <c r="N227" s="246" t="s">
        <v>5782</v>
      </c>
      <c r="O227" s="6" t="s">
        <v>814</v>
      </c>
      <c r="P227" s="254" t="s">
        <v>5308</v>
      </c>
      <c r="Q227" s="49" t="n">
        <f aca="false">Arch!E22</f>
        <v>57600</v>
      </c>
      <c r="R227" s="30" t="s">
        <v>814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5373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5788</v>
      </c>
      <c r="B228" s="254" t="s">
        <v>5304</v>
      </c>
      <c r="C228" s="30" t="s">
        <v>3244</v>
      </c>
      <c r="D228" s="30" t="s">
        <v>3257</v>
      </c>
      <c r="E228" s="6" t="s">
        <v>349</v>
      </c>
      <c r="F228" s="30" t="s">
        <v>5369</v>
      </c>
      <c r="G228" s="254" t="s">
        <v>5305</v>
      </c>
      <c r="H228" s="30" t="s">
        <v>814</v>
      </c>
      <c r="I228" s="6" t="s">
        <v>814</v>
      </c>
      <c r="J228" s="30" t="s">
        <v>5771</v>
      </c>
      <c r="K228" s="254"/>
      <c r="L228" s="254"/>
      <c r="M228" s="30" t="s">
        <v>814</v>
      </c>
      <c r="N228" s="246" t="s">
        <v>5782</v>
      </c>
      <c r="O228" s="6" t="s">
        <v>814</v>
      </c>
      <c r="P228" s="254" t="s">
        <v>5308</v>
      </c>
      <c r="Q228" s="49" t="n">
        <f aca="false">Arch!C23</f>
        <v>2795</v>
      </c>
      <c r="R228" s="30" t="s">
        <v>814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5373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5789</v>
      </c>
      <c r="B229" s="254" t="s">
        <v>5304</v>
      </c>
      <c r="C229" s="30" t="s">
        <v>3244</v>
      </c>
      <c r="D229" s="30" t="s">
        <v>3258</v>
      </c>
      <c r="E229" s="6" t="s">
        <v>349</v>
      </c>
      <c r="F229" s="30" t="s">
        <v>5369</v>
      </c>
      <c r="G229" s="254" t="s">
        <v>5305</v>
      </c>
      <c r="H229" s="30" t="s">
        <v>814</v>
      </c>
      <c r="I229" s="6" t="s">
        <v>814</v>
      </c>
      <c r="J229" s="30" t="s">
        <v>5771</v>
      </c>
      <c r="K229" s="254"/>
      <c r="L229" s="254"/>
      <c r="M229" s="30" t="s">
        <v>814</v>
      </c>
      <c r="N229" s="246" t="s">
        <v>5782</v>
      </c>
      <c r="O229" s="6" t="s">
        <v>814</v>
      </c>
      <c r="P229" s="254" t="s">
        <v>5308</v>
      </c>
      <c r="Q229" s="49" t="n">
        <f aca="false">Arch!D23</f>
        <v>3965</v>
      </c>
      <c r="R229" s="30" t="s">
        <v>814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5373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5790</v>
      </c>
      <c r="B230" s="254" t="s">
        <v>5304</v>
      </c>
      <c r="C230" s="30" t="s">
        <v>3244</v>
      </c>
      <c r="D230" s="30" t="s">
        <v>3259</v>
      </c>
      <c r="E230" s="6" t="s">
        <v>349</v>
      </c>
      <c r="F230" s="30" t="s">
        <v>5369</v>
      </c>
      <c r="G230" s="254" t="s">
        <v>5305</v>
      </c>
      <c r="H230" s="30" t="s">
        <v>814</v>
      </c>
      <c r="I230" s="6" t="s">
        <v>814</v>
      </c>
      <c r="J230" s="30" t="s">
        <v>5771</v>
      </c>
      <c r="K230" s="254"/>
      <c r="L230" s="254"/>
      <c r="M230" s="30" t="s">
        <v>814</v>
      </c>
      <c r="N230" s="246" t="s">
        <v>5782</v>
      </c>
      <c r="O230" s="6" t="s">
        <v>814</v>
      </c>
      <c r="P230" s="254" t="s">
        <v>5308</v>
      </c>
      <c r="Q230" s="49" t="n">
        <f aca="false">Arch!E23</f>
        <v>204800</v>
      </c>
      <c r="R230" s="30" t="s">
        <v>814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5373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5791</v>
      </c>
      <c r="B231" s="254" t="s">
        <v>5304</v>
      </c>
      <c r="C231" s="30" t="s">
        <v>3248</v>
      </c>
      <c r="D231" s="30" t="s">
        <v>3208</v>
      </c>
      <c r="E231" s="6" t="s">
        <v>387</v>
      </c>
      <c r="F231" s="30" t="s">
        <v>137</v>
      </c>
      <c r="G231" s="254" t="s">
        <v>5305</v>
      </c>
      <c r="H231" s="30" t="s">
        <v>5792</v>
      </c>
      <c r="I231" s="20" t="s">
        <v>5793</v>
      </c>
      <c r="J231" s="30" t="s">
        <v>814</v>
      </c>
      <c r="K231" s="256" t="n">
        <v>1</v>
      </c>
      <c r="L231" s="256" t="n">
        <v>5</v>
      </c>
      <c r="M231" s="30" t="s">
        <v>5794</v>
      </c>
      <c r="N231" s="255" t="str">
        <f aca="false">Serving!$F$6&amp;" ｜補充旗標（IF 全欄分段，非分段依據）：中"</f>
        <v>DeepSeek MTP；區間 1–5 ｜補充旗標（IF 全欄分段，非分段依據）：中</v>
      </c>
      <c r="O231" s="6" t="s">
        <v>814</v>
      </c>
      <c r="P231" s="254" t="s">
        <v>1440</v>
      </c>
      <c r="Q231" s="33" t="n">
        <f aca="false">Serving!C6</f>
        <v>3</v>
      </c>
      <c r="R231" s="187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5309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5795</v>
      </c>
      <c r="B232" s="254" t="s">
        <v>5304</v>
      </c>
      <c r="C232" s="30" t="s">
        <v>3248</v>
      </c>
      <c r="D232" s="30" t="s">
        <v>3344</v>
      </c>
      <c r="E232" s="20" t="s">
        <v>5796</v>
      </c>
      <c r="F232" s="254" t="s">
        <v>377</v>
      </c>
      <c r="G232" s="254" t="s">
        <v>5305</v>
      </c>
      <c r="H232" s="30" t="s">
        <v>5797</v>
      </c>
      <c r="I232" s="20" t="s">
        <v>5335</v>
      </c>
      <c r="J232" s="30" t="s">
        <v>814</v>
      </c>
      <c r="K232" s="254"/>
      <c r="L232" s="254"/>
      <c r="M232" s="30" t="s">
        <v>814</v>
      </c>
      <c r="N232" s="20" t="s">
        <v>5469</v>
      </c>
      <c r="O232" s="6" t="s">
        <v>814</v>
      </c>
      <c r="P232" s="254" t="s">
        <v>5351</v>
      </c>
      <c r="Q232" s="197" t="n">
        <f aca="false">Serving!C7</f>
        <v>0.7</v>
      </c>
      <c r="R232" s="187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5337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5798</v>
      </c>
      <c r="B233" s="254" t="s">
        <v>5304</v>
      </c>
      <c r="C233" s="30" t="s">
        <v>3248</v>
      </c>
      <c r="D233" s="30" t="s">
        <v>3211</v>
      </c>
      <c r="E233" s="6" t="s">
        <v>394</v>
      </c>
      <c r="F233" s="30" t="s">
        <v>132</v>
      </c>
      <c r="G233" s="254" t="s">
        <v>5305</v>
      </c>
      <c r="H233" s="30" t="s">
        <v>814</v>
      </c>
      <c r="I233" s="6" t="s">
        <v>814</v>
      </c>
      <c r="J233" s="30" t="s">
        <v>5612</v>
      </c>
      <c r="K233" s="256" t="n">
        <v>0.05</v>
      </c>
      <c r="L233" s="256" t="n">
        <v>0.2</v>
      </c>
      <c r="M233" s="30" t="s">
        <v>5799</v>
      </c>
      <c r="N233" s="255" t="str">
        <f aca="false">Serving!$F$9&amp;" ｜補充旗標（IF 全欄分段，非分段依據）：中"</f>
        <v>區間 5–20% ｜補充旗標（IF 全欄分段，非分段依據）：中</v>
      </c>
      <c r="O233" s="6" t="s">
        <v>814</v>
      </c>
      <c r="P233" s="254" t="s">
        <v>1440</v>
      </c>
      <c r="Q233" s="197" t="n">
        <f aca="false">Serving!C9</f>
        <v>0.1</v>
      </c>
      <c r="R233" s="30" t="s">
        <v>814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5309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5800</v>
      </c>
      <c r="B234" s="254" t="s">
        <v>5304</v>
      </c>
      <c r="C234" s="30" t="s">
        <v>3248</v>
      </c>
      <c r="D234" s="30" t="s">
        <v>3213</v>
      </c>
      <c r="E234" s="20" t="s">
        <v>5801</v>
      </c>
      <c r="F234" s="30" t="s">
        <v>132</v>
      </c>
      <c r="G234" s="254" t="s">
        <v>5305</v>
      </c>
      <c r="H234" s="30" t="s">
        <v>814</v>
      </c>
      <c r="I234" s="6" t="s">
        <v>814</v>
      </c>
      <c r="J234" s="30" t="s">
        <v>5612</v>
      </c>
      <c r="K234" s="256" t="n">
        <v>0.1</v>
      </c>
      <c r="L234" s="256" t="n">
        <v>0.3</v>
      </c>
      <c r="M234" s="30" t="s">
        <v>5802</v>
      </c>
      <c r="N234" s="255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814</v>
      </c>
      <c r="P234" s="254" t="s">
        <v>5351</v>
      </c>
      <c r="Q234" s="197" t="n">
        <f aca="false">Serving!C10</f>
        <v>0.2</v>
      </c>
      <c r="R234" s="30" t="s">
        <v>814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5309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5803</v>
      </c>
      <c r="B235" s="254" t="s">
        <v>5304</v>
      </c>
      <c r="C235" s="30" t="s">
        <v>3248</v>
      </c>
      <c r="D235" s="30" t="s">
        <v>3215</v>
      </c>
      <c r="E235" s="20" t="s">
        <v>5804</v>
      </c>
      <c r="F235" s="30" t="s">
        <v>132</v>
      </c>
      <c r="G235" s="254" t="s">
        <v>5305</v>
      </c>
      <c r="H235" s="30" t="s">
        <v>814</v>
      </c>
      <c r="I235" s="6" t="s">
        <v>814</v>
      </c>
      <c r="J235" s="30" t="s">
        <v>5612</v>
      </c>
      <c r="K235" s="256" t="n">
        <v>0.3</v>
      </c>
      <c r="L235" s="256" t="n">
        <v>0.5</v>
      </c>
      <c r="M235" s="30" t="s">
        <v>5805</v>
      </c>
      <c r="N235" s="255" t="str">
        <f aca="false">Serving!$F$11&amp;" ｜補充旗標（IF 全欄分段，非分段依據）：高"</f>
        <v>超過時自動加寬 EP ｜補充旗標（IF 全欄分段，非分段依據）：高</v>
      </c>
      <c r="O235" s="6" t="s">
        <v>814</v>
      </c>
      <c r="P235" s="254" t="s">
        <v>1440</v>
      </c>
      <c r="Q235" s="197" t="n">
        <f aca="false">Serving!C11</f>
        <v>0.4</v>
      </c>
      <c r="R235" s="30" t="s">
        <v>814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5309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5806</v>
      </c>
      <c r="B236" s="254" t="s">
        <v>5304</v>
      </c>
      <c r="C236" s="30" t="s">
        <v>3248</v>
      </c>
      <c r="D236" s="30" t="s">
        <v>3216</v>
      </c>
      <c r="E236" s="6" t="s">
        <v>400</v>
      </c>
      <c r="F236" s="30" t="s">
        <v>132</v>
      </c>
      <c r="G236" s="254" t="s">
        <v>5305</v>
      </c>
      <c r="H236" s="30" t="s">
        <v>814</v>
      </c>
      <c r="I236" s="6" t="s">
        <v>814</v>
      </c>
      <c r="J236" s="30" t="s">
        <v>5612</v>
      </c>
      <c r="K236" s="256" t="n">
        <v>2</v>
      </c>
      <c r="L236" s="256" t="n">
        <v>4</v>
      </c>
      <c r="M236" s="30" t="s">
        <v>5807</v>
      </c>
      <c r="N236" s="255" t="str">
        <f aca="false">Serving!$F$12</f>
        <v>FP8 dispatch 1 B＋BF16 combine 2 B</v>
      </c>
      <c r="O236" s="6" t="s">
        <v>5615</v>
      </c>
      <c r="P236" s="254" t="s">
        <v>5308</v>
      </c>
      <c r="Q236" s="202" t="n">
        <f aca="false">Serving!C12</f>
        <v>3</v>
      </c>
      <c r="R236" s="30" t="s">
        <v>814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5309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5808</v>
      </c>
      <c r="B237" s="254" t="s">
        <v>5304</v>
      </c>
      <c r="C237" s="30" t="s">
        <v>3248</v>
      </c>
      <c r="D237" s="30" t="s">
        <v>3220</v>
      </c>
      <c r="E237" s="6" t="s">
        <v>402</v>
      </c>
      <c r="F237" s="30" t="s">
        <v>132</v>
      </c>
      <c r="G237" s="254" t="s">
        <v>5305</v>
      </c>
      <c r="H237" s="30" t="s">
        <v>814</v>
      </c>
      <c r="I237" s="6" t="s">
        <v>814</v>
      </c>
      <c r="J237" s="30" t="s">
        <v>5612</v>
      </c>
      <c r="K237" s="256" t="n">
        <v>0.5</v>
      </c>
      <c r="L237" s="256" t="n">
        <v>0.85</v>
      </c>
      <c r="M237" s="30" t="s">
        <v>5809</v>
      </c>
      <c r="N237" s="255" t="str">
        <f aca="false">Serving!$F$13</f>
        <v>區間 0.5–0.85</v>
      </c>
      <c r="O237" s="6" t="s">
        <v>5615</v>
      </c>
      <c r="P237" s="254" t="s">
        <v>5308</v>
      </c>
      <c r="Q237" s="197" t="n">
        <f aca="false">Serving!C13</f>
        <v>0.7</v>
      </c>
      <c r="R237" s="30" t="s">
        <v>814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5309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5810</v>
      </c>
      <c r="B238" s="254" t="s">
        <v>5304</v>
      </c>
      <c r="C238" s="30" t="s">
        <v>3248</v>
      </c>
      <c r="D238" s="30" t="s">
        <v>3249</v>
      </c>
      <c r="E238" s="6" t="s">
        <v>404</v>
      </c>
      <c r="F238" s="30" t="s">
        <v>132</v>
      </c>
      <c r="G238" s="254" t="s">
        <v>5305</v>
      </c>
      <c r="H238" s="30" t="s">
        <v>814</v>
      </c>
      <c r="I238" s="6" t="s">
        <v>814</v>
      </c>
      <c r="J238" s="30" t="s">
        <v>5612</v>
      </c>
      <c r="K238" s="256" t="n">
        <v>0.5</v>
      </c>
      <c r="L238" s="256" t="n">
        <v>0.85</v>
      </c>
      <c r="M238" s="30" t="s">
        <v>5809</v>
      </c>
      <c r="N238" s="255" t="str">
        <f aca="false">Serving!$F$14</f>
        <v>區間 0.5–0.85</v>
      </c>
      <c r="O238" s="6" t="s">
        <v>5615</v>
      </c>
      <c r="P238" s="254" t="s">
        <v>5308</v>
      </c>
      <c r="Q238" s="197" t="n">
        <f aca="false">Serving!C14</f>
        <v>0.7</v>
      </c>
      <c r="R238" s="30" t="s">
        <v>814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5309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5811</v>
      </c>
      <c r="B239" s="254" t="s">
        <v>5304</v>
      </c>
      <c r="C239" s="30" t="s">
        <v>3248</v>
      </c>
      <c r="D239" s="30" t="s">
        <v>3250</v>
      </c>
      <c r="E239" s="20" t="s">
        <v>5812</v>
      </c>
      <c r="F239" s="30" t="s">
        <v>132</v>
      </c>
      <c r="G239" s="254" t="s">
        <v>5305</v>
      </c>
      <c r="H239" s="30" t="s">
        <v>814</v>
      </c>
      <c r="I239" s="6" t="s">
        <v>814</v>
      </c>
      <c r="J239" s="30" t="s">
        <v>5612</v>
      </c>
      <c r="K239" s="256" t="n">
        <v>0.05</v>
      </c>
      <c r="L239" s="256" t="n">
        <v>0.4</v>
      </c>
      <c r="M239" s="30" t="s">
        <v>5813</v>
      </c>
      <c r="N239" s="255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814</v>
      </c>
      <c r="P239" s="254" t="s">
        <v>1440</v>
      </c>
      <c r="Q239" s="195" t="n">
        <f aca="false">Serving!C15</f>
        <v>0.1</v>
      </c>
      <c r="R239" s="30" t="s">
        <v>814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5309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5814</v>
      </c>
      <c r="B240" s="254" t="s">
        <v>5304</v>
      </c>
      <c r="C240" s="30" t="s">
        <v>3248</v>
      </c>
      <c r="D240" s="30" t="s">
        <v>3252</v>
      </c>
      <c r="E240" s="20" t="s">
        <v>5815</v>
      </c>
      <c r="F240" s="30" t="s">
        <v>132</v>
      </c>
      <c r="G240" s="254" t="s">
        <v>5305</v>
      </c>
      <c r="H240" s="30" t="s">
        <v>814</v>
      </c>
      <c r="I240" s="6" t="s">
        <v>814</v>
      </c>
      <c r="J240" s="30" t="s">
        <v>5816</v>
      </c>
      <c r="K240" s="256" t="n">
        <v>0.4</v>
      </c>
      <c r="L240" s="256" t="n">
        <v>0.8</v>
      </c>
      <c r="M240" s="30" t="s">
        <v>5817</v>
      </c>
      <c r="N240" s="255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814</v>
      </c>
      <c r="P240" s="254" t="s">
        <v>1441</v>
      </c>
      <c r="Q240" s="197" t="n">
        <f aca="false">Serving!C17</f>
        <v>0.6</v>
      </c>
      <c r="R240" s="30" t="s">
        <v>814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5309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5818</v>
      </c>
      <c r="B241" s="254" t="s">
        <v>5304</v>
      </c>
      <c r="C241" s="30" t="s">
        <v>3248</v>
      </c>
      <c r="D241" s="30" t="s">
        <v>3253</v>
      </c>
      <c r="E241" s="20" t="s">
        <v>412</v>
      </c>
      <c r="F241" s="30" t="s">
        <v>132</v>
      </c>
      <c r="G241" s="254" t="s">
        <v>5305</v>
      </c>
      <c r="H241" s="30" t="s">
        <v>814</v>
      </c>
      <c r="I241" s="6" t="s">
        <v>814</v>
      </c>
      <c r="J241" s="30" t="s">
        <v>5816</v>
      </c>
      <c r="K241" s="256" t="n">
        <v>0.7</v>
      </c>
      <c r="L241" s="256" t="n">
        <v>1</v>
      </c>
      <c r="M241" s="30" t="s">
        <v>5819</v>
      </c>
      <c r="N241" s="255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814</v>
      </c>
      <c r="P241" s="254" t="s">
        <v>1441</v>
      </c>
      <c r="Q241" s="195" t="n">
        <f aca="false">Serving!C18</f>
        <v>1</v>
      </c>
      <c r="R241" s="30" t="s">
        <v>814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5309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5820</v>
      </c>
      <c r="B242" s="254" t="s">
        <v>5304</v>
      </c>
      <c r="C242" s="30" t="s">
        <v>3248</v>
      </c>
      <c r="D242" s="30" t="s">
        <v>3251</v>
      </c>
      <c r="E242" s="20" t="s">
        <v>5821</v>
      </c>
      <c r="F242" s="30" t="s">
        <v>122</v>
      </c>
      <c r="G242" s="254" t="s">
        <v>5305</v>
      </c>
      <c r="H242" s="30" t="s">
        <v>814</v>
      </c>
      <c r="I242" s="6" t="s">
        <v>814</v>
      </c>
      <c r="J242" s="30" t="s">
        <v>5822</v>
      </c>
      <c r="K242" s="254"/>
      <c r="L242" s="254"/>
      <c r="M242" s="30" t="s">
        <v>814</v>
      </c>
      <c r="N242" s="6" t="s">
        <v>5823</v>
      </c>
      <c r="O242" s="6" t="s">
        <v>814</v>
      </c>
      <c r="P242" s="254" t="s">
        <v>5308</v>
      </c>
      <c r="Q242" s="33" t="n">
        <f aca="false">Serving!C16</f>
        <v>1</v>
      </c>
      <c r="R242" s="30" t="s">
        <v>814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5309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5824</v>
      </c>
      <c r="B243" s="254" t="s">
        <v>5304</v>
      </c>
      <c r="C243" s="30" t="s">
        <v>3248</v>
      </c>
      <c r="D243" s="30" t="s">
        <v>3355</v>
      </c>
      <c r="E243" s="6" t="s">
        <v>417</v>
      </c>
      <c r="F243" s="254" t="s">
        <v>5825</v>
      </c>
      <c r="G243" s="254" t="s">
        <v>5305</v>
      </c>
      <c r="H243" s="30" t="s">
        <v>5826</v>
      </c>
      <c r="I243" s="20" t="s">
        <v>5827</v>
      </c>
      <c r="J243" s="30" t="s">
        <v>5828</v>
      </c>
      <c r="K243" s="254" t="n">
        <v>61</v>
      </c>
      <c r="L243" s="254" t="n">
        <v>116.5</v>
      </c>
      <c r="M243" s="30" t="s">
        <v>5829</v>
      </c>
      <c r="N243" s="20" t="s">
        <v>5830</v>
      </c>
      <c r="O243" s="246" t="s">
        <v>5831</v>
      </c>
      <c r="P243" s="254" t="s">
        <v>1441</v>
      </c>
      <c r="Q243" s="49" t="n">
        <f aca="false">Serving!C21</f>
        <v>84.3000593119602</v>
      </c>
      <c r="R243" s="187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5337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5832</v>
      </c>
      <c r="B244" s="254" t="s">
        <v>5304</v>
      </c>
      <c r="C244" s="30" t="s">
        <v>3248</v>
      </c>
      <c r="D244" s="30" t="s">
        <v>3176</v>
      </c>
      <c r="E244" s="6" t="s">
        <v>417</v>
      </c>
      <c r="F244" s="30" t="s">
        <v>5369</v>
      </c>
      <c r="G244" s="254" t="s">
        <v>5305</v>
      </c>
      <c r="H244" s="30" t="s">
        <v>5833</v>
      </c>
      <c r="I244" s="20" t="s">
        <v>5834</v>
      </c>
      <c r="J244" s="30" t="s">
        <v>5828</v>
      </c>
      <c r="K244" s="254" t="n">
        <v>37</v>
      </c>
      <c r="L244" s="254" t="n">
        <v>50.7</v>
      </c>
      <c r="M244" s="30" t="s">
        <v>5835</v>
      </c>
      <c r="N244" s="6" t="s">
        <v>5836</v>
      </c>
      <c r="O244" s="246" t="s">
        <v>5831</v>
      </c>
      <c r="P244" s="254" t="s">
        <v>1441</v>
      </c>
      <c r="Q244" s="49" t="n">
        <f aca="false">Serving!D21</f>
        <v>43.31166124729</v>
      </c>
      <c r="R244" s="187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5337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5837</v>
      </c>
      <c r="B245" s="254" t="s">
        <v>5304</v>
      </c>
      <c r="C245" s="30" t="s">
        <v>3248</v>
      </c>
      <c r="D245" s="30" t="s">
        <v>3177</v>
      </c>
      <c r="E245" s="6" t="s">
        <v>417</v>
      </c>
      <c r="F245" s="30" t="s">
        <v>5369</v>
      </c>
      <c r="G245" s="254" t="s">
        <v>5305</v>
      </c>
      <c r="H245" s="30" t="s">
        <v>5838</v>
      </c>
      <c r="I245" s="20" t="s">
        <v>5839</v>
      </c>
      <c r="J245" s="30" t="s">
        <v>5828</v>
      </c>
      <c r="K245" s="254" t="n">
        <v>32</v>
      </c>
      <c r="L245" s="254" t="n">
        <v>52.1</v>
      </c>
      <c r="M245" s="30" t="s">
        <v>5840</v>
      </c>
      <c r="N245" s="6" t="s">
        <v>5836</v>
      </c>
      <c r="O245" s="246" t="s">
        <v>5831</v>
      </c>
      <c r="P245" s="254" t="s">
        <v>1441</v>
      </c>
      <c r="Q245" s="49" t="n">
        <f aca="false">Serving!E21</f>
        <v>40.8313604965595</v>
      </c>
      <c r="R245" s="187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5337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5841</v>
      </c>
      <c r="B246" s="254" t="s">
        <v>5304</v>
      </c>
      <c r="C246" s="30" t="s">
        <v>3248</v>
      </c>
      <c r="D246" s="30" t="s">
        <v>3254</v>
      </c>
      <c r="E246" s="6" t="s">
        <v>420</v>
      </c>
      <c r="F246" s="30" t="s">
        <v>132</v>
      </c>
      <c r="G246" s="254" t="s">
        <v>5305</v>
      </c>
      <c r="H246" s="30" t="s">
        <v>814</v>
      </c>
      <c r="I246" s="6" t="s">
        <v>814</v>
      </c>
      <c r="J246" s="30" t="s">
        <v>5842</v>
      </c>
      <c r="K246" s="187" t="n">
        <f aca="false">Serving!C22*0.5</f>
        <v>1</v>
      </c>
      <c r="L246" s="187" t="n">
        <f aca="false">Serving!C22*2</f>
        <v>4</v>
      </c>
      <c r="M246" s="30" t="s">
        <v>5843</v>
      </c>
      <c r="N246" s="6" t="s">
        <v>5844</v>
      </c>
      <c r="O246" s="6" t="s">
        <v>814</v>
      </c>
      <c r="P246" s="254" t="s">
        <v>5308</v>
      </c>
      <c r="Q246" s="202" t="n">
        <f aca="false">Serving!C22</f>
        <v>2</v>
      </c>
      <c r="R246" s="30" t="s">
        <v>814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5309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5845</v>
      </c>
      <c r="B247" s="254" t="s">
        <v>5304</v>
      </c>
      <c r="C247" s="30" t="s">
        <v>3248</v>
      </c>
      <c r="D247" s="30" t="s">
        <v>3255</v>
      </c>
      <c r="E247" s="6" t="s">
        <v>420</v>
      </c>
      <c r="F247" s="30" t="s">
        <v>132</v>
      </c>
      <c r="G247" s="254" t="s">
        <v>5305</v>
      </c>
      <c r="H247" s="30" t="s">
        <v>814</v>
      </c>
      <c r="I247" s="6" t="s">
        <v>814</v>
      </c>
      <c r="J247" s="30" t="s">
        <v>5842</v>
      </c>
      <c r="K247" s="187" t="n">
        <f aca="false">Serving!D22*0.5</f>
        <v>1.5</v>
      </c>
      <c r="L247" s="187" t="n">
        <f aca="false">Serving!D22*2</f>
        <v>6</v>
      </c>
      <c r="M247" s="30" t="s">
        <v>5843</v>
      </c>
      <c r="N247" s="6" t="s">
        <v>5844</v>
      </c>
      <c r="O247" s="6" t="s">
        <v>814</v>
      </c>
      <c r="P247" s="254" t="s">
        <v>5308</v>
      </c>
      <c r="Q247" s="202" t="n">
        <f aca="false">Serving!D22</f>
        <v>3</v>
      </c>
      <c r="R247" s="30" t="s">
        <v>814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5309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5846</v>
      </c>
      <c r="B248" s="254" t="s">
        <v>5304</v>
      </c>
      <c r="C248" s="30" t="s">
        <v>3248</v>
      </c>
      <c r="D248" s="30" t="s">
        <v>3256</v>
      </c>
      <c r="E248" s="6" t="s">
        <v>420</v>
      </c>
      <c r="F248" s="30" t="s">
        <v>132</v>
      </c>
      <c r="G248" s="254" t="s">
        <v>5305</v>
      </c>
      <c r="H248" s="30" t="s">
        <v>814</v>
      </c>
      <c r="I248" s="6" t="s">
        <v>814</v>
      </c>
      <c r="J248" s="30" t="s">
        <v>5842</v>
      </c>
      <c r="K248" s="187" t="n">
        <f aca="false">Serving!E22*0.5</f>
        <v>2.5</v>
      </c>
      <c r="L248" s="187" t="n">
        <f aca="false">Serving!E22*2</f>
        <v>10</v>
      </c>
      <c r="M248" s="30" t="s">
        <v>5843</v>
      </c>
      <c r="N248" s="6" t="s">
        <v>5844</v>
      </c>
      <c r="O248" s="6" t="s">
        <v>814</v>
      </c>
      <c r="P248" s="254" t="s">
        <v>5308</v>
      </c>
      <c r="Q248" s="202" t="n">
        <f aca="false">Serving!E22</f>
        <v>5</v>
      </c>
      <c r="R248" s="30" t="s">
        <v>814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5309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5847</v>
      </c>
      <c r="B249" s="254" t="s">
        <v>5304</v>
      </c>
      <c r="C249" s="30" t="s">
        <v>3248</v>
      </c>
      <c r="D249" s="30" t="s">
        <v>3257</v>
      </c>
      <c r="E249" s="20" t="s">
        <v>5848</v>
      </c>
      <c r="F249" s="30" t="s">
        <v>132</v>
      </c>
      <c r="G249" s="254" t="s">
        <v>5305</v>
      </c>
      <c r="H249" s="30" t="s">
        <v>5849</v>
      </c>
      <c r="I249" s="246" t="s">
        <v>5850</v>
      </c>
      <c r="J249" s="30" t="s">
        <v>5851</v>
      </c>
      <c r="K249" s="187" t="n">
        <f aca="false">Serving!C23*0.5</f>
        <v>4096</v>
      </c>
      <c r="L249" s="187" t="n">
        <f aca="false">Serving!C23*2</f>
        <v>16384</v>
      </c>
      <c r="M249" s="30" t="s">
        <v>5843</v>
      </c>
      <c r="N249" s="20" t="s">
        <v>5852</v>
      </c>
      <c r="O249" s="6" t="s">
        <v>814</v>
      </c>
      <c r="P249" s="254" t="s">
        <v>1441</v>
      </c>
      <c r="Q249" s="49" t="n">
        <f aca="false">Serving!C23</f>
        <v>8192</v>
      </c>
      <c r="R249" s="187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5309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681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5853</v>
      </c>
      <c r="B250" s="254" t="s">
        <v>5304</v>
      </c>
      <c r="C250" s="30" t="s">
        <v>3248</v>
      </c>
      <c r="D250" s="30" t="s">
        <v>3258</v>
      </c>
      <c r="E250" s="20" t="s">
        <v>5848</v>
      </c>
      <c r="F250" s="30" t="s">
        <v>132</v>
      </c>
      <c r="G250" s="254" t="s">
        <v>5305</v>
      </c>
      <c r="H250" s="30" t="s">
        <v>5849</v>
      </c>
      <c r="I250" s="246" t="s">
        <v>5850</v>
      </c>
      <c r="J250" s="30" t="s">
        <v>5851</v>
      </c>
      <c r="K250" s="187" t="n">
        <f aca="false">Serving!D23*0.5</f>
        <v>8192</v>
      </c>
      <c r="L250" s="187" t="n">
        <v>68000</v>
      </c>
      <c r="M250" s="30" t="s">
        <v>5843</v>
      </c>
      <c r="N250" s="20" t="s">
        <v>5854</v>
      </c>
      <c r="O250" s="6" t="s">
        <v>814</v>
      </c>
      <c r="P250" s="254" t="s">
        <v>1441</v>
      </c>
      <c r="Q250" s="49" t="n">
        <f aca="false">Serving!D23</f>
        <v>16384</v>
      </c>
      <c r="R250" s="187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5309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681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5855</v>
      </c>
      <c r="B251" s="254" t="s">
        <v>5304</v>
      </c>
      <c r="C251" s="30" t="s">
        <v>3248</v>
      </c>
      <c r="D251" s="30" t="s">
        <v>3259</v>
      </c>
      <c r="E251" s="20" t="s">
        <v>5848</v>
      </c>
      <c r="F251" s="30" t="s">
        <v>132</v>
      </c>
      <c r="G251" s="254" t="s">
        <v>5305</v>
      </c>
      <c r="H251" s="30" t="s">
        <v>5849</v>
      </c>
      <c r="I251" s="246" t="s">
        <v>5850</v>
      </c>
      <c r="J251" s="30" t="s">
        <v>5851</v>
      </c>
      <c r="K251" s="187" t="n">
        <f aca="false">Serving!E23*0.5</f>
        <v>16384</v>
      </c>
      <c r="L251" s="187" t="n">
        <v>68000</v>
      </c>
      <c r="M251" s="30" t="s">
        <v>5843</v>
      </c>
      <c r="N251" s="20" t="s">
        <v>5854</v>
      </c>
      <c r="O251" s="6" t="s">
        <v>814</v>
      </c>
      <c r="P251" s="254" t="s">
        <v>1441</v>
      </c>
      <c r="Q251" s="49" t="n">
        <f aca="false">Serving!E23</f>
        <v>32768</v>
      </c>
      <c r="R251" s="187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5309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681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5856</v>
      </c>
      <c r="B252" s="254" t="s">
        <v>5304</v>
      </c>
      <c r="C252" s="30" t="s">
        <v>3248</v>
      </c>
      <c r="D252" s="30" t="s">
        <v>3260</v>
      </c>
      <c r="E252" s="20" t="s">
        <v>5857</v>
      </c>
      <c r="F252" s="30" t="s">
        <v>132</v>
      </c>
      <c r="G252" s="254" t="s">
        <v>5305</v>
      </c>
      <c r="H252" s="30" t="s">
        <v>5849</v>
      </c>
      <c r="I252" s="246" t="s">
        <v>5850</v>
      </c>
      <c r="J252" s="30" t="s">
        <v>5851</v>
      </c>
      <c r="K252" s="256" t="n">
        <v>400</v>
      </c>
      <c r="L252" s="187" t="n">
        <f aca="false">Serving!C24*2</f>
        <v>2048</v>
      </c>
      <c r="M252" s="30" t="s">
        <v>5858</v>
      </c>
      <c r="N252" s="20" t="s">
        <v>5859</v>
      </c>
      <c r="O252" s="6" t="s">
        <v>814</v>
      </c>
      <c r="P252" s="254" t="s">
        <v>1441</v>
      </c>
      <c r="Q252" s="49" t="n">
        <f aca="false">Serving!C24</f>
        <v>1024</v>
      </c>
      <c r="R252" s="187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5309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681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5860</v>
      </c>
      <c r="B253" s="254" t="s">
        <v>5304</v>
      </c>
      <c r="C253" s="30" t="s">
        <v>3248</v>
      </c>
      <c r="D253" s="30" t="s">
        <v>3261</v>
      </c>
      <c r="E253" s="20" t="s">
        <v>5857</v>
      </c>
      <c r="F253" s="30" t="s">
        <v>132</v>
      </c>
      <c r="G253" s="254" t="s">
        <v>5305</v>
      </c>
      <c r="H253" s="30" t="s">
        <v>5849</v>
      </c>
      <c r="I253" s="246" t="s">
        <v>5850</v>
      </c>
      <c r="J253" s="30" t="s">
        <v>5851</v>
      </c>
      <c r="K253" s="187" t="n">
        <f aca="false">Serving!D24*0.5</f>
        <v>1024</v>
      </c>
      <c r="L253" s="187" t="n">
        <f aca="false">Serving!D24*2</f>
        <v>4096</v>
      </c>
      <c r="M253" s="30" t="s">
        <v>5843</v>
      </c>
      <c r="N253" s="20" t="s">
        <v>5859</v>
      </c>
      <c r="O253" s="6" t="s">
        <v>814</v>
      </c>
      <c r="P253" s="254" t="s">
        <v>1441</v>
      </c>
      <c r="Q253" s="49" t="n">
        <f aca="false">Serving!D24</f>
        <v>2048</v>
      </c>
      <c r="R253" s="187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5309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681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5861</v>
      </c>
      <c r="B254" s="254" t="s">
        <v>5304</v>
      </c>
      <c r="C254" s="30" t="s">
        <v>3248</v>
      </c>
      <c r="D254" s="30" t="s">
        <v>3179</v>
      </c>
      <c r="E254" s="20" t="s">
        <v>5857</v>
      </c>
      <c r="F254" s="30" t="s">
        <v>132</v>
      </c>
      <c r="G254" s="254" t="s">
        <v>5305</v>
      </c>
      <c r="H254" s="30" t="s">
        <v>5849</v>
      </c>
      <c r="I254" s="246" t="s">
        <v>5850</v>
      </c>
      <c r="J254" s="30" t="s">
        <v>5851</v>
      </c>
      <c r="K254" s="187" t="n">
        <f aca="false">Serving!E24*0.5</f>
        <v>2048</v>
      </c>
      <c r="L254" s="187" t="n">
        <f aca="false">Serving!E24*2</f>
        <v>8192</v>
      </c>
      <c r="M254" s="30" t="s">
        <v>5843</v>
      </c>
      <c r="N254" s="20" t="s">
        <v>5859</v>
      </c>
      <c r="O254" s="6" t="s">
        <v>814</v>
      </c>
      <c r="P254" s="254" t="s">
        <v>1441</v>
      </c>
      <c r="Q254" s="49" t="n">
        <f aca="false">Serving!E24</f>
        <v>4096</v>
      </c>
      <c r="R254" s="187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5309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681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5862</v>
      </c>
      <c r="B255" s="254" t="s">
        <v>5304</v>
      </c>
      <c r="C255" s="30" t="s">
        <v>5863</v>
      </c>
      <c r="D255" s="30" t="s">
        <v>3264</v>
      </c>
      <c r="E255" s="20" t="s">
        <v>5864</v>
      </c>
      <c r="F255" s="30" t="s">
        <v>132</v>
      </c>
      <c r="G255" s="254" t="s">
        <v>5305</v>
      </c>
      <c r="H255" s="30" t="s">
        <v>814</v>
      </c>
      <c r="I255" s="6" t="s">
        <v>814</v>
      </c>
      <c r="J255" s="30" t="s">
        <v>5865</v>
      </c>
      <c r="K255" s="187" t="n">
        <f aca="false">MAX(1,Workload!C5*0.5)</f>
        <v>1</v>
      </c>
      <c r="L255" s="187" t="n">
        <f aca="false">Workload!C5*2</f>
        <v>2</v>
      </c>
      <c r="M255" s="30" t="s">
        <v>5866</v>
      </c>
      <c r="N255" s="20" t="s">
        <v>5867</v>
      </c>
      <c r="O255" s="6" t="s">
        <v>814</v>
      </c>
      <c r="P255" s="254" t="s">
        <v>1441</v>
      </c>
      <c r="Q255" s="49" t="n">
        <f aca="false">Workload!C5</f>
        <v>1</v>
      </c>
      <c r="R255" s="30" t="s">
        <v>814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5309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5868</v>
      </c>
      <c r="B256" s="254" t="s">
        <v>5304</v>
      </c>
      <c r="C256" s="30" t="s">
        <v>5863</v>
      </c>
      <c r="D256" s="30" t="s">
        <v>5746</v>
      </c>
      <c r="E256" s="20" t="s">
        <v>5864</v>
      </c>
      <c r="F256" s="30" t="s">
        <v>132</v>
      </c>
      <c r="G256" s="254" t="s">
        <v>5305</v>
      </c>
      <c r="H256" s="30" t="s">
        <v>814</v>
      </c>
      <c r="I256" s="6" t="s">
        <v>814</v>
      </c>
      <c r="J256" s="30" t="s">
        <v>5865</v>
      </c>
      <c r="K256" s="187" t="n">
        <f aca="false">MAX(1,Workload!D5*0.5)</f>
        <v>1</v>
      </c>
      <c r="L256" s="187" t="n">
        <f aca="false">Workload!D5*2</f>
        <v>2</v>
      </c>
      <c r="M256" s="30" t="s">
        <v>5866</v>
      </c>
      <c r="N256" s="20" t="s">
        <v>5867</v>
      </c>
      <c r="O256" s="6" t="s">
        <v>814</v>
      </c>
      <c r="P256" s="254" t="s">
        <v>1441</v>
      </c>
      <c r="Q256" s="49" t="n">
        <f aca="false">Workload!D5</f>
        <v>1</v>
      </c>
      <c r="R256" s="30" t="s">
        <v>814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5309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5869</v>
      </c>
      <c r="B257" s="254" t="s">
        <v>5304</v>
      </c>
      <c r="C257" s="30" t="s">
        <v>5863</v>
      </c>
      <c r="D257" s="30" t="s">
        <v>3144</v>
      </c>
      <c r="E257" s="20" t="s">
        <v>5864</v>
      </c>
      <c r="F257" s="30" t="s">
        <v>132</v>
      </c>
      <c r="G257" s="254" t="s">
        <v>5305</v>
      </c>
      <c r="H257" s="30" t="s">
        <v>814</v>
      </c>
      <c r="I257" s="6" t="s">
        <v>814</v>
      </c>
      <c r="J257" s="30" t="s">
        <v>5865</v>
      </c>
      <c r="K257" s="187" t="n">
        <f aca="false">MAX(1,Workload!E5*0.5)</f>
        <v>2</v>
      </c>
      <c r="L257" s="187" t="n">
        <f aca="false">Workload!E5*2</f>
        <v>8</v>
      </c>
      <c r="M257" s="30" t="s">
        <v>5866</v>
      </c>
      <c r="N257" s="20" t="s">
        <v>5867</v>
      </c>
      <c r="O257" s="6" t="s">
        <v>814</v>
      </c>
      <c r="P257" s="254" t="s">
        <v>1441</v>
      </c>
      <c r="Q257" s="49" t="n">
        <f aca="false">Workload!E5</f>
        <v>4</v>
      </c>
      <c r="R257" s="30" t="s">
        <v>814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5309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5870</v>
      </c>
      <c r="B258" s="254" t="s">
        <v>5304</v>
      </c>
      <c r="C258" s="30" t="s">
        <v>5863</v>
      </c>
      <c r="D258" s="30" t="s">
        <v>3284</v>
      </c>
      <c r="E258" s="20" t="s">
        <v>5864</v>
      </c>
      <c r="F258" s="30" t="s">
        <v>132</v>
      </c>
      <c r="G258" s="254" t="s">
        <v>5305</v>
      </c>
      <c r="H258" s="30" t="s">
        <v>814</v>
      </c>
      <c r="I258" s="6" t="s">
        <v>814</v>
      </c>
      <c r="J258" s="30" t="s">
        <v>5865</v>
      </c>
      <c r="K258" s="187" t="n">
        <f aca="false">MAX(1,Workload!F5*0.5)</f>
        <v>2</v>
      </c>
      <c r="L258" s="187" t="n">
        <f aca="false">Workload!F5*2</f>
        <v>8</v>
      </c>
      <c r="M258" s="30" t="s">
        <v>5866</v>
      </c>
      <c r="N258" s="20" t="s">
        <v>5867</v>
      </c>
      <c r="O258" s="6" t="s">
        <v>814</v>
      </c>
      <c r="P258" s="254" t="s">
        <v>1441</v>
      </c>
      <c r="Q258" s="49" t="n">
        <f aca="false">Workload!F5</f>
        <v>4</v>
      </c>
      <c r="R258" s="30" t="s">
        <v>814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5309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5871</v>
      </c>
      <c r="B259" s="254" t="s">
        <v>5304</v>
      </c>
      <c r="C259" s="30" t="s">
        <v>5863</v>
      </c>
      <c r="D259" s="30" t="s">
        <v>3285</v>
      </c>
      <c r="E259" s="20" t="s">
        <v>5864</v>
      </c>
      <c r="F259" s="30" t="s">
        <v>132</v>
      </c>
      <c r="G259" s="254" t="s">
        <v>5305</v>
      </c>
      <c r="H259" s="30" t="s">
        <v>814</v>
      </c>
      <c r="I259" s="6" t="s">
        <v>814</v>
      </c>
      <c r="J259" s="30" t="s">
        <v>5865</v>
      </c>
      <c r="K259" s="187" t="n">
        <f aca="false">MAX(1,Workload!G5*0.5)</f>
        <v>15</v>
      </c>
      <c r="L259" s="187" t="n">
        <f aca="false">Workload!G5*2</f>
        <v>60</v>
      </c>
      <c r="M259" s="30" t="s">
        <v>5866</v>
      </c>
      <c r="N259" s="20" t="s">
        <v>5872</v>
      </c>
      <c r="O259" s="6" t="s">
        <v>814</v>
      </c>
      <c r="P259" s="254" t="s">
        <v>1441</v>
      </c>
      <c r="Q259" s="49" t="n">
        <f aca="false">Workload!G5</f>
        <v>30</v>
      </c>
      <c r="R259" s="30" t="s">
        <v>814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5309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5873</v>
      </c>
      <c r="B260" s="254" t="s">
        <v>5304</v>
      </c>
      <c r="C260" s="30" t="s">
        <v>5863</v>
      </c>
      <c r="D260" s="30" t="s">
        <v>3208</v>
      </c>
      <c r="E260" s="20" t="s">
        <v>5874</v>
      </c>
      <c r="F260" s="30" t="s">
        <v>132</v>
      </c>
      <c r="G260" s="254" t="s">
        <v>5305</v>
      </c>
      <c r="H260" s="30" t="s">
        <v>814</v>
      </c>
      <c r="I260" s="6" t="s">
        <v>814</v>
      </c>
      <c r="J260" s="30" t="s">
        <v>5875</v>
      </c>
      <c r="K260" s="187" t="n">
        <f aca="false">Workload!C6*0.5</f>
        <v>1000</v>
      </c>
      <c r="L260" s="187" t="n">
        <f aca="false">Workload!C6*2</f>
        <v>4000</v>
      </c>
      <c r="M260" s="30" t="s">
        <v>5843</v>
      </c>
      <c r="N260" s="20" t="s">
        <v>5876</v>
      </c>
      <c r="O260" s="6" t="s">
        <v>814</v>
      </c>
      <c r="P260" s="254" t="s">
        <v>1440</v>
      </c>
      <c r="Q260" s="49" t="n">
        <f aca="false">Workload!C6</f>
        <v>2000</v>
      </c>
      <c r="R260" s="30" t="s">
        <v>814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5309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5877</v>
      </c>
      <c r="B261" s="254" t="s">
        <v>5304</v>
      </c>
      <c r="C261" s="30" t="s">
        <v>5863</v>
      </c>
      <c r="D261" s="30" t="s">
        <v>3336</v>
      </c>
      <c r="E261" s="20" t="s">
        <v>5874</v>
      </c>
      <c r="F261" s="30" t="s">
        <v>132</v>
      </c>
      <c r="G261" s="254" t="s">
        <v>5305</v>
      </c>
      <c r="H261" s="30" t="s">
        <v>814</v>
      </c>
      <c r="I261" s="6" t="s">
        <v>814</v>
      </c>
      <c r="J261" s="30" t="s">
        <v>5875</v>
      </c>
      <c r="K261" s="187" t="n">
        <f aca="false">Workload!D6*0.5</f>
        <v>1000</v>
      </c>
      <c r="L261" s="187" t="n">
        <f aca="false">Workload!D6*2</f>
        <v>4000</v>
      </c>
      <c r="M261" s="30" t="s">
        <v>5843</v>
      </c>
      <c r="N261" s="20" t="s">
        <v>5876</v>
      </c>
      <c r="O261" s="6" t="s">
        <v>814</v>
      </c>
      <c r="P261" s="254" t="s">
        <v>1440</v>
      </c>
      <c r="Q261" s="49" t="n">
        <f aca="false">Workload!D6</f>
        <v>2000</v>
      </c>
      <c r="R261" s="30" t="s">
        <v>814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5309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5878</v>
      </c>
      <c r="B262" s="254" t="s">
        <v>5304</v>
      </c>
      <c r="C262" s="30" t="s">
        <v>5863</v>
      </c>
      <c r="D262" s="30" t="s">
        <v>3145</v>
      </c>
      <c r="E262" s="20" t="s">
        <v>5874</v>
      </c>
      <c r="F262" s="30" t="s">
        <v>132</v>
      </c>
      <c r="G262" s="254" t="s">
        <v>5305</v>
      </c>
      <c r="H262" s="30" t="s">
        <v>814</v>
      </c>
      <c r="I262" s="6" t="s">
        <v>814</v>
      </c>
      <c r="J262" s="30" t="s">
        <v>5875</v>
      </c>
      <c r="K262" s="187" t="n">
        <f aca="false">Workload!E6*0.5</f>
        <v>1500</v>
      </c>
      <c r="L262" s="187" t="n">
        <f aca="false">Workload!E6*2</f>
        <v>6000</v>
      </c>
      <c r="M262" s="30" t="s">
        <v>5843</v>
      </c>
      <c r="N262" s="20" t="s">
        <v>5876</v>
      </c>
      <c r="O262" s="6" t="s">
        <v>814</v>
      </c>
      <c r="P262" s="254" t="s">
        <v>1440</v>
      </c>
      <c r="Q262" s="49" t="n">
        <f aca="false">Workload!E6</f>
        <v>3000</v>
      </c>
      <c r="R262" s="30" t="s">
        <v>814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5309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5879</v>
      </c>
      <c r="B263" s="254" t="s">
        <v>5304</v>
      </c>
      <c r="C263" s="30" t="s">
        <v>5863</v>
      </c>
      <c r="D263" s="30" t="s">
        <v>3289</v>
      </c>
      <c r="E263" s="20" t="s">
        <v>5874</v>
      </c>
      <c r="F263" s="30" t="s">
        <v>132</v>
      </c>
      <c r="G263" s="254" t="s">
        <v>5305</v>
      </c>
      <c r="H263" s="30" t="s">
        <v>814</v>
      </c>
      <c r="I263" s="6" t="s">
        <v>814</v>
      </c>
      <c r="J263" s="30" t="s">
        <v>5875</v>
      </c>
      <c r="K263" s="187" t="n">
        <f aca="false">Workload!F6*0.5</f>
        <v>1500</v>
      </c>
      <c r="L263" s="187" t="n">
        <f aca="false">Workload!F6*2</f>
        <v>6000</v>
      </c>
      <c r="M263" s="30" t="s">
        <v>5843</v>
      </c>
      <c r="N263" s="20" t="s">
        <v>5876</v>
      </c>
      <c r="O263" s="6" t="s">
        <v>814</v>
      </c>
      <c r="P263" s="254" t="s">
        <v>1440</v>
      </c>
      <c r="Q263" s="49" t="n">
        <f aca="false">Workload!F6</f>
        <v>3000</v>
      </c>
      <c r="R263" s="30" t="s">
        <v>814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5309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5880</v>
      </c>
      <c r="B264" s="254" t="s">
        <v>5304</v>
      </c>
      <c r="C264" s="30" t="s">
        <v>5863</v>
      </c>
      <c r="D264" s="30" t="s">
        <v>3290</v>
      </c>
      <c r="E264" s="20" t="s">
        <v>5874</v>
      </c>
      <c r="F264" s="30" t="s">
        <v>132</v>
      </c>
      <c r="G264" s="254" t="s">
        <v>5305</v>
      </c>
      <c r="H264" s="30" t="s">
        <v>814</v>
      </c>
      <c r="I264" s="6" t="s">
        <v>814</v>
      </c>
      <c r="J264" s="30" t="s">
        <v>5875</v>
      </c>
      <c r="K264" s="187" t="n">
        <f aca="false">Workload!G6*0.5</f>
        <v>6000</v>
      </c>
      <c r="L264" s="187" t="n">
        <f aca="false">Workload!G6*2</f>
        <v>24000</v>
      </c>
      <c r="M264" s="30" t="s">
        <v>5843</v>
      </c>
      <c r="N264" s="20" t="s">
        <v>5876</v>
      </c>
      <c r="O264" s="6" t="s">
        <v>814</v>
      </c>
      <c r="P264" s="254" t="s">
        <v>1440</v>
      </c>
      <c r="Q264" s="49" t="n">
        <f aca="false">Workload!G6</f>
        <v>12000</v>
      </c>
      <c r="R264" s="30" t="s">
        <v>814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5309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5881</v>
      </c>
      <c r="B265" s="254" t="s">
        <v>5304</v>
      </c>
      <c r="C265" s="30" t="s">
        <v>5863</v>
      </c>
      <c r="D265" s="30" t="s">
        <v>3344</v>
      </c>
      <c r="E265" s="20" t="s">
        <v>5882</v>
      </c>
      <c r="F265" s="30" t="s">
        <v>132</v>
      </c>
      <c r="G265" s="254" t="s">
        <v>5305</v>
      </c>
      <c r="H265" s="30" t="s">
        <v>814</v>
      </c>
      <c r="I265" s="6" t="s">
        <v>814</v>
      </c>
      <c r="J265" s="30" t="s">
        <v>5875</v>
      </c>
      <c r="K265" s="187" t="n">
        <f aca="false">Workload!C7*0.5</f>
        <v>250</v>
      </c>
      <c r="L265" s="187" t="n">
        <f aca="false">Workload!C7*2</f>
        <v>1000</v>
      </c>
      <c r="M265" s="30" t="s">
        <v>5843</v>
      </c>
      <c r="N265" s="20" t="s">
        <v>5876</v>
      </c>
      <c r="O265" s="6" t="s">
        <v>814</v>
      </c>
      <c r="P265" s="254" t="s">
        <v>5351</v>
      </c>
      <c r="Q265" s="49" t="n">
        <f aca="false">Workload!C7</f>
        <v>500</v>
      </c>
      <c r="R265" s="30" t="s">
        <v>814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5309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5883</v>
      </c>
      <c r="B266" s="254" t="s">
        <v>5304</v>
      </c>
      <c r="C266" s="30" t="s">
        <v>5863</v>
      </c>
      <c r="D266" s="30" t="s">
        <v>3345</v>
      </c>
      <c r="E266" s="20" t="s">
        <v>5882</v>
      </c>
      <c r="F266" s="30" t="s">
        <v>132</v>
      </c>
      <c r="G266" s="254" t="s">
        <v>5305</v>
      </c>
      <c r="H266" s="30" t="s">
        <v>814</v>
      </c>
      <c r="I266" s="6" t="s">
        <v>814</v>
      </c>
      <c r="J266" s="30" t="s">
        <v>5875</v>
      </c>
      <c r="K266" s="187" t="n">
        <f aca="false">Workload!D7*0.5</f>
        <v>250</v>
      </c>
      <c r="L266" s="187" t="n">
        <f aca="false">Workload!D7*2</f>
        <v>1000</v>
      </c>
      <c r="M266" s="30" t="s">
        <v>5843</v>
      </c>
      <c r="N266" s="20" t="s">
        <v>5876</v>
      </c>
      <c r="O266" s="6" t="s">
        <v>814</v>
      </c>
      <c r="P266" s="254" t="s">
        <v>5351</v>
      </c>
      <c r="Q266" s="49" t="n">
        <f aca="false">Workload!D7</f>
        <v>500</v>
      </c>
      <c r="R266" s="30" t="s">
        <v>814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5309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5884</v>
      </c>
      <c r="B267" s="254" t="s">
        <v>5304</v>
      </c>
      <c r="C267" s="30" t="s">
        <v>5863</v>
      </c>
      <c r="D267" s="30" t="s">
        <v>3245</v>
      </c>
      <c r="E267" s="20" t="s">
        <v>5882</v>
      </c>
      <c r="F267" s="30" t="s">
        <v>132</v>
      </c>
      <c r="G267" s="254" t="s">
        <v>5305</v>
      </c>
      <c r="H267" s="30" t="s">
        <v>814</v>
      </c>
      <c r="I267" s="6" t="s">
        <v>814</v>
      </c>
      <c r="J267" s="30" t="s">
        <v>5875</v>
      </c>
      <c r="K267" s="187" t="n">
        <f aca="false">Workload!E7*0.5</f>
        <v>600</v>
      </c>
      <c r="L267" s="187" t="n">
        <f aca="false">Workload!E7*2</f>
        <v>2400</v>
      </c>
      <c r="M267" s="30" t="s">
        <v>5843</v>
      </c>
      <c r="N267" s="20" t="s">
        <v>5876</v>
      </c>
      <c r="O267" s="6" t="s">
        <v>814</v>
      </c>
      <c r="P267" s="254" t="s">
        <v>5351</v>
      </c>
      <c r="Q267" s="49" t="n">
        <f aca="false">Workload!E7</f>
        <v>1200</v>
      </c>
      <c r="R267" s="30" t="s">
        <v>814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5309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5885</v>
      </c>
      <c r="B268" s="254" t="s">
        <v>5304</v>
      </c>
      <c r="C268" s="30" t="s">
        <v>5863</v>
      </c>
      <c r="D268" s="30" t="s">
        <v>3294</v>
      </c>
      <c r="E268" s="20" t="s">
        <v>5882</v>
      </c>
      <c r="F268" s="30" t="s">
        <v>132</v>
      </c>
      <c r="G268" s="254" t="s">
        <v>5305</v>
      </c>
      <c r="H268" s="30" t="s">
        <v>814</v>
      </c>
      <c r="I268" s="6" t="s">
        <v>814</v>
      </c>
      <c r="J268" s="30" t="s">
        <v>5875</v>
      </c>
      <c r="K268" s="187" t="n">
        <f aca="false">Workload!F7*0.5</f>
        <v>600</v>
      </c>
      <c r="L268" s="187" t="n">
        <f aca="false">Workload!F7*2</f>
        <v>2400</v>
      </c>
      <c r="M268" s="30" t="s">
        <v>5843</v>
      </c>
      <c r="N268" s="20" t="s">
        <v>5876</v>
      </c>
      <c r="O268" s="6" t="s">
        <v>814</v>
      </c>
      <c r="P268" s="254" t="s">
        <v>5351</v>
      </c>
      <c r="Q268" s="49" t="n">
        <f aca="false">Workload!F7</f>
        <v>1200</v>
      </c>
      <c r="R268" s="30" t="s">
        <v>814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5309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5886</v>
      </c>
      <c r="B269" s="254" t="s">
        <v>5304</v>
      </c>
      <c r="C269" s="30" t="s">
        <v>5863</v>
      </c>
      <c r="D269" s="30" t="s">
        <v>3295</v>
      </c>
      <c r="E269" s="20" t="s">
        <v>5882</v>
      </c>
      <c r="F269" s="30" t="s">
        <v>132</v>
      </c>
      <c r="G269" s="254" t="s">
        <v>5305</v>
      </c>
      <c r="H269" s="30" t="s">
        <v>814</v>
      </c>
      <c r="I269" s="6" t="s">
        <v>814</v>
      </c>
      <c r="J269" s="30" t="s">
        <v>5875</v>
      </c>
      <c r="K269" s="187" t="n">
        <f aca="false">Workload!G7*0.5</f>
        <v>1000</v>
      </c>
      <c r="L269" s="187" t="n">
        <f aca="false">Workload!G7*2</f>
        <v>4000</v>
      </c>
      <c r="M269" s="30" t="s">
        <v>5843</v>
      </c>
      <c r="N269" s="20" t="s">
        <v>5876</v>
      </c>
      <c r="O269" s="6" t="s">
        <v>814</v>
      </c>
      <c r="P269" s="254" t="s">
        <v>5351</v>
      </c>
      <c r="Q269" s="49" t="n">
        <f aca="false">Workload!G7</f>
        <v>2000</v>
      </c>
      <c r="R269" s="30" t="s">
        <v>814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5309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5887</v>
      </c>
      <c r="B270" s="254" t="s">
        <v>5304</v>
      </c>
      <c r="C270" s="30" t="s">
        <v>5863</v>
      </c>
      <c r="D270" s="30" t="s">
        <v>3209</v>
      </c>
      <c r="E270" s="20" t="s">
        <v>5888</v>
      </c>
      <c r="F270" s="30" t="s">
        <v>132</v>
      </c>
      <c r="G270" s="254" t="s">
        <v>5305</v>
      </c>
      <c r="H270" s="30" t="s">
        <v>814</v>
      </c>
      <c r="I270" s="6" t="s">
        <v>814</v>
      </c>
      <c r="J270" s="30" t="s">
        <v>5875</v>
      </c>
      <c r="K270" s="187" t="n">
        <f aca="false">Workload!C8*0.5</f>
        <v>0</v>
      </c>
      <c r="L270" s="187" t="n">
        <f aca="false">Workload!C8*2</f>
        <v>0</v>
      </c>
      <c r="M270" s="30" t="s">
        <v>5843</v>
      </c>
      <c r="N270" s="255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814</v>
      </c>
      <c r="P270" s="254" t="s">
        <v>5351</v>
      </c>
      <c r="Q270" s="49" t="n">
        <f aca="false">Workload!C8</f>
        <v>0</v>
      </c>
      <c r="R270" s="30" t="s">
        <v>814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5309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5889</v>
      </c>
      <c r="B271" s="254" t="s">
        <v>5304</v>
      </c>
      <c r="C271" s="30" t="s">
        <v>5863</v>
      </c>
      <c r="D271" s="30" t="s">
        <v>3386</v>
      </c>
      <c r="E271" s="20" t="s">
        <v>5888</v>
      </c>
      <c r="F271" s="30" t="s">
        <v>132</v>
      </c>
      <c r="G271" s="254" t="s">
        <v>5305</v>
      </c>
      <c r="H271" s="30" t="s">
        <v>814</v>
      </c>
      <c r="I271" s="6" t="s">
        <v>814</v>
      </c>
      <c r="J271" s="30" t="s">
        <v>5875</v>
      </c>
      <c r="K271" s="187" t="n">
        <f aca="false">Workload!D8*0.5</f>
        <v>1500</v>
      </c>
      <c r="L271" s="187" t="n">
        <f aca="false">Workload!D8*2</f>
        <v>6000</v>
      </c>
      <c r="M271" s="30" t="s">
        <v>5843</v>
      </c>
      <c r="N271" s="255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814</v>
      </c>
      <c r="P271" s="254" t="s">
        <v>5351</v>
      </c>
      <c r="Q271" s="49" t="n">
        <f aca="false">Workload!D8</f>
        <v>3000</v>
      </c>
      <c r="R271" s="30" t="s">
        <v>814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5309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5890</v>
      </c>
      <c r="B272" s="254" t="s">
        <v>5304</v>
      </c>
      <c r="C272" s="30" t="s">
        <v>5863</v>
      </c>
      <c r="D272" s="30" t="s">
        <v>3146</v>
      </c>
      <c r="E272" s="20" t="s">
        <v>5888</v>
      </c>
      <c r="F272" s="30" t="s">
        <v>132</v>
      </c>
      <c r="G272" s="254" t="s">
        <v>5305</v>
      </c>
      <c r="H272" s="30" t="s">
        <v>814</v>
      </c>
      <c r="I272" s="6" t="s">
        <v>814</v>
      </c>
      <c r="J272" s="30" t="s">
        <v>5875</v>
      </c>
      <c r="K272" s="187" t="n">
        <f aca="false">Workload!E8*0.5</f>
        <v>200</v>
      </c>
      <c r="L272" s="187" t="n">
        <f aca="false">Workload!E8*2</f>
        <v>800</v>
      </c>
      <c r="M272" s="30" t="s">
        <v>5843</v>
      </c>
      <c r="N272" s="255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814</v>
      </c>
      <c r="P272" s="254" t="s">
        <v>5351</v>
      </c>
      <c r="Q272" s="49" t="n">
        <f aca="false">Workload!E8</f>
        <v>400</v>
      </c>
      <c r="R272" s="30" t="s">
        <v>814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5309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5891</v>
      </c>
      <c r="B273" s="254" t="s">
        <v>5304</v>
      </c>
      <c r="C273" s="30" t="s">
        <v>5863</v>
      </c>
      <c r="D273" s="30" t="s">
        <v>3299</v>
      </c>
      <c r="E273" s="20" t="s">
        <v>5888</v>
      </c>
      <c r="F273" s="30" t="s">
        <v>132</v>
      </c>
      <c r="G273" s="254" t="s">
        <v>5305</v>
      </c>
      <c r="H273" s="30" t="s">
        <v>814</v>
      </c>
      <c r="I273" s="6" t="s">
        <v>814</v>
      </c>
      <c r="J273" s="30" t="s">
        <v>5875</v>
      </c>
      <c r="K273" s="187" t="n">
        <f aca="false">Workload!F8*0.5</f>
        <v>200</v>
      </c>
      <c r="L273" s="187" t="n">
        <f aca="false">Workload!F8*2</f>
        <v>800</v>
      </c>
      <c r="M273" s="30" t="s">
        <v>5843</v>
      </c>
      <c r="N273" s="255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814</v>
      </c>
      <c r="P273" s="254" t="s">
        <v>5351</v>
      </c>
      <c r="Q273" s="49" t="n">
        <f aca="false">Workload!F8</f>
        <v>400</v>
      </c>
      <c r="R273" s="30" t="s">
        <v>814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5309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5892</v>
      </c>
      <c r="B274" s="254" t="s">
        <v>5304</v>
      </c>
      <c r="C274" s="30" t="s">
        <v>5863</v>
      </c>
      <c r="D274" s="30" t="s">
        <v>3210</v>
      </c>
      <c r="E274" s="20" t="s">
        <v>5888</v>
      </c>
      <c r="F274" s="30" t="s">
        <v>132</v>
      </c>
      <c r="G274" s="254" t="s">
        <v>5305</v>
      </c>
      <c r="H274" s="30" t="s">
        <v>814</v>
      </c>
      <c r="I274" s="6" t="s">
        <v>814</v>
      </c>
      <c r="J274" s="30" t="s">
        <v>5875</v>
      </c>
      <c r="K274" s="187" t="n">
        <f aca="false">Workload!G8*0.5</f>
        <v>300</v>
      </c>
      <c r="L274" s="187" t="n">
        <f aca="false">Workload!G8*2</f>
        <v>1200</v>
      </c>
      <c r="M274" s="30" t="s">
        <v>5843</v>
      </c>
      <c r="N274" s="255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814</v>
      </c>
      <c r="P274" s="254" t="s">
        <v>1441</v>
      </c>
      <c r="Q274" s="49" t="n">
        <f aca="false">Workload!G8</f>
        <v>600</v>
      </c>
      <c r="R274" s="30" t="s">
        <v>814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5309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5893</v>
      </c>
      <c r="B275" s="254" t="s">
        <v>5304</v>
      </c>
      <c r="C275" s="30" t="s">
        <v>5863</v>
      </c>
      <c r="D275" s="30" t="s">
        <v>3211</v>
      </c>
      <c r="E275" s="20" t="s">
        <v>5894</v>
      </c>
      <c r="F275" s="30" t="s">
        <v>132</v>
      </c>
      <c r="G275" s="254" t="s">
        <v>5305</v>
      </c>
      <c r="H275" s="30" t="s">
        <v>814</v>
      </c>
      <c r="I275" s="6" t="s">
        <v>814</v>
      </c>
      <c r="J275" s="30" t="s">
        <v>5875</v>
      </c>
      <c r="K275" s="187" t="n">
        <f aca="false">Workload!C9*0.5</f>
        <v>250</v>
      </c>
      <c r="L275" s="187" t="n">
        <f aca="false">Workload!C9*2</f>
        <v>1000</v>
      </c>
      <c r="M275" s="30" t="s">
        <v>5843</v>
      </c>
      <c r="N275" s="20" t="s">
        <v>5876</v>
      </c>
      <c r="O275" s="6" t="s">
        <v>814</v>
      </c>
      <c r="P275" s="254" t="s">
        <v>5351</v>
      </c>
      <c r="Q275" s="49" t="n">
        <f aca="false">Workload!C9</f>
        <v>500</v>
      </c>
      <c r="R275" s="30" t="s">
        <v>814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5309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5895</v>
      </c>
      <c r="B276" s="254" t="s">
        <v>5304</v>
      </c>
      <c r="C276" s="30" t="s">
        <v>5863</v>
      </c>
      <c r="D276" s="30" t="s">
        <v>3147</v>
      </c>
      <c r="E276" s="20" t="s">
        <v>5894</v>
      </c>
      <c r="F276" s="30" t="s">
        <v>132</v>
      </c>
      <c r="G276" s="254" t="s">
        <v>5305</v>
      </c>
      <c r="H276" s="30" t="s">
        <v>814</v>
      </c>
      <c r="I276" s="6" t="s">
        <v>814</v>
      </c>
      <c r="J276" s="30" t="s">
        <v>5875</v>
      </c>
      <c r="K276" s="187" t="n">
        <f aca="false">Workload!D9*0.5</f>
        <v>350</v>
      </c>
      <c r="L276" s="187" t="n">
        <f aca="false">Workload!D9*2</f>
        <v>1400</v>
      </c>
      <c r="M276" s="30" t="s">
        <v>5843</v>
      </c>
      <c r="N276" s="20" t="s">
        <v>5876</v>
      </c>
      <c r="O276" s="6" t="s">
        <v>814</v>
      </c>
      <c r="P276" s="254" t="s">
        <v>5351</v>
      </c>
      <c r="Q276" s="49" t="n">
        <f aca="false">Workload!D9</f>
        <v>700</v>
      </c>
      <c r="R276" s="30" t="s">
        <v>814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5309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5896</v>
      </c>
      <c r="B277" s="254" t="s">
        <v>5304</v>
      </c>
      <c r="C277" s="30" t="s">
        <v>5863</v>
      </c>
      <c r="D277" s="30" t="s">
        <v>3148</v>
      </c>
      <c r="E277" s="20" t="s">
        <v>5894</v>
      </c>
      <c r="F277" s="30" t="s">
        <v>132</v>
      </c>
      <c r="G277" s="254" t="s">
        <v>5305</v>
      </c>
      <c r="H277" s="30" t="s">
        <v>814</v>
      </c>
      <c r="I277" s="6" t="s">
        <v>814</v>
      </c>
      <c r="J277" s="30" t="s">
        <v>5875</v>
      </c>
      <c r="K277" s="187" t="n">
        <f aca="false">Workload!E9*0.5</f>
        <v>100</v>
      </c>
      <c r="L277" s="187" t="n">
        <f aca="false">Workload!E9*2</f>
        <v>400</v>
      </c>
      <c r="M277" s="30" t="s">
        <v>5843</v>
      </c>
      <c r="N277" s="20" t="s">
        <v>5876</v>
      </c>
      <c r="O277" s="6" t="s">
        <v>814</v>
      </c>
      <c r="P277" s="254" t="s">
        <v>5351</v>
      </c>
      <c r="Q277" s="49" t="n">
        <f aca="false">Workload!E9</f>
        <v>200</v>
      </c>
      <c r="R277" s="30" t="s">
        <v>814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5309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5897</v>
      </c>
      <c r="B278" s="254" t="s">
        <v>5304</v>
      </c>
      <c r="C278" s="30" t="s">
        <v>5863</v>
      </c>
      <c r="D278" s="30" t="s">
        <v>3149</v>
      </c>
      <c r="E278" s="20" t="s">
        <v>5894</v>
      </c>
      <c r="F278" s="30" t="s">
        <v>132</v>
      </c>
      <c r="G278" s="254" t="s">
        <v>5305</v>
      </c>
      <c r="H278" s="30" t="s">
        <v>814</v>
      </c>
      <c r="I278" s="6" t="s">
        <v>814</v>
      </c>
      <c r="J278" s="30" t="s">
        <v>5875</v>
      </c>
      <c r="K278" s="187" t="n">
        <f aca="false">Workload!F9*0.5</f>
        <v>100</v>
      </c>
      <c r="L278" s="187" t="n">
        <f aca="false">Workload!F9*2</f>
        <v>400</v>
      </c>
      <c r="M278" s="30" t="s">
        <v>5843</v>
      </c>
      <c r="N278" s="20" t="s">
        <v>5876</v>
      </c>
      <c r="O278" s="6" t="s">
        <v>814</v>
      </c>
      <c r="P278" s="254" t="s">
        <v>5351</v>
      </c>
      <c r="Q278" s="49" t="n">
        <f aca="false">Workload!F9</f>
        <v>200</v>
      </c>
      <c r="R278" s="30" t="s">
        <v>814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5309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5898</v>
      </c>
      <c r="B279" s="254" t="s">
        <v>5304</v>
      </c>
      <c r="C279" s="30" t="s">
        <v>5863</v>
      </c>
      <c r="D279" s="30" t="s">
        <v>3212</v>
      </c>
      <c r="E279" s="20" t="s">
        <v>5894</v>
      </c>
      <c r="F279" s="30" t="s">
        <v>132</v>
      </c>
      <c r="G279" s="254" t="s">
        <v>5305</v>
      </c>
      <c r="H279" s="30" t="s">
        <v>814</v>
      </c>
      <c r="I279" s="6" t="s">
        <v>814</v>
      </c>
      <c r="J279" s="30" t="s">
        <v>5875</v>
      </c>
      <c r="K279" s="187" t="n">
        <f aca="false">Workload!G9*0.5</f>
        <v>200</v>
      </c>
      <c r="L279" s="187" t="n">
        <f aca="false">Workload!G9*2</f>
        <v>800</v>
      </c>
      <c r="M279" s="30" t="s">
        <v>5843</v>
      </c>
      <c r="N279" s="20" t="s">
        <v>5899</v>
      </c>
      <c r="O279" s="6" t="s">
        <v>814</v>
      </c>
      <c r="P279" s="254" t="s">
        <v>1441</v>
      </c>
      <c r="Q279" s="49" t="n">
        <f aca="false">Workload!G9</f>
        <v>400</v>
      </c>
      <c r="R279" s="30" t="s">
        <v>814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5309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5900</v>
      </c>
      <c r="B280" s="254" t="s">
        <v>5304</v>
      </c>
      <c r="C280" s="30" t="s">
        <v>5863</v>
      </c>
      <c r="D280" s="30" t="s">
        <v>3213</v>
      </c>
      <c r="E280" s="20" t="s">
        <v>5901</v>
      </c>
      <c r="F280" s="30" t="s">
        <v>132</v>
      </c>
      <c r="G280" s="254" t="s">
        <v>5305</v>
      </c>
      <c r="H280" s="30" t="s">
        <v>814</v>
      </c>
      <c r="I280" s="6" t="s">
        <v>814</v>
      </c>
      <c r="J280" s="30" t="s">
        <v>5875</v>
      </c>
      <c r="K280" s="256" t="n">
        <v>0</v>
      </c>
      <c r="L280" s="256" t="n">
        <v>1</v>
      </c>
      <c r="M280" s="30" t="s">
        <v>5902</v>
      </c>
      <c r="N280" s="255" t="str">
        <f aca="false">Workload!$H$10</f>
        <v>Assumed：多數 API 不保留前輪思考（標準 harness）</v>
      </c>
      <c r="O280" s="6" t="s">
        <v>814</v>
      </c>
      <c r="P280" s="254" t="s">
        <v>5308</v>
      </c>
      <c r="Q280" s="197" t="n">
        <f aca="false">Workload!C10</f>
        <v>0</v>
      </c>
      <c r="R280" s="30" t="s">
        <v>814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5309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5903</v>
      </c>
      <c r="B281" s="254" t="s">
        <v>5304</v>
      </c>
      <c r="C281" s="30" t="s">
        <v>5863</v>
      </c>
      <c r="D281" s="30" t="s">
        <v>3150</v>
      </c>
      <c r="E281" s="20" t="s">
        <v>5901</v>
      </c>
      <c r="F281" s="30" t="s">
        <v>132</v>
      </c>
      <c r="G281" s="254" t="s">
        <v>5305</v>
      </c>
      <c r="H281" s="30" t="s">
        <v>814</v>
      </c>
      <c r="I281" s="6" t="s">
        <v>814</v>
      </c>
      <c r="J281" s="30" t="s">
        <v>5875</v>
      </c>
      <c r="K281" s="256" t="n">
        <v>0</v>
      </c>
      <c r="L281" s="256" t="n">
        <v>1</v>
      </c>
      <c r="M281" s="30" t="s">
        <v>5902</v>
      </c>
      <c r="N281" s="255" t="str">
        <f aca="false">Workload!$H$10</f>
        <v>Assumed：多數 API 不保留前輪思考（標準 harness）</v>
      </c>
      <c r="O281" s="6" t="s">
        <v>814</v>
      </c>
      <c r="P281" s="254" t="s">
        <v>5308</v>
      </c>
      <c r="Q281" s="197" t="n">
        <f aca="false">Workload!D10</f>
        <v>0</v>
      </c>
      <c r="R281" s="30" t="s">
        <v>814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5309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5904</v>
      </c>
      <c r="B282" s="254" t="s">
        <v>5304</v>
      </c>
      <c r="C282" s="30" t="s">
        <v>5863</v>
      </c>
      <c r="D282" s="30" t="s">
        <v>3151</v>
      </c>
      <c r="E282" s="20" t="s">
        <v>5901</v>
      </c>
      <c r="F282" s="30" t="s">
        <v>132</v>
      </c>
      <c r="G282" s="254" t="s">
        <v>5305</v>
      </c>
      <c r="H282" s="30" t="s">
        <v>814</v>
      </c>
      <c r="I282" s="6" t="s">
        <v>814</v>
      </c>
      <c r="J282" s="30" t="s">
        <v>5875</v>
      </c>
      <c r="K282" s="256" t="n">
        <v>0</v>
      </c>
      <c r="L282" s="256" t="n">
        <v>1</v>
      </c>
      <c r="M282" s="30" t="s">
        <v>5902</v>
      </c>
      <c r="N282" s="255" t="str">
        <f aca="false">Workload!$H$10</f>
        <v>Assumed：多數 API 不保留前輪思考（標準 harness）</v>
      </c>
      <c r="O282" s="6" t="s">
        <v>814</v>
      </c>
      <c r="P282" s="254" t="s">
        <v>5308</v>
      </c>
      <c r="Q282" s="197" t="n">
        <f aca="false">Workload!E10</f>
        <v>0</v>
      </c>
      <c r="R282" s="30" t="s">
        <v>814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5309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5905</v>
      </c>
      <c r="B283" s="254" t="s">
        <v>5304</v>
      </c>
      <c r="C283" s="30" t="s">
        <v>5863</v>
      </c>
      <c r="D283" s="30" t="s">
        <v>3152</v>
      </c>
      <c r="E283" s="20" t="s">
        <v>5901</v>
      </c>
      <c r="F283" s="30" t="s">
        <v>132</v>
      </c>
      <c r="G283" s="254" t="s">
        <v>5305</v>
      </c>
      <c r="H283" s="30" t="s">
        <v>814</v>
      </c>
      <c r="I283" s="6" t="s">
        <v>814</v>
      </c>
      <c r="J283" s="30" t="s">
        <v>5875</v>
      </c>
      <c r="K283" s="256" t="n">
        <v>0</v>
      </c>
      <c r="L283" s="256" t="n">
        <v>1</v>
      </c>
      <c r="M283" s="30" t="s">
        <v>5902</v>
      </c>
      <c r="N283" s="255" t="str">
        <f aca="false">Workload!$H$10</f>
        <v>Assumed：多數 API 不保留前輪思考（標準 harness）</v>
      </c>
      <c r="O283" s="6" t="s">
        <v>814</v>
      </c>
      <c r="P283" s="254" t="s">
        <v>5308</v>
      </c>
      <c r="Q283" s="197" t="n">
        <f aca="false">Workload!F10</f>
        <v>0</v>
      </c>
      <c r="R283" s="30" t="s">
        <v>814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5309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5906</v>
      </c>
      <c r="B284" s="254" t="s">
        <v>5304</v>
      </c>
      <c r="C284" s="30" t="s">
        <v>5863</v>
      </c>
      <c r="D284" s="30" t="s">
        <v>3214</v>
      </c>
      <c r="E284" s="20" t="s">
        <v>5901</v>
      </c>
      <c r="F284" s="30" t="s">
        <v>132</v>
      </c>
      <c r="G284" s="254" t="s">
        <v>5305</v>
      </c>
      <c r="H284" s="30" t="s">
        <v>814</v>
      </c>
      <c r="I284" s="6" t="s">
        <v>814</v>
      </c>
      <c r="J284" s="30" t="s">
        <v>5875</v>
      </c>
      <c r="K284" s="256" t="n">
        <v>0</v>
      </c>
      <c r="L284" s="256" t="n">
        <v>1</v>
      </c>
      <c r="M284" s="30" t="s">
        <v>5902</v>
      </c>
      <c r="N284" s="255" t="str">
        <f aca="false">Workload!$H$10</f>
        <v>Assumed：多數 API 不保留前輪思考（標準 harness）</v>
      </c>
      <c r="O284" s="6" t="s">
        <v>814</v>
      </c>
      <c r="P284" s="254" t="s">
        <v>5308</v>
      </c>
      <c r="Q284" s="197" t="n">
        <f aca="false">Workload!G10</f>
        <v>0</v>
      </c>
      <c r="R284" s="30" t="s">
        <v>814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5309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5907</v>
      </c>
      <c r="B285" s="254" t="s">
        <v>5304</v>
      </c>
      <c r="C285" s="30" t="s">
        <v>5863</v>
      </c>
      <c r="D285" s="30" t="s">
        <v>3215</v>
      </c>
      <c r="E285" s="20" t="s">
        <v>5908</v>
      </c>
      <c r="F285" s="30" t="s">
        <v>132</v>
      </c>
      <c r="G285" s="254" t="s">
        <v>5305</v>
      </c>
      <c r="H285" s="30" t="s">
        <v>814</v>
      </c>
      <c r="I285" s="6" t="s">
        <v>814</v>
      </c>
      <c r="J285" s="30" t="s">
        <v>5875</v>
      </c>
      <c r="K285" s="256" t="n">
        <v>0.3</v>
      </c>
      <c r="L285" s="256" t="n">
        <v>0.7</v>
      </c>
      <c r="M285" s="30" t="s">
        <v>5909</v>
      </c>
      <c r="N285" s="255" t="str">
        <f aca="false">Workload!$H$11</f>
        <v>Assumed；代理迴圈前綴重用高</v>
      </c>
      <c r="O285" s="6" t="s">
        <v>814</v>
      </c>
      <c r="P285" s="254" t="s">
        <v>1441</v>
      </c>
      <c r="Q285" s="197" t="n">
        <f aca="false">Workload!C11</f>
        <v>0.5</v>
      </c>
      <c r="R285" s="30" t="s">
        <v>814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5309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5910</v>
      </c>
      <c r="B286" s="254" t="s">
        <v>5304</v>
      </c>
      <c r="C286" s="30" t="s">
        <v>5863</v>
      </c>
      <c r="D286" s="30" t="s">
        <v>3153</v>
      </c>
      <c r="E286" s="20" t="s">
        <v>5908</v>
      </c>
      <c r="F286" s="30" t="s">
        <v>132</v>
      </c>
      <c r="G286" s="254" t="s">
        <v>5305</v>
      </c>
      <c r="H286" s="30" t="s">
        <v>814</v>
      </c>
      <c r="I286" s="6" t="s">
        <v>814</v>
      </c>
      <c r="J286" s="30" t="s">
        <v>5875</v>
      </c>
      <c r="K286" s="256" t="n">
        <v>0.3</v>
      </c>
      <c r="L286" s="256" t="n">
        <v>0.7</v>
      </c>
      <c r="M286" s="30" t="s">
        <v>5909</v>
      </c>
      <c r="N286" s="255" t="str">
        <f aca="false">Workload!$H$11</f>
        <v>Assumed；代理迴圈前綴重用高</v>
      </c>
      <c r="O286" s="6" t="s">
        <v>814</v>
      </c>
      <c r="P286" s="254" t="s">
        <v>1441</v>
      </c>
      <c r="Q286" s="197" t="n">
        <f aca="false">Workload!D11</f>
        <v>0.5</v>
      </c>
      <c r="R286" s="30" t="s">
        <v>814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5309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5911</v>
      </c>
      <c r="B287" s="254" t="s">
        <v>5304</v>
      </c>
      <c r="C287" s="30" t="s">
        <v>5863</v>
      </c>
      <c r="D287" s="30" t="s">
        <v>3154</v>
      </c>
      <c r="E287" s="20" t="s">
        <v>5908</v>
      </c>
      <c r="F287" s="30" t="s">
        <v>132</v>
      </c>
      <c r="G287" s="254" t="s">
        <v>5305</v>
      </c>
      <c r="H287" s="30" t="s">
        <v>814</v>
      </c>
      <c r="I287" s="6" t="s">
        <v>814</v>
      </c>
      <c r="J287" s="30" t="s">
        <v>5875</v>
      </c>
      <c r="K287" s="256" t="n">
        <v>0.7</v>
      </c>
      <c r="L287" s="256" t="n">
        <v>0.95</v>
      </c>
      <c r="M287" s="30" t="s">
        <v>5912</v>
      </c>
      <c r="N287" s="255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814</v>
      </c>
      <c r="P287" s="254" t="s">
        <v>1441</v>
      </c>
      <c r="Q287" s="197" t="n">
        <f aca="false">Workload!E11</f>
        <v>0.9</v>
      </c>
      <c r="R287" s="30" t="s">
        <v>814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5309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5913</v>
      </c>
      <c r="B288" s="254" t="s">
        <v>5304</v>
      </c>
      <c r="C288" s="30" t="s">
        <v>5863</v>
      </c>
      <c r="D288" s="30" t="s">
        <v>3155</v>
      </c>
      <c r="E288" s="20" t="s">
        <v>5908</v>
      </c>
      <c r="F288" s="30" t="s">
        <v>132</v>
      </c>
      <c r="G288" s="254" t="s">
        <v>5305</v>
      </c>
      <c r="H288" s="30" t="s">
        <v>814</v>
      </c>
      <c r="I288" s="6" t="s">
        <v>814</v>
      </c>
      <c r="J288" s="30" t="s">
        <v>5875</v>
      </c>
      <c r="K288" s="256" t="n">
        <v>0.7</v>
      </c>
      <c r="L288" s="256" t="n">
        <v>0.95</v>
      </c>
      <c r="M288" s="30" t="s">
        <v>5912</v>
      </c>
      <c r="N288" s="255" t="str">
        <f aca="false">Workload!$H$11</f>
        <v>Assumed；代理迴圈前綴重用高</v>
      </c>
      <c r="O288" s="6" t="s">
        <v>814</v>
      </c>
      <c r="P288" s="254" t="s">
        <v>1441</v>
      </c>
      <c r="Q288" s="197" t="n">
        <f aca="false">Workload!F11</f>
        <v>0.9</v>
      </c>
      <c r="R288" s="30" t="s">
        <v>814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5309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5914</v>
      </c>
      <c r="B289" s="254" t="s">
        <v>5304</v>
      </c>
      <c r="C289" s="30" t="s">
        <v>5863</v>
      </c>
      <c r="D289" s="30" t="s">
        <v>3309</v>
      </c>
      <c r="E289" s="20" t="s">
        <v>5908</v>
      </c>
      <c r="F289" s="30" t="s">
        <v>132</v>
      </c>
      <c r="G289" s="254" t="s">
        <v>5305</v>
      </c>
      <c r="H289" s="30" t="s">
        <v>814</v>
      </c>
      <c r="I289" s="6" t="s">
        <v>814</v>
      </c>
      <c r="J289" s="30" t="s">
        <v>5875</v>
      </c>
      <c r="K289" s="256" t="n">
        <v>0.7</v>
      </c>
      <c r="L289" s="256" t="n">
        <v>0.95</v>
      </c>
      <c r="M289" s="30" t="s">
        <v>5912</v>
      </c>
      <c r="N289" s="255" t="str">
        <f aca="false">Workload!$H$11</f>
        <v>Assumed；代理迴圈前綴重用高</v>
      </c>
      <c r="O289" s="6" t="s">
        <v>814</v>
      </c>
      <c r="P289" s="254" t="s">
        <v>1441</v>
      </c>
      <c r="Q289" s="197" t="n">
        <f aca="false">Workload!G11</f>
        <v>0.9</v>
      </c>
      <c r="R289" s="30" t="s">
        <v>814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5309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5915</v>
      </c>
      <c r="B290" s="254" t="s">
        <v>5304</v>
      </c>
      <c r="C290" s="30" t="s">
        <v>5863</v>
      </c>
      <c r="D290" s="30" t="s">
        <v>3216</v>
      </c>
      <c r="E290" s="20" t="s">
        <v>5916</v>
      </c>
      <c r="F290" s="30" t="s">
        <v>132</v>
      </c>
      <c r="G290" s="254" t="s">
        <v>5305</v>
      </c>
      <c r="H290" s="30" t="s">
        <v>814</v>
      </c>
      <c r="I290" s="6" t="s">
        <v>814</v>
      </c>
      <c r="J290" s="30" t="s">
        <v>5875</v>
      </c>
      <c r="K290" s="256" t="n">
        <v>0</v>
      </c>
      <c r="L290" s="187" t="n">
        <f aca="false">MAX(1,Workload!C12*2)</f>
        <v>1</v>
      </c>
      <c r="M290" s="30" t="s">
        <v>5917</v>
      </c>
      <c r="N290" s="255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814</v>
      </c>
      <c r="P290" s="254" t="s">
        <v>5308</v>
      </c>
      <c r="Q290" s="33" t="n">
        <f aca="false">Workload!C12</f>
        <v>0</v>
      </c>
      <c r="R290" s="30" t="s">
        <v>814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5309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5918</v>
      </c>
      <c r="B291" s="254" t="s">
        <v>5304</v>
      </c>
      <c r="C291" s="30" t="s">
        <v>5863</v>
      </c>
      <c r="D291" s="30" t="s">
        <v>3217</v>
      </c>
      <c r="E291" s="20" t="s">
        <v>5916</v>
      </c>
      <c r="F291" s="30" t="s">
        <v>132</v>
      </c>
      <c r="G291" s="254" t="s">
        <v>5305</v>
      </c>
      <c r="H291" s="30" t="s">
        <v>814</v>
      </c>
      <c r="I291" s="6" t="s">
        <v>814</v>
      </c>
      <c r="J291" s="30" t="s">
        <v>5875</v>
      </c>
      <c r="K291" s="256" t="n">
        <v>0</v>
      </c>
      <c r="L291" s="187" t="n">
        <f aca="false">MAX(1,Workload!D12*2)</f>
        <v>1</v>
      </c>
      <c r="M291" s="30" t="s">
        <v>5917</v>
      </c>
      <c r="N291" s="255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814</v>
      </c>
      <c r="P291" s="254" t="s">
        <v>5308</v>
      </c>
      <c r="Q291" s="33" t="n">
        <f aca="false">Workload!D12</f>
        <v>0</v>
      </c>
      <c r="R291" s="30" t="s">
        <v>814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5309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5919</v>
      </c>
      <c r="B292" s="254" t="s">
        <v>5304</v>
      </c>
      <c r="C292" s="30" t="s">
        <v>5863</v>
      </c>
      <c r="D292" s="30" t="s">
        <v>3218</v>
      </c>
      <c r="E292" s="20" t="s">
        <v>5916</v>
      </c>
      <c r="F292" s="30" t="s">
        <v>132</v>
      </c>
      <c r="G292" s="254" t="s">
        <v>5305</v>
      </c>
      <c r="H292" s="30" t="s">
        <v>814</v>
      </c>
      <c r="I292" s="6" t="s">
        <v>814</v>
      </c>
      <c r="J292" s="30" t="s">
        <v>5875</v>
      </c>
      <c r="K292" s="256" t="n">
        <v>0</v>
      </c>
      <c r="L292" s="187" t="n">
        <f aca="false">MAX(1,Workload!E12*2)</f>
        <v>1</v>
      </c>
      <c r="M292" s="30" t="s">
        <v>5917</v>
      </c>
      <c r="N292" s="255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814</v>
      </c>
      <c r="P292" s="254" t="s">
        <v>5308</v>
      </c>
      <c r="Q292" s="33" t="n">
        <f aca="false">Workload!E12</f>
        <v>0</v>
      </c>
      <c r="R292" s="30" t="s">
        <v>814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5309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5920</v>
      </c>
      <c r="B293" s="254" t="s">
        <v>5304</v>
      </c>
      <c r="C293" s="30" t="s">
        <v>5863</v>
      </c>
      <c r="D293" s="30" t="s">
        <v>3219</v>
      </c>
      <c r="E293" s="20" t="s">
        <v>5916</v>
      </c>
      <c r="F293" s="30" t="s">
        <v>132</v>
      </c>
      <c r="G293" s="254" t="s">
        <v>5305</v>
      </c>
      <c r="H293" s="30" t="s">
        <v>814</v>
      </c>
      <c r="I293" s="6" t="s">
        <v>814</v>
      </c>
      <c r="J293" s="30" t="s">
        <v>5875</v>
      </c>
      <c r="K293" s="256" t="n">
        <v>0</v>
      </c>
      <c r="L293" s="187" t="n">
        <f aca="false">MAX(1,Workload!F12*2)</f>
        <v>6</v>
      </c>
      <c r="M293" s="30" t="s">
        <v>5917</v>
      </c>
      <c r="N293" s="255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814</v>
      </c>
      <c r="P293" s="254" t="s">
        <v>5308</v>
      </c>
      <c r="Q293" s="33" t="n">
        <f aca="false">Workload!F12</f>
        <v>3</v>
      </c>
      <c r="R293" s="30" t="s">
        <v>814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5309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5921</v>
      </c>
      <c r="B294" s="254" t="s">
        <v>5304</v>
      </c>
      <c r="C294" s="30" t="s">
        <v>5863</v>
      </c>
      <c r="D294" s="30" t="s">
        <v>3313</v>
      </c>
      <c r="E294" s="20" t="s">
        <v>5916</v>
      </c>
      <c r="F294" s="30" t="s">
        <v>132</v>
      </c>
      <c r="G294" s="254" t="s">
        <v>5305</v>
      </c>
      <c r="H294" s="30" t="s">
        <v>814</v>
      </c>
      <c r="I294" s="6" t="s">
        <v>814</v>
      </c>
      <c r="J294" s="30" t="s">
        <v>5875</v>
      </c>
      <c r="K294" s="256" t="n">
        <v>0</v>
      </c>
      <c r="L294" s="187" t="n">
        <f aca="false">MAX(1,Workload!G12*2)</f>
        <v>1</v>
      </c>
      <c r="M294" s="30" t="s">
        <v>5917</v>
      </c>
      <c r="N294" s="255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814</v>
      </c>
      <c r="P294" s="254" t="s">
        <v>1441</v>
      </c>
      <c r="Q294" s="33" t="n">
        <f aca="false">Workload!G12</f>
        <v>0</v>
      </c>
      <c r="R294" s="30" t="s">
        <v>814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5309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5922</v>
      </c>
      <c r="B295" s="254" t="s">
        <v>5304</v>
      </c>
      <c r="C295" s="30" t="s">
        <v>5863</v>
      </c>
      <c r="D295" s="30" t="s">
        <v>3220</v>
      </c>
      <c r="E295" s="6" t="s">
        <v>449</v>
      </c>
      <c r="F295" s="30" t="s">
        <v>122</v>
      </c>
      <c r="G295" s="254" t="s">
        <v>5305</v>
      </c>
      <c r="H295" s="30" t="s">
        <v>814</v>
      </c>
      <c r="I295" s="6" t="s">
        <v>814</v>
      </c>
      <c r="J295" s="30" t="s">
        <v>5923</v>
      </c>
      <c r="K295" s="254"/>
      <c r="L295" s="254"/>
      <c r="M295" s="30" t="s">
        <v>814</v>
      </c>
      <c r="N295" s="6" t="s">
        <v>5924</v>
      </c>
      <c r="O295" s="6" t="s">
        <v>814</v>
      </c>
      <c r="P295" s="254" t="s">
        <v>1441</v>
      </c>
      <c r="Q295" s="195" t="n">
        <f aca="false">Workload!C13</f>
        <v>1</v>
      </c>
      <c r="R295" s="30" t="s">
        <v>814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5309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5925</v>
      </c>
      <c r="B296" s="254" t="s">
        <v>5304</v>
      </c>
      <c r="C296" s="30" t="s">
        <v>5863</v>
      </c>
      <c r="D296" s="30" t="s">
        <v>3249</v>
      </c>
      <c r="E296" s="20" t="s">
        <v>5926</v>
      </c>
      <c r="F296" s="30" t="s">
        <v>122</v>
      </c>
      <c r="G296" s="254" t="s">
        <v>5305</v>
      </c>
      <c r="H296" s="30" t="s">
        <v>814</v>
      </c>
      <c r="I296" s="6" t="s">
        <v>814</v>
      </c>
      <c r="J296" s="30" t="s">
        <v>5927</v>
      </c>
      <c r="K296" s="254"/>
      <c r="L296" s="254"/>
      <c r="M296" s="30" t="s">
        <v>814</v>
      </c>
      <c r="N296" s="20" t="s">
        <v>5928</v>
      </c>
      <c r="O296" s="6" t="s">
        <v>814</v>
      </c>
      <c r="P296" s="254" t="s">
        <v>5351</v>
      </c>
      <c r="Q296" s="195" t="n">
        <f aca="false">Workload!C14</f>
        <v>1</v>
      </c>
      <c r="R296" s="30" t="s">
        <v>814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5309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5929</v>
      </c>
      <c r="B297" s="254" t="s">
        <v>5304</v>
      </c>
      <c r="C297" s="30" t="s">
        <v>5863</v>
      </c>
      <c r="D297" s="30" t="s">
        <v>3156</v>
      </c>
      <c r="E297" s="6" t="s">
        <v>449</v>
      </c>
      <c r="F297" s="30" t="s">
        <v>122</v>
      </c>
      <c r="G297" s="254" t="s">
        <v>5305</v>
      </c>
      <c r="H297" s="30" t="s">
        <v>814</v>
      </c>
      <c r="I297" s="6" t="s">
        <v>814</v>
      </c>
      <c r="J297" s="30" t="s">
        <v>5923</v>
      </c>
      <c r="K297" s="254"/>
      <c r="L297" s="254"/>
      <c r="M297" s="30" t="s">
        <v>814</v>
      </c>
      <c r="N297" s="6" t="s">
        <v>5924</v>
      </c>
      <c r="O297" s="6" t="s">
        <v>814</v>
      </c>
      <c r="P297" s="254" t="s">
        <v>1441</v>
      </c>
      <c r="Q297" s="195" t="n">
        <f aca="false">Workload!D13</f>
        <v>1</v>
      </c>
      <c r="R297" s="30" t="s">
        <v>814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5309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5930</v>
      </c>
      <c r="B298" s="254" t="s">
        <v>5304</v>
      </c>
      <c r="C298" s="30" t="s">
        <v>5863</v>
      </c>
      <c r="D298" s="30" t="s">
        <v>3158</v>
      </c>
      <c r="E298" s="20" t="s">
        <v>5926</v>
      </c>
      <c r="F298" s="30" t="s">
        <v>122</v>
      </c>
      <c r="G298" s="254" t="s">
        <v>5305</v>
      </c>
      <c r="H298" s="30" t="s">
        <v>814</v>
      </c>
      <c r="I298" s="6" t="s">
        <v>814</v>
      </c>
      <c r="J298" s="30" t="s">
        <v>5927</v>
      </c>
      <c r="K298" s="254"/>
      <c r="L298" s="254"/>
      <c r="M298" s="30" t="s">
        <v>814</v>
      </c>
      <c r="N298" s="20" t="s">
        <v>5928</v>
      </c>
      <c r="O298" s="6" t="s">
        <v>814</v>
      </c>
      <c r="P298" s="254" t="s">
        <v>5351</v>
      </c>
      <c r="Q298" s="195" t="n">
        <f aca="false">Workload!D14</f>
        <v>1</v>
      </c>
      <c r="R298" s="30" t="s">
        <v>814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5309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5931</v>
      </c>
      <c r="B299" s="254" t="s">
        <v>5304</v>
      </c>
      <c r="C299" s="30" t="s">
        <v>5863</v>
      </c>
      <c r="D299" s="30" t="s">
        <v>3157</v>
      </c>
      <c r="E299" s="6" t="s">
        <v>449</v>
      </c>
      <c r="F299" s="30" t="s">
        <v>122</v>
      </c>
      <c r="G299" s="254" t="s">
        <v>5305</v>
      </c>
      <c r="H299" s="30" t="s">
        <v>814</v>
      </c>
      <c r="I299" s="6" t="s">
        <v>814</v>
      </c>
      <c r="J299" s="30" t="s">
        <v>5923</v>
      </c>
      <c r="K299" s="254"/>
      <c r="L299" s="254"/>
      <c r="M299" s="30" t="s">
        <v>814</v>
      </c>
      <c r="N299" s="6" t="s">
        <v>5924</v>
      </c>
      <c r="O299" s="6" t="s">
        <v>814</v>
      </c>
      <c r="P299" s="254" t="s">
        <v>1441</v>
      </c>
      <c r="Q299" s="195" t="n">
        <f aca="false">Workload!E13</f>
        <v>1</v>
      </c>
      <c r="R299" s="30" t="s">
        <v>814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5309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5932</v>
      </c>
      <c r="B300" s="254" t="s">
        <v>5304</v>
      </c>
      <c r="C300" s="30" t="s">
        <v>5863</v>
      </c>
      <c r="D300" s="30" t="s">
        <v>3159</v>
      </c>
      <c r="E300" s="20" t="s">
        <v>5926</v>
      </c>
      <c r="F300" s="30" t="s">
        <v>122</v>
      </c>
      <c r="G300" s="254" t="s">
        <v>5305</v>
      </c>
      <c r="H300" s="30" t="s">
        <v>814</v>
      </c>
      <c r="I300" s="6" t="s">
        <v>814</v>
      </c>
      <c r="J300" s="30" t="s">
        <v>5927</v>
      </c>
      <c r="K300" s="254"/>
      <c r="L300" s="254"/>
      <c r="M300" s="30" t="s">
        <v>814</v>
      </c>
      <c r="N300" s="20" t="s">
        <v>5928</v>
      </c>
      <c r="O300" s="6" t="s">
        <v>814</v>
      </c>
      <c r="P300" s="254" t="s">
        <v>5351</v>
      </c>
      <c r="Q300" s="195" t="n">
        <f aca="false">Workload!E14</f>
        <v>1</v>
      </c>
      <c r="R300" s="30" t="s">
        <v>814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5309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5933</v>
      </c>
      <c r="B301" s="254" t="s">
        <v>5304</v>
      </c>
      <c r="C301" s="30" t="s">
        <v>5863</v>
      </c>
      <c r="D301" s="30" t="s">
        <v>3221</v>
      </c>
      <c r="E301" s="6" t="s">
        <v>449</v>
      </c>
      <c r="F301" s="30" t="s">
        <v>122</v>
      </c>
      <c r="G301" s="254" t="s">
        <v>5305</v>
      </c>
      <c r="H301" s="30" t="s">
        <v>814</v>
      </c>
      <c r="I301" s="6" t="s">
        <v>814</v>
      </c>
      <c r="J301" s="30" t="s">
        <v>5923</v>
      </c>
      <c r="K301" s="254"/>
      <c r="L301" s="254"/>
      <c r="M301" s="30" t="s">
        <v>814</v>
      </c>
      <c r="N301" s="6" t="s">
        <v>5924</v>
      </c>
      <c r="O301" s="6" t="s">
        <v>814</v>
      </c>
      <c r="P301" s="254" t="s">
        <v>1441</v>
      </c>
      <c r="Q301" s="195" t="n">
        <f aca="false">Workload!F13</f>
        <v>1</v>
      </c>
      <c r="R301" s="30" t="s">
        <v>814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5309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5934</v>
      </c>
      <c r="B302" s="254" t="s">
        <v>5304</v>
      </c>
      <c r="C302" s="30" t="s">
        <v>5863</v>
      </c>
      <c r="D302" s="30" t="s">
        <v>3160</v>
      </c>
      <c r="E302" s="20" t="s">
        <v>5926</v>
      </c>
      <c r="F302" s="30" t="s">
        <v>122</v>
      </c>
      <c r="G302" s="254" t="s">
        <v>5305</v>
      </c>
      <c r="H302" s="30" t="s">
        <v>814</v>
      </c>
      <c r="I302" s="6" t="s">
        <v>814</v>
      </c>
      <c r="J302" s="30" t="s">
        <v>5927</v>
      </c>
      <c r="K302" s="254"/>
      <c r="L302" s="254"/>
      <c r="M302" s="30" t="s">
        <v>814</v>
      </c>
      <c r="N302" s="20" t="s">
        <v>5928</v>
      </c>
      <c r="O302" s="6" t="s">
        <v>814</v>
      </c>
      <c r="P302" s="254" t="s">
        <v>5351</v>
      </c>
      <c r="Q302" s="195" t="n">
        <f aca="false">Workload!F14</f>
        <v>1</v>
      </c>
      <c r="R302" s="30" t="s">
        <v>814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5309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5935</v>
      </c>
      <c r="B303" s="254" t="s">
        <v>5304</v>
      </c>
      <c r="C303" s="30" t="s">
        <v>5863</v>
      </c>
      <c r="D303" s="30" t="s">
        <v>3317</v>
      </c>
      <c r="E303" s="6" t="s">
        <v>449</v>
      </c>
      <c r="F303" s="30" t="s">
        <v>122</v>
      </c>
      <c r="G303" s="254" t="s">
        <v>5305</v>
      </c>
      <c r="H303" s="30" t="s">
        <v>814</v>
      </c>
      <c r="I303" s="6" t="s">
        <v>814</v>
      </c>
      <c r="J303" s="30" t="s">
        <v>5923</v>
      </c>
      <c r="K303" s="254"/>
      <c r="L303" s="254"/>
      <c r="M303" s="30" t="s">
        <v>814</v>
      </c>
      <c r="N303" s="6" t="s">
        <v>5924</v>
      </c>
      <c r="O303" s="6" t="s">
        <v>814</v>
      </c>
      <c r="P303" s="254" t="s">
        <v>1441</v>
      </c>
      <c r="Q303" s="195" t="n">
        <f aca="false">Workload!G13</f>
        <v>1</v>
      </c>
      <c r="R303" s="30" t="s">
        <v>814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5309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5936</v>
      </c>
      <c r="B304" s="254" t="s">
        <v>5304</v>
      </c>
      <c r="C304" s="30" t="s">
        <v>5863</v>
      </c>
      <c r="D304" s="30" t="s">
        <v>3321</v>
      </c>
      <c r="E304" s="20" t="s">
        <v>5926</v>
      </c>
      <c r="F304" s="30" t="s">
        <v>122</v>
      </c>
      <c r="G304" s="254" t="s">
        <v>5305</v>
      </c>
      <c r="H304" s="30" t="s">
        <v>814</v>
      </c>
      <c r="I304" s="6" t="s">
        <v>814</v>
      </c>
      <c r="J304" s="30" t="s">
        <v>5927</v>
      </c>
      <c r="K304" s="254"/>
      <c r="L304" s="254"/>
      <c r="M304" s="30" t="s">
        <v>814</v>
      </c>
      <c r="N304" s="20" t="s">
        <v>5928</v>
      </c>
      <c r="O304" s="6" t="s">
        <v>814</v>
      </c>
      <c r="P304" s="254" t="s">
        <v>5351</v>
      </c>
      <c r="Q304" s="195" t="n">
        <f aca="false">Workload!G14</f>
        <v>1</v>
      </c>
      <c r="R304" s="30" t="s">
        <v>814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5309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5937</v>
      </c>
      <c r="B305" s="254" t="s">
        <v>5938</v>
      </c>
      <c r="C305" s="30" t="s">
        <v>5863</v>
      </c>
      <c r="D305" s="30" t="s">
        <v>3379</v>
      </c>
      <c r="E305" s="20" t="s">
        <v>5939</v>
      </c>
      <c r="F305" s="208" t="s">
        <v>132</v>
      </c>
      <c r="G305" s="254" t="s">
        <v>5305</v>
      </c>
      <c r="H305" s="30" t="s">
        <v>814</v>
      </c>
      <c r="I305" s="246" t="s">
        <v>814</v>
      </c>
      <c r="J305" s="30" t="s">
        <v>5875</v>
      </c>
      <c r="K305" s="254"/>
      <c r="L305" s="254"/>
      <c r="M305" s="254" t="s">
        <v>5082</v>
      </c>
      <c r="N305" s="20" t="s">
        <v>5940</v>
      </c>
      <c r="O305" s="6" t="s">
        <v>814</v>
      </c>
      <c r="P305" s="254" t="s">
        <v>5308</v>
      </c>
      <c r="Q305" s="33" t="n">
        <f aca="false">Workload!C40</f>
        <v>1</v>
      </c>
      <c r="R305" s="30" t="s">
        <v>814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5309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5941</v>
      </c>
      <c r="B306" s="254" t="s">
        <v>5938</v>
      </c>
      <c r="C306" s="30" t="s">
        <v>5863</v>
      </c>
      <c r="D306" s="30" t="s">
        <v>5671</v>
      </c>
      <c r="E306" s="20" t="s">
        <v>5939</v>
      </c>
      <c r="F306" s="254" t="s">
        <v>377</v>
      </c>
      <c r="G306" s="254" t="s">
        <v>5305</v>
      </c>
      <c r="H306" s="30" t="s">
        <v>5942</v>
      </c>
      <c r="I306" s="20" t="s">
        <v>5335</v>
      </c>
      <c r="J306" s="30" t="s">
        <v>814</v>
      </c>
      <c r="K306" s="254"/>
      <c r="L306" s="254"/>
      <c r="M306" s="30" t="s">
        <v>814</v>
      </c>
      <c r="N306" s="20" t="s">
        <v>5943</v>
      </c>
      <c r="O306" s="6" t="s">
        <v>814</v>
      </c>
      <c r="P306" s="254" t="s">
        <v>5308</v>
      </c>
      <c r="Q306" s="33" t="n">
        <f aca="false">Workload!E40</f>
        <v>4</v>
      </c>
      <c r="R306" s="187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5337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602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5944</v>
      </c>
      <c r="B307" s="254" t="s">
        <v>5938</v>
      </c>
      <c r="C307" s="30" t="s">
        <v>5863</v>
      </c>
      <c r="D307" s="30" t="s">
        <v>5673</v>
      </c>
      <c r="E307" s="20" t="s">
        <v>5939</v>
      </c>
      <c r="F307" s="254" t="s">
        <v>377</v>
      </c>
      <c r="G307" s="254" t="s">
        <v>5305</v>
      </c>
      <c r="H307" s="30" t="s">
        <v>5945</v>
      </c>
      <c r="I307" s="20" t="s">
        <v>5335</v>
      </c>
      <c r="J307" s="30" t="s">
        <v>814</v>
      </c>
      <c r="K307" s="254"/>
      <c r="L307" s="254"/>
      <c r="M307" s="30" t="s">
        <v>814</v>
      </c>
      <c r="N307" s="20" t="s">
        <v>5943</v>
      </c>
      <c r="O307" s="6" t="s">
        <v>814</v>
      </c>
      <c r="P307" s="254" t="s">
        <v>5308</v>
      </c>
      <c r="Q307" s="33" t="n">
        <f aca="false">Workload!F40</f>
        <v>15</v>
      </c>
      <c r="R307" s="187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5337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603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5946</v>
      </c>
      <c r="B308" s="254" t="s">
        <v>5304</v>
      </c>
      <c r="C308" s="30" t="s">
        <v>3263</v>
      </c>
      <c r="D308" s="30" t="s">
        <v>3264</v>
      </c>
      <c r="E308" s="6" t="s">
        <v>490</v>
      </c>
      <c r="F308" s="30" t="s">
        <v>137</v>
      </c>
      <c r="G308" s="254" t="s">
        <v>5305</v>
      </c>
      <c r="H308" s="30" t="s">
        <v>5947</v>
      </c>
      <c r="I308" s="20" t="s">
        <v>5948</v>
      </c>
      <c r="J308" s="30" t="s">
        <v>814</v>
      </c>
      <c r="K308" s="256" t="n">
        <v>0.15</v>
      </c>
      <c r="L308" s="256" t="n">
        <v>0.45</v>
      </c>
      <c r="M308" s="30" t="s">
        <v>5949</v>
      </c>
      <c r="N308" s="255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節）；v15.0 O8：Hopper 吞吐為保守下界（獨立對照 V7、V8、V15 顯示模型約為實測 0.26–0.27 倍；Hopper η 倍數無獨立依據，Decisions SL46-13）；對外引用 Hopper 欄請標『保守下界』 ｜補充旗標（IF 全欄分段，非分段依據）：高 ｜v5.19 X2 升段：單變數擺動 −33.0%／+11.1%（低／高端；L1_Ans4）；chat 端掃描 2026-10-06</v>
      </c>
      <c r="O308" s="6" t="s">
        <v>814</v>
      </c>
      <c r="P308" s="254" t="s">
        <v>1441</v>
      </c>
      <c r="Q308" s="197" t="n">
        <f aca="false">Calib!C5</f>
        <v>0.3</v>
      </c>
      <c r="R308" s="187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5309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5950</v>
      </c>
      <c r="B309" s="254" t="s">
        <v>5304</v>
      </c>
      <c r="C309" s="30" t="s">
        <v>3263</v>
      </c>
      <c r="D309" s="30" t="s">
        <v>5951</v>
      </c>
      <c r="E309" s="20" t="s">
        <v>498</v>
      </c>
      <c r="F309" s="254" t="s">
        <v>5952</v>
      </c>
      <c r="G309" s="254" t="s">
        <v>5953</v>
      </c>
      <c r="H309" s="30" t="s">
        <v>814</v>
      </c>
      <c r="I309" s="6" t="s">
        <v>814</v>
      </c>
      <c r="J309" s="30" t="s">
        <v>5954</v>
      </c>
      <c r="K309" s="254"/>
      <c r="L309" s="254"/>
      <c r="M309" s="30" t="s">
        <v>814</v>
      </c>
      <c r="N309" s="20" t="s">
        <v>5955</v>
      </c>
      <c r="O309" s="6" t="s">
        <v>814</v>
      </c>
      <c r="P309" s="30" t="s">
        <v>814</v>
      </c>
      <c r="Q309" s="187" t="s">
        <v>814</v>
      </c>
      <c r="R309" s="30" t="s">
        <v>814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814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5956</v>
      </c>
      <c r="B310" s="254" t="s">
        <v>5304</v>
      </c>
      <c r="C310" s="30" t="s">
        <v>3263</v>
      </c>
      <c r="D310" s="30" t="s">
        <v>3220</v>
      </c>
      <c r="E310" s="6" t="s">
        <v>506</v>
      </c>
      <c r="F310" s="254" t="s">
        <v>377</v>
      </c>
      <c r="G310" s="254" t="s">
        <v>5305</v>
      </c>
      <c r="H310" s="30" t="s">
        <v>5957</v>
      </c>
      <c r="I310" s="20" t="s">
        <v>5335</v>
      </c>
      <c r="J310" s="30" t="s">
        <v>814</v>
      </c>
      <c r="K310" s="254"/>
      <c r="L310" s="254"/>
      <c r="M310" s="30" t="s">
        <v>814</v>
      </c>
      <c r="N310" s="20" t="s">
        <v>5398</v>
      </c>
      <c r="O310" s="6" t="s">
        <v>814</v>
      </c>
      <c r="P310" s="254" t="s">
        <v>5308</v>
      </c>
      <c r="Q310" s="33" t="n">
        <f aca="false">Calib!C13</f>
        <v>1</v>
      </c>
      <c r="R310" s="187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5337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5958</v>
      </c>
      <c r="B311" s="254" t="s">
        <v>5304</v>
      </c>
      <c r="C311" s="30" t="s">
        <v>3263</v>
      </c>
      <c r="D311" s="30" t="s">
        <v>3249</v>
      </c>
      <c r="E311" s="20" t="s">
        <v>508</v>
      </c>
      <c r="F311" s="254" t="s">
        <v>377</v>
      </c>
      <c r="G311" s="254" t="s">
        <v>5305</v>
      </c>
      <c r="H311" s="30" t="s">
        <v>5957</v>
      </c>
      <c r="I311" s="20" t="s">
        <v>5335</v>
      </c>
      <c r="J311" s="30" t="s">
        <v>814</v>
      </c>
      <c r="K311" s="254"/>
      <c r="L311" s="254"/>
      <c r="M311" s="30" t="s">
        <v>814</v>
      </c>
      <c r="N311" s="20" t="s">
        <v>5398</v>
      </c>
      <c r="O311" s="6" t="s">
        <v>814</v>
      </c>
      <c r="P311" s="254" t="s">
        <v>1441</v>
      </c>
      <c r="Q311" s="49" t="n">
        <f aca="false">Calib!C14</f>
        <v>72</v>
      </c>
      <c r="R311" s="187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5337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5959</v>
      </c>
      <c r="B312" s="254" t="s">
        <v>5304</v>
      </c>
      <c r="C312" s="30" t="s">
        <v>3263</v>
      </c>
      <c r="D312" s="30" t="s">
        <v>3250</v>
      </c>
      <c r="E312" s="6" t="s">
        <v>510</v>
      </c>
      <c r="F312" s="254" t="s">
        <v>377</v>
      </c>
      <c r="G312" s="254" t="s">
        <v>5305</v>
      </c>
      <c r="H312" s="30" t="s">
        <v>5957</v>
      </c>
      <c r="I312" s="20" t="s">
        <v>5335</v>
      </c>
      <c r="J312" s="30" t="s">
        <v>814</v>
      </c>
      <c r="K312" s="254"/>
      <c r="L312" s="254"/>
      <c r="M312" s="30" t="s">
        <v>814</v>
      </c>
      <c r="N312" s="20" t="s">
        <v>5398</v>
      </c>
      <c r="O312" s="6" t="s">
        <v>814</v>
      </c>
      <c r="P312" s="254" t="s">
        <v>1441</v>
      </c>
      <c r="Q312" s="49" t="n">
        <f aca="false">Calib!C15</f>
        <v>8192</v>
      </c>
      <c r="R312" s="187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5337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5960</v>
      </c>
      <c r="B313" s="254" t="s">
        <v>5304</v>
      </c>
      <c r="C313" s="30" t="s">
        <v>3263</v>
      </c>
      <c r="D313" s="30" t="s">
        <v>3251</v>
      </c>
      <c r="E313" s="6" t="s">
        <v>512</v>
      </c>
      <c r="F313" s="254" t="s">
        <v>377</v>
      </c>
      <c r="G313" s="254" t="s">
        <v>5305</v>
      </c>
      <c r="H313" s="30" t="s">
        <v>5957</v>
      </c>
      <c r="I313" s="20" t="s">
        <v>5335</v>
      </c>
      <c r="J313" s="30" t="s">
        <v>814</v>
      </c>
      <c r="K313" s="254"/>
      <c r="L313" s="254"/>
      <c r="M313" s="30" t="s">
        <v>814</v>
      </c>
      <c r="N313" s="20" t="s">
        <v>5398</v>
      </c>
      <c r="O313" s="6" t="s">
        <v>814</v>
      </c>
      <c r="P313" s="254" t="s">
        <v>1441</v>
      </c>
      <c r="Q313" s="49" t="n">
        <f aca="false">Calib!C16</f>
        <v>1024</v>
      </c>
      <c r="R313" s="187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5337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5961</v>
      </c>
      <c r="B314" s="254" t="s">
        <v>5304</v>
      </c>
      <c r="C314" s="30" t="s">
        <v>3263</v>
      </c>
      <c r="D314" s="30" t="s">
        <v>3252</v>
      </c>
      <c r="E314" s="20" t="s">
        <v>5962</v>
      </c>
      <c r="F314" s="254" t="s">
        <v>377</v>
      </c>
      <c r="G314" s="254" t="s">
        <v>5305</v>
      </c>
      <c r="H314" s="30" t="s">
        <v>5957</v>
      </c>
      <c r="I314" s="20" t="s">
        <v>5963</v>
      </c>
      <c r="J314" s="30" t="s">
        <v>814</v>
      </c>
      <c r="K314" s="254"/>
      <c r="L314" s="254"/>
      <c r="M314" s="30" t="s">
        <v>814</v>
      </c>
      <c r="N314" s="20" t="s">
        <v>5398</v>
      </c>
      <c r="O314" s="6" t="s">
        <v>5964</v>
      </c>
      <c r="P314" s="254" t="s">
        <v>1441</v>
      </c>
      <c r="Q314" s="49" t="n">
        <f aca="false">Calib!C17</f>
        <v>9342.1</v>
      </c>
      <c r="R314" s="187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5337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5965</v>
      </c>
      <c r="B315" s="254" t="s">
        <v>5304</v>
      </c>
      <c r="C315" s="30" t="s">
        <v>3263</v>
      </c>
      <c r="D315" s="30" t="s">
        <v>3156</v>
      </c>
      <c r="E315" s="6" t="s">
        <v>506</v>
      </c>
      <c r="F315" s="254" t="s">
        <v>377</v>
      </c>
      <c r="G315" s="254" t="s">
        <v>5305</v>
      </c>
      <c r="H315" s="30" t="s">
        <v>5966</v>
      </c>
      <c r="I315" s="20" t="s">
        <v>5335</v>
      </c>
      <c r="J315" s="30" t="s">
        <v>814</v>
      </c>
      <c r="K315" s="254"/>
      <c r="L315" s="254"/>
      <c r="M315" s="30" t="s">
        <v>814</v>
      </c>
      <c r="N315" s="20" t="s">
        <v>5398</v>
      </c>
      <c r="O315" s="6" t="s">
        <v>814</v>
      </c>
      <c r="P315" s="254" t="s">
        <v>5308</v>
      </c>
      <c r="Q315" s="33" t="n">
        <f aca="false">Calib!D13</f>
        <v>1</v>
      </c>
      <c r="R315" s="187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5337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5967</v>
      </c>
      <c r="B316" s="254" t="s">
        <v>5304</v>
      </c>
      <c r="C316" s="30" t="s">
        <v>3263</v>
      </c>
      <c r="D316" s="30" t="s">
        <v>3158</v>
      </c>
      <c r="E316" s="20" t="s">
        <v>508</v>
      </c>
      <c r="F316" s="254" t="s">
        <v>377</v>
      </c>
      <c r="G316" s="254" t="s">
        <v>5305</v>
      </c>
      <c r="H316" s="30" t="s">
        <v>5966</v>
      </c>
      <c r="I316" s="20" t="s">
        <v>5335</v>
      </c>
      <c r="J316" s="30" t="s">
        <v>814</v>
      </c>
      <c r="K316" s="254"/>
      <c r="L316" s="254"/>
      <c r="M316" s="30" t="s">
        <v>814</v>
      </c>
      <c r="N316" s="20" t="s">
        <v>5398</v>
      </c>
      <c r="O316" s="6" t="s">
        <v>814</v>
      </c>
      <c r="P316" s="254" t="s">
        <v>1441</v>
      </c>
      <c r="Q316" s="49" t="n">
        <f aca="false">Calib!D14</f>
        <v>130</v>
      </c>
      <c r="R316" s="187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5337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5968</v>
      </c>
      <c r="B317" s="254" t="s">
        <v>5304</v>
      </c>
      <c r="C317" s="30" t="s">
        <v>3263</v>
      </c>
      <c r="D317" s="30" t="s">
        <v>5721</v>
      </c>
      <c r="E317" s="6" t="s">
        <v>510</v>
      </c>
      <c r="F317" s="254" t="s">
        <v>377</v>
      </c>
      <c r="G317" s="254" t="s">
        <v>5305</v>
      </c>
      <c r="H317" s="30" t="s">
        <v>5966</v>
      </c>
      <c r="I317" s="20" t="s">
        <v>5335</v>
      </c>
      <c r="J317" s="30" t="s">
        <v>814</v>
      </c>
      <c r="K317" s="254"/>
      <c r="L317" s="254"/>
      <c r="M317" s="30" t="s">
        <v>814</v>
      </c>
      <c r="N317" s="20" t="s">
        <v>5398</v>
      </c>
      <c r="O317" s="6" t="s">
        <v>814</v>
      </c>
      <c r="P317" s="254" t="s">
        <v>1441</v>
      </c>
      <c r="Q317" s="49" t="n">
        <f aca="false">Calib!D15</f>
        <v>8192</v>
      </c>
      <c r="R317" s="187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5337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5969</v>
      </c>
      <c r="B318" s="254" t="s">
        <v>5304</v>
      </c>
      <c r="C318" s="30" t="s">
        <v>3263</v>
      </c>
      <c r="D318" s="30" t="s">
        <v>3161</v>
      </c>
      <c r="E318" s="6" t="s">
        <v>512</v>
      </c>
      <c r="F318" s="254" t="s">
        <v>377</v>
      </c>
      <c r="G318" s="254" t="s">
        <v>5305</v>
      </c>
      <c r="H318" s="30" t="s">
        <v>5966</v>
      </c>
      <c r="I318" s="20" t="s">
        <v>5335</v>
      </c>
      <c r="J318" s="30" t="s">
        <v>814</v>
      </c>
      <c r="K318" s="254"/>
      <c r="L318" s="254"/>
      <c r="M318" s="30" t="s">
        <v>814</v>
      </c>
      <c r="N318" s="20" t="s">
        <v>5398</v>
      </c>
      <c r="O318" s="6" t="s">
        <v>814</v>
      </c>
      <c r="P318" s="254" t="s">
        <v>1441</v>
      </c>
      <c r="Q318" s="49" t="n">
        <f aca="false">Calib!D16</f>
        <v>1024</v>
      </c>
      <c r="R318" s="187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5337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5970</v>
      </c>
      <c r="B319" s="254" t="s">
        <v>5304</v>
      </c>
      <c r="C319" s="30" t="s">
        <v>3263</v>
      </c>
      <c r="D319" s="30" t="s">
        <v>3164</v>
      </c>
      <c r="E319" s="20" t="s">
        <v>5962</v>
      </c>
      <c r="F319" s="254" t="s">
        <v>377</v>
      </c>
      <c r="G319" s="254" t="s">
        <v>5305</v>
      </c>
      <c r="H319" s="30" t="s">
        <v>5966</v>
      </c>
      <c r="I319" s="20" t="s">
        <v>5971</v>
      </c>
      <c r="J319" s="30" t="s">
        <v>814</v>
      </c>
      <c r="K319" s="254"/>
      <c r="L319" s="254"/>
      <c r="M319" s="30" t="s">
        <v>814</v>
      </c>
      <c r="N319" s="20" t="s">
        <v>5398</v>
      </c>
      <c r="O319" s="6" t="s">
        <v>5972</v>
      </c>
      <c r="P319" s="254" t="s">
        <v>1441</v>
      </c>
      <c r="Q319" s="49" t="n">
        <f aca="false">Calib!D17</f>
        <v>3405.2</v>
      </c>
      <c r="R319" s="187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5337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5973</v>
      </c>
      <c r="B320" s="254" t="s">
        <v>5304</v>
      </c>
      <c r="C320" s="30" t="s">
        <v>3263</v>
      </c>
      <c r="D320" s="30" t="s">
        <v>3157</v>
      </c>
      <c r="E320" s="6" t="s">
        <v>506</v>
      </c>
      <c r="F320" s="254" t="s">
        <v>377</v>
      </c>
      <c r="G320" s="254" t="s">
        <v>5305</v>
      </c>
      <c r="H320" s="30" t="s">
        <v>5974</v>
      </c>
      <c r="I320" s="20" t="s">
        <v>5335</v>
      </c>
      <c r="J320" s="30" t="s">
        <v>814</v>
      </c>
      <c r="K320" s="254"/>
      <c r="L320" s="254"/>
      <c r="M320" s="30" t="s">
        <v>814</v>
      </c>
      <c r="N320" s="20" t="s">
        <v>5398</v>
      </c>
      <c r="O320" s="6" t="s">
        <v>814</v>
      </c>
      <c r="P320" s="254" t="s">
        <v>5308</v>
      </c>
      <c r="Q320" s="33" t="n">
        <f aca="false">Calib!E13</f>
        <v>1</v>
      </c>
      <c r="R320" s="187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5337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5975</v>
      </c>
      <c r="B321" s="254" t="s">
        <v>5304</v>
      </c>
      <c r="C321" s="30" t="s">
        <v>3263</v>
      </c>
      <c r="D321" s="30" t="s">
        <v>3159</v>
      </c>
      <c r="E321" s="20" t="s">
        <v>508</v>
      </c>
      <c r="F321" s="254" t="s">
        <v>377</v>
      </c>
      <c r="G321" s="254" t="s">
        <v>5305</v>
      </c>
      <c r="H321" s="30" t="s">
        <v>5974</v>
      </c>
      <c r="I321" s="20" t="s">
        <v>5335</v>
      </c>
      <c r="J321" s="30" t="s">
        <v>814</v>
      </c>
      <c r="K321" s="254"/>
      <c r="L321" s="254"/>
      <c r="M321" s="30" t="s">
        <v>814</v>
      </c>
      <c r="N321" s="20" t="s">
        <v>5398</v>
      </c>
      <c r="O321" s="6" t="s">
        <v>814</v>
      </c>
      <c r="P321" s="254" t="s">
        <v>1441</v>
      </c>
      <c r="Q321" s="49" t="n">
        <f aca="false">Calib!E14</f>
        <v>50</v>
      </c>
      <c r="R321" s="187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5337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5976</v>
      </c>
      <c r="B322" s="254" t="s">
        <v>5304</v>
      </c>
      <c r="C322" s="30" t="s">
        <v>3263</v>
      </c>
      <c r="D322" s="30" t="s">
        <v>3325</v>
      </c>
      <c r="E322" s="6" t="s">
        <v>510</v>
      </c>
      <c r="F322" s="254" t="s">
        <v>377</v>
      </c>
      <c r="G322" s="254" t="s">
        <v>5305</v>
      </c>
      <c r="H322" s="30" t="s">
        <v>5974</v>
      </c>
      <c r="I322" s="20" t="s">
        <v>5335</v>
      </c>
      <c r="J322" s="30" t="s">
        <v>814</v>
      </c>
      <c r="K322" s="254"/>
      <c r="L322" s="254"/>
      <c r="M322" s="30" t="s">
        <v>814</v>
      </c>
      <c r="N322" s="20" t="s">
        <v>5398</v>
      </c>
      <c r="O322" s="6" t="s">
        <v>814</v>
      </c>
      <c r="P322" s="254" t="s">
        <v>1441</v>
      </c>
      <c r="Q322" s="49" t="n">
        <f aca="false">Calib!E15</f>
        <v>8192</v>
      </c>
      <c r="R322" s="187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5337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5977</v>
      </c>
      <c r="B323" s="254" t="s">
        <v>5304</v>
      </c>
      <c r="C323" s="30" t="s">
        <v>3263</v>
      </c>
      <c r="D323" s="30" t="s">
        <v>3162</v>
      </c>
      <c r="E323" s="6" t="s">
        <v>512</v>
      </c>
      <c r="F323" s="254" t="s">
        <v>377</v>
      </c>
      <c r="G323" s="254" t="s">
        <v>5305</v>
      </c>
      <c r="H323" s="30" t="s">
        <v>5974</v>
      </c>
      <c r="I323" s="20" t="s">
        <v>5335</v>
      </c>
      <c r="J323" s="30" t="s">
        <v>814</v>
      </c>
      <c r="K323" s="254"/>
      <c r="L323" s="254"/>
      <c r="M323" s="30" t="s">
        <v>814</v>
      </c>
      <c r="N323" s="20" t="s">
        <v>5398</v>
      </c>
      <c r="O323" s="6" t="s">
        <v>814</v>
      </c>
      <c r="P323" s="254" t="s">
        <v>1441</v>
      </c>
      <c r="Q323" s="49" t="n">
        <f aca="false">Calib!E16</f>
        <v>1024</v>
      </c>
      <c r="R323" s="187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5337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5978</v>
      </c>
      <c r="B324" s="254" t="s">
        <v>5304</v>
      </c>
      <c r="C324" s="30" t="s">
        <v>3263</v>
      </c>
      <c r="D324" s="30" t="s">
        <v>3165</v>
      </c>
      <c r="E324" s="20" t="s">
        <v>5962</v>
      </c>
      <c r="F324" s="254" t="s">
        <v>377</v>
      </c>
      <c r="G324" s="254" t="s">
        <v>5305</v>
      </c>
      <c r="H324" s="30" t="s">
        <v>5974</v>
      </c>
      <c r="I324" s="20" t="s">
        <v>5335</v>
      </c>
      <c r="J324" s="30" t="s">
        <v>814</v>
      </c>
      <c r="K324" s="254"/>
      <c r="L324" s="254"/>
      <c r="M324" s="30" t="s">
        <v>814</v>
      </c>
      <c r="N324" s="20" t="s">
        <v>5398</v>
      </c>
      <c r="O324" s="6" t="s">
        <v>814</v>
      </c>
      <c r="P324" s="254" t="s">
        <v>1441</v>
      </c>
      <c r="Q324" s="49" t="n">
        <f aca="false">Calib!E17</f>
        <v>11200</v>
      </c>
      <c r="R324" s="187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5337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5979</v>
      </c>
      <c r="B325" s="254" t="s">
        <v>5304</v>
      </c>
      <c r="C325" s="30" t="s">
        <v>3263</v>
      </c>
      <c r="D325" s="30" t="s">
        <v>3221</v>
      </c>
      <c r="E325" s="6" t="s">
        <v>506</v>
      </c>
      <c r="F325" s="254" t="s">
        <v>377</v>
      </c>
      <c r="G325" s="254" t="s">
        <v>5305</v>
      </c>
      <c r="H325" s="30" t="s">
        <v>5980</v>
      </c>
      <c r="I325" s="20" t="s">
        <v>5335</v>
      </c>
      <c r="J325" s="30" t="s">
        <v>814</v>
      </c>
      <c r="K325" s="254"/>
      <c r="L325" s="254"/>
      <c r="M325" s="30" t="s">
        <v>814</v>
      </c>
      <c r="N325" s="20" t="s">
        <v>5398</v>
      </c>
      <c r="O325" s="6" t="s">
        <v>814</v>
      </c>
      <c r="P325" s="254" t="s">
        <v>5308</v>
      </c>
      <c r="Q325" s="33" t="n">
        <f aca="false">Calib!F13</f>
        <v>0</v>
      </c>
      <c r="R325" s="187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5337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5981</v>
      </c>
      <c r="B326" s="254" t="s">
        <v>5304</v>
      </c>
      <c r="C326" s="30" t="s">
        <v>3263</v>
      </c>
      <c r="D326" s="30" t="s">
        <v>3160</v>
      </c>
      <c r="E326" s="20" t="s">
        <v>508</v>
      </c>
      <c r="F326" s="254" t="s">
        <v>377</v>
      </c>
      <c r="G326" s="254" t="s">
        <v>5305</v>
      </c>
      <c r="H326" s="30" t="s">
        <v>5980</v>
      </c>
      <c r="I326" s="20" t="s">
        <v>5335</v>
      </c>
      <c r="J326" s="30" t="s">
        <v>814</v>
      </c>
      <c r="K326" s="254"/>
      <c r="L326" s="254"/>
      <c r="M326" s="30" t="s">
        <v>814</v>
      </c>
      <c r="N326" s="20" t="s">
        <v>5398</v>
      </c>
      <c r="O326" s="6" t="s">
        <v>814</v>
      </c>
      <c r="P326" s="254" t="s">
        <v>1441</v>
      </c>
      <c r="Q326" s="49" t="n">
        <f aca="false">Calib!F14</f>
        <v>27</v>
      </c>
      <c r="R326" s="187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5337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5982</v>
      </c>
      <c r="B327" s="254" t="s">
        <v>5304</v>
      </c>
      <c r="C327" s="30" t="s">
        <v>3263</v>
      </c>
      <c r="D327" s="30" t="s">
        <v>3326</v>
      </c>
      <c r="E327" s="6" t="s">
        <v>510</v>
      </c>
      <c r="F327" s="254" t="s">
        <v>377</v>
      </c>
      <c r="G327" s="254" t="s">
        <v>5305</v>
      </c>
      <c r="H327" s="30" t="s">
        <v>5980</v>
      </c>
      <c r="I327" s="20" t="s">
        <v>5335</v>
      </c>
      <c r="J327" s="30" t="s">
        <v>814</v>
      </c>
      <c r="K327" s="254"/>
      <c r="L327" s="254"/>
      <c r="M327" s="30" t="s">
        <v>814</v>
      </c>
      <c r="N327" s="20" t="s">
        <v>5398</v>
      </c>
      <c r="O327" s="6" t="s">
        <v>814</v>
      </c>
      <c r="P327" s="254" t="s">
        <v>1441</v>
      </c>
      <c r="Q327" s="49" t="n">
        <f aca="false">Calib!F15</f>
        <v>8192</v>
      </c>
      <c r="R327" s="187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5337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5983</v>
      </c>
      <c r="B328" s="254" t="s">
        <v>5304</v>
      </c>
      <c r="C328" s="30" t="s">
        <v>3263</v>
      </c>
      <c r="D328" s="30" t="s">
        <v>3163</v>
      </c>
      <c r="E328" s="6" t="s">
        <v>512</v>
      </c>
      <c r="F328" s="254" t="s">
        <v>377</v>
      </c>
      <c r="G328" s="254" t="s">
        <v>5305</v>
      </c>
      <c r="H328" s="30" t="s">
        <v>5980</v>
      </c>
      <c r="I328" s="20" t="s">
        <v>5335</v>
      </c>
      <c r="J328" s="30" t="s">
        <v>814</v>
      </c>
      <c r="K328" s="254"/>
      <c r="L328" s="254"/>
      <c r="M328" s="30" t="s">
        <v>814</v>
      </c>
      <c r="N328" s="20" t="s">
        <v>5398</v>
      </c>
      <c r="O328" s="6" t="s">
        <v>814</v>
      </c>
      <c r="P328" s="254" t="s">
        <v>1441</v>
      </c>
      <c r="Q328" s="49" t="n">
        <f aca="false">Calib!F16</f>
        <v>1024</v>
      </c>
      <c r="R328" s="187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5337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5984</v>
      </c>
      <c r="B329" s="254" t="s">
        <v>5304</v>
      </c>
      <c r="C329" s="30" t="s">
        <v>3263</v>
      </c>
      <c r="D329" s="30" t="s">
        <v>3166</v>
      </c>
      <c r="E329" s="20" t="s">
        <v>5962</v>
      </c>
      <c r="F329" s="254" t="s">
        <v>377</v>
      </c>
      <c r="G329" s="254" t="s">
        <v>5305</v>
      </c>
      <c r="H329" s="30" t="s">
        <v>5980</v>
      </c>
      <c r="I329" s="20" t="s">
        <v>5335</v>
      </c>
      <c r="J329" s="30" t="s">
        <v>814</v>
      </c>
      <c r="K329" s="254"/>
      <c r="L329" s="254"/>
      <c r="M329" s="30" t="s">
        <v>814</v>
      </c>
      <c r="N329" s="20" t="s">
        <v>5398</v>
      </c>
      <c r="O329" s="6" t="s">
        <v>814</v>
      </c>
      <c r="P329" s="254" t="s">
        <v>1441</v>
      </c>
      <c r="Q329" s="49" t="n">
        <f aca="false">Calib!F17</f>
        <v>6182</v>
      </c>
      <c r="R329" s="187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5337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5985</v>
      </c>
      <c r="B330" s="254" t="s">
        <v>5304</v>
      </c>
      <c r="C330" s="30" t="s">
        <v>3263</v>
      </c>
      <c r="D330" s="30" t="s">
        <v>3317</v>
      </c>
      <c r="E330" s="6" t="s">
        <v>506</v>
      </c>
      <c r="F330" s="254" t="s">
        <v>377</v>
      </c>
      <c r="G330" s="254" t="s">
        <v>5305</v>
      </c>
      <c r="H330" s="30" t="s">
        <v>5986</v>
      </c>
      <c r="I330" s="20" t="s">
        <v>5335</v>
      </c>
      <c r="J330" s="30" t="s">
        <v>814</v>
      </c>
      <c r="K330" s="254"/>
      <c r="L330" s="254"/>
      <c r="M330" s="30" t="s">
        <v>814</v>
      </c>
      <c r="N330" s="20" t="s">
        <v>5398</v>
      </c>
      <c r="O330" s="6" t="s">
        <v>814</v>
      </c>
      <c r="P330" s="254" t="s">
        <v>5308</v>
      </c>
      <c r="Q330" s="33" t="n">
        <f aca="false">Calib!G13</f>
        <v>0</v>
      </c>
      <c r="R330" s="187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5337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5987</v>
      </c>
      <c r="B331" s="254" t="s">
        <v>5304</v>
      </c>
      <c r="C331" s="30" t="s">
        <v>3263</v>
      </c>
      <c r="D331" s="30" t="s">
        <v>3321</v>
      </c>
      <c r="E331" s="20" t="s">
        <v>508</v>
      </c>
      <c r="F331" s="254" t="s">
        <v>377</v>
      </c>
      <c r="G331" s="254" t="s">
        <v>5305</v>
      </c>
      <c r="H331" s="30" t="s">
        <v>5986</v>
      </c>
      <c r="I331" s="20" t="s">
        <v>5335</v>
      </c>
      <c r="J331" s="30" t="s">
        <v>814</v>
      </c>
      <c r="K331" s="254"/>
      <c r="L331" s="254"/>
      <c r="M331" s="30" t="s">
        <v>814</v>
      </c>
      <c r="N331" s="20" t="s">
        <v>5398</v>
      </c>
      <c r="O331" s="6" t="s">
        <v>814</v>
      </c>
      <c r="P331" s="254" t="s">
        <v>1441</v>
      </c>
      <c r="Q331" s="49" t="n">
        <f aca="false">Calib!G14</f>
        <v>27</v>
      </c>
      <c r="R331" s="187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5337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5988</v>
      </c>
      <c r="B332" s="254" t="s">
        <v>5304</v>
      </c>
      <c r="C332" s="30" t="s">
        <v>3263</v>
      </c>
      <c r="D332" s="30" t="s">
        <v>3327</v>
      </c>
      <c r="E332" s="6" t="s">
        <v>510</v>
      </c>
      <c r="F332" s="254" t="s">
        <v>377</v>
      </c>
      <c r="G332" s="254" t="s">
        <v>5305</v>
      </c>
      <c r="H332" s="30" t="s">
        <v>5986</v>
      </c>
      <c r="I332" s="20" t="s">
        <v>5335</v>
      </c>
      <c r="J332" s="30" t="s">
        <v>814</v>
      </c>
      <c r="K332" s="254"/>
      <c r="L332" s="254"/>
      <c r="M332" s="30" t="s">
        <v>814</v>
      </c>
      <c r="N332" s="20" t="s">
        <v>5398</v>
      </c>
      <c r="O332" s="6" t="s">
        <v>814</v>
      </c>
      <c r="P332" s="254" t="s">
        <v>1441</v>
      </c>
      <c r="Q332" s="49" t="n">
        <f aca="false">Calib!G15</f>
        <v>8192</v>
      </c>
      <c r="R332" s="187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5337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5989</v>
      </c>
      <c r="B333" s="254" t="s">
        <v>5304</v>
      </c>
      <c r="C333" s="30" t="s">
        <v>3263</v>
      </c>
      <c r="D333" s="30" t="s">
        <v>3331</v>
      </c>
      <c r="E333" s="6" t="s">
        <v>512</v>
      </c>
      <c r="F333" s="254" t="s">
        <v>377</v>
      </c>
      <c r="G333" s="254" t="s">
        <v>5305</v>
      </c>
      <c r="H333" s="30" t="s">
        <v>5986</v>
      </c>
      <c r="I333" s="20" t="s">
        <v>5335</v>
      </c>
      <c r="J333" s="30" t="s">
        <v>814</v>
      </c>
      <c r="K333" s="254"/>
      <c r="L333" s="254"/>
      <c r="M333" s="30" t="s">
        <v>814</v>
      </c>
      <c r="N333" s="20" t="s">
        <v>5398</v>
      </c>
      <c r="O333" s="6" t="s">
        <v>814</v>
      </c>
      <c r="P333" s="254" t="s">
        <v>1441</v>
      </c>
      <c r="Q333" s="49" t="n">
        <f aca="false">Calib!G16</f>
        <v>1024</v>
      </c>
      <c r="R333" s="187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5337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5990</v>
      </c>
      <c r="B334" s="254" t="s">
        <v>5304</v>
      </c>
      <c r="C334" s="30" t="s">
        <v>3263</v>
      </c>
      <c r="D334" s="30" t="s">
        <v>5991</v>
      </c>
      <c r="E334" s="20" t="s">
        <v>5962</v>
      </c>
      <c r="F334" s="254" t="s">
        <v>377</v>
      </c>
      <c r="G334" s="254" t="s">
        <v>5305</v>
      </c>
      <c r="H334" s="30" t="s">
        <v>5986</v>
      </c>
      <c r="I334" s="20" t="s">
        <v>5335</v>
      </c>
      <c r="J334" s="30" t="s">
        <v>814</v>
      </c>
      <c r="K334" s="254"/>
      <c r="L334" s="254"/>
      <c r="M334" s="30" t="s">
        <v>814</v>
      </c>
      <c r="N334" s="20" t="s">
        <v>5398</v>
      </c>
      <c r="O334" s="6" t="s">
        <v>814</v>
      </c>
      <c r="P334" s="254" t="s">
        <v>1441</v>
      </c>
      <c r="Q334" s="49" t="n">
        <f aca="false">Calib!G17</f>
        <v>2189</v>
      </c>
      <c r="R334" s="187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5337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5992</v>
      </c>
      <c r="B335" s="254" t="s">
        <v>5304</v>
      </c>
      <c r="C335" s="30" t="s">
        <v>3263</v>
      </c>
      <c r="D335" s="30" t="s">
        <v>3318</v>
      </c>
      <c r="E335" s="6" t="s">
        <v>506</v>
      </c>
      <c r="F335" s="254" t="s">
        <v>377</v>
      </c>
      <c r="G335" s="254" t="s">
        <v>5305</v>
      </c>
      <c r="H335" s="30" t="s">
        <v>5993</v>
      </c>
      <c r="I335" s="20" t="s">
        <v>5335</v>
      </c>
      <c r="J335" s="30" t="s">
        <v>814</v>
      </c>
      <c r="K335" s="254"/>
      <c r="L335" s="254"/>
      <c r="M335" s="30" t="s">
        <v>814</v>
      </c>
      <c r="N335" s="20" t="s">
        <v>5398</v>
      </c>
      <c r="O335" s="6" t="s">
        <v>814</v>
      </c>
      <c r="P335" s="254" t="s">
        <v>5308</v>
      </c>
      <c r="Q335" s="33" t="n">
        <f aca="false">Calib!H13</f>
        <v>1</v>
      </c>
      <c r="R335" s="187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5337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5994</v>
      </c>
      <c r="B336" s="254" t="s">
        <v>5304</v>
      </c>
      <c r="C336" s="30" t="s">
        <v>3263</v>
      </c>
      <c r="D336" s="30" t="s">
        <v>3322</v>
      </c>
      <c r="E336" s="20" t="s">
        <v>508</v>
      </c>
      <c r="F336" s="254" t="s">
        <v>377</v>
      </c>
      <c r="G336" s="254" t="s">
        <v>5305</v>
      </c>
      <c r="H336" s="30" t="s">
        <v>5993</v>
      </c>
      <c r="I336" s="20" t="s">
        <v>5335</v>
      </c>
      <c r="J336" s="30" t="s">
        <v>814</v>
      </c>
      <c r="K336" s="254"/>
      <c r="L336" s="254"/>
      <c r="M336" s="30" t="s">
        <v>814</v>
      </c>
      <c r="N336" s="20" t="s">
        <v>5398</v>
      </c>
      <c r="O336" s="6" t="s">
        <v>814</v>
      </c>
      <c r="P336" s="254" t="s">
        <v>1441</v>
      </c>
      <c r="Q336" s="49" t="n">
        <f aca="false">Calib!H14</f>
        <v>110</v>
      </c>
      <c r="R336" s="187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5337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5995</v>
      </c>
      <c r="B337" s="254" t="s">
        <v>5304</v>
      </c>
      <c r="C337" s="30" t="s">
        <v>3263</v>
      </c>
      <c r="D337" s="30" t="s">
        <v>3328</v>
      </c>
      <c r="E337" s="6" t="s">
        <v>510</v>
      </c>
      <c r="F337" s="254" t="s">
        <v>377</v>
      </c>
      <c r="G337" s="254" t="s">
        <v>5305</v>
      </c>
      <c r="H337" s="30" t="s">
        <v>5993</v>
      </c>
      <c r="I337" s="20" t="s">
        <v>5335</v>
      </c>
      <c r="J337" s="30" t="s">
        <v>814</v>
      </c>
      <c r="K337" s="254"/>
      <c r="L337" s="254"/>
      <c r="M337" s="30" t="s">
        <v>814</v>
      </c>
      <c r="N337" s="20" t="s">
        <v>5398</v>
      </c>
      <c r="O337" s="6" t="s">
        <v>814</v>
      </c>
      <c r="P337" s="254" t="s">
        <v>1441</v>
      </c>
      <c r="Q337" s="49" t="n">
        <f aca="false">Calib!H15</f>
        <v>8192</v>
      </c>
      <c r="R337" s="187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5337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5996</v>
      </c>
      <c r="B338" s="254" t="s">
        <v>5304</v>
      </c>
      <c r="C338" s="30" t="s">
        <v>3263</v>
      </c>
      <c r="D338" s="30" t="s">
        <v>3332</v>
      </c>
      <c r="E338" s="6" t="s">
        <v>512</v>
      </c>
      <c r="F338" s="254" t="s">
        <v>377</v>
      </c>
      <c r="G338" s="254" t="s">
        <v>5305</v>
      </c>
      <c r="H338" s="30" t="s">
        <v>5993</v>
      </c>
      <c r="I338" s="20" t="s">
        <v>5335</v>
      </c>
      <c r="J338" s="30" t="s">
        <v>814</v>
      </c>
      <c r="K338" s="254"/>
      <c r="L338" s="254"/>
      <c r="M338" s="30" t="s">
        <v>814</v>
      </c>
      <c r="N338" s="20" t="s">
        <v>5398</v>
      </c>
      <c r="O338" s="6" t="s">
        <v>814</v>
      </c>
      <c r="P338" s="254" t="s">
        <v>1441</v>
      </c>
      <c r="Q338" s="49" t="n">
        <f aca="false">Calib!H16</f>
        <v>1024</v>
      </c>
      <c r="R338" s="187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5337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5997</v>
      </c>
      <c r="B339" s="254" t="s">
        <v>5304</v>
      </c>
      <c r="C339" s="30" t="s">
        <v>3263</v>
      </c>
      <c r="D339" s="30" t="s">
        <v>5998</v>
      </c>
      <c r="E339" s="20" t="s">
        <v>5962</v>
      </c>
      <c r="F339" s="254" t="s">
        <v>377</v>
      </c>
      <c r="G339" s="254" t="s">
        <v>5305</v>
      </c>
      <c r="H339" s="30" t="s">
        <v>5993</v>
      </c>
      <c r="I339" s="20" t="s">
        <v>5335</v>
      </c>
      <c r="J339" s="30" t="s">
        <v>814</v>
      </c>
      <c r="K339" s="254"/>
      <c r="L339" s="254"/>
      <c r="M339" s="30" t="s">
        <v>814</v>
      </c>
      <c r="N339" s="20" t="s">
        <v>5398</v>
      </c>
      <c r="O339" s="6" t="s">
        <v>814</v>
      </c>
      <c r="P339" s="254" t="s">
        <v>1441</v>
      </c>
      <c r="Q339" s="49" t="n">
        <f aca="false">Calib!H17</f>
        <v>3795.5</v>
      </c>
      <c r="R339" s="187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5337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5999</v>
      </c>
      <c r="B340" s="254" t="s">
        <v>5304</v>
      </c>
      <c r="C340" s="30" t="s">
        <v>3263</v>
      </c>
      <c r="D340" s="30" t="s">
        <v>6000</v>
      </c>
      <c r="E340" s="6" t="s">
        <v>506</v>
      </c>
      <c r="F340" s="254" t="s">
        <v>377</v>
      </c>
      <c r="G340" s="254" t="s">
        <v>5305</v>
      </c>
      <c r="H340" s="30" t="s">
        <v>6001</v>
      </c>
      <c r="I340" s="20" t="s">
        <v>5335</v>
      </c>
      <c r="J340" s="30" t="s">
        <v>814</v>
      </c>
      <c r="K340" s="254"/>
      <c r="L340" s="254"/>
      <c r="M340" s="30" t="s">
        <v>814</v>
      </c>
      <c r="N340" s="20" t="s">
        <v>5398</v>
      </c>
      <c r="O340" s="6" t="s">
        <v>814</v>
      </c>
      <c r="P340" s="254" t="s">
        <v>5308</v>
      </c>
      <c r="Q340" s="33" t="n">
        <f aca="false">Calib!I13</f>
        <v>1</v>
      </c>
      <c r="R340" s="187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5337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6002</v>
      </c>
      <c r="B341" s="254" t="s">
        <v>5304</v>
      </c>
      <c r="C341" s="30" t="s">
        <v>3263</v>
      </c>
      <c r="D341" s="30" t="s">
        <v>6003</v>
      </c>
      <c r="E341" s="20" t="s">
        <v>508</v>
      </c>
      <c r="F341" s="254" t="s">
        <v>377</v>
      </c>
      <c r="G341" s="254" t="s">
        <v>5305</v>
      </c>
      <c r="H341" s="30" t="s">
        <v>6001</v>
      </c>
      <c r="I341" s="20" t="s">
        <v>5335</v>
      </c>
      <c r="J341" s="30" t="s">
        <v>814</v>
      </c>
      <c r="K341" s="254"/>
      <c r="L341" s="254"/>
      <c r="M341" s="30" t="s">
        <v>814</v>
      </c>
      <c r="N341" s="20" t="s">
        <v>5398</v>
      </c>
      <c r="O341" s="6" t="s">
        <v>814</v>
      </c>
      <c r="P341" s="254" t="s">
        <v>1441</v>
      </c>
      <c r="Q341" s="49" t="n">
        <f aca="false">Calib!I14</f>
        <v>110</v>
      </c>
      <c r="R341" s="187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5337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6004</v>
      </c>
      <c r="B342" s="254" t="s">
        <v>5304</v>
      </c>
      <c r="C342" s="30" t="s">
        <v>3263</v>
      </c>
      <c r="D342" s="30" t="s">
        <v>6005</v>
      </c>
      <c r="E342" s="6" t="s">
        <v>510</v>
      </c>
      <c r="F342" s="254" t="s">
        <v>377</v>
      </c>
      <c r="G342" s="254" t="s">
        <v>5305</v>
      </c>
      <c r="H342" s="30" t="s">
        <v>6001</v>
      </c>
      <c r="I342" s="20" t="s">
        <v>5335</v>
      </c>
      <c r="J342" s="30" t="s">
        <v>814</v>
      </c>
      <c r="K342" s="254"/>
      <c r="L342" s="254"/>
      <c r="M342" s="30" t="s">
        <v>814</v>
      </c>
      <c r="N342" s="20" t="s">
        <v>5398</v>
      </c>
      <c r="O342" s="6" t="s">
        <v>814</v>
      </c>
      <c r="P342" s="254" t="s">
        <v>1441</v>
      </c>
      <c r="Q342" s="49" t="n">
        <f aca="false">Calib!I15</f>
        <v>8192</v>
      </c>
      <c r="R342" s="187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5337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6006</v>
      </c>
      <c r="B343" s="254" t="s">
        <v>5304</v>
      </c>
      <c r="C343" s="30" t="s">
        <v>3263</v>
      </c>
      <c r="D343" s="30" t="s">
        <v>6007</v>
      </c>
      <c r="E343" s="6" t="s">
        <v>512</v>
      </c>
      <c r="F343" s="254" t="s">
        <v>377</v>
      </c>
      <c r="G343" s="254" t="s">
        <v>5305</v>
      </c>
      <c r="H343" s="30" t="s">
        <v>6001</v>
      </c>
      <c r="I343" s="20" t="s">
        <v>5335</v>
      </c>
      <c r="J343" s="30" t="s">
        <v>814</v>
      </c>
      <c r="K343" s="254"/>
      <c r="L343" s="254"/>
      <c r="M343" s="30" t="s">
        <v>814</v>
      </c>
      <c r="N343" s="20" t="s">
        <v>5398</v>
      </c>
      <c r="O343" s="6" t="s">
        <v>814</v>
      </c>
      <c r="P343" s="254" t="s">
        <v>1441</v>
      </c>
      <c r="Q343" s="49" t="n">
        <f aca="false">Calib!I16</f>
        <v>1024</v>
      </c>
      <c r="R343" s="187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5337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6008</v>
      </c>
      <c r="B344" s="254" t="s">
        <v>5304</v>
      </c>
      <c r="C344" s="30" t="s">
        <v>3263</v>
      </c>
      <c r="D344" s="30" t="s">
        <v>6009</v>
      </c>
      <c r="E344" s="20" t="s">
        <v>5962</v>
      </c>
      <c r="F344" s="254" t="s">
        <v>377</v>
      </c>
      <c r="G344" s="254" t="s">
        <v>5305</v>
      </c>
      <c r="H344" s="30" t="s">
        <v>6001</v>
      </c>
      <c r="I344" s="20" t="s">
        <v>5335</v>
      </c>
      <c r="J344" s="30" t="s">
        <v>814</v>
      </c>
      <c r="K344" s="254"/>
      <c r="L344" s="254"/>
      <c r="M344" s="30" t="s">
        <v>814</v>
      </c>
      <c r="N344" s="20" t="s">
        <v>5398</v>
      </c>
      <c r="O344" s="6" t="s">
        <v>814</v>
      </c>
      <c r="P344" s="254" t="s">
        <v>1441</v>
      </c>
      <c r="Q344" s="49" t="n">
        <f aca="false">Calib!I17</f>
        <v>6522.4</v>
      </c>
      <c r="R344" s="187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5337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6010</v>
      </c>
      <c r="B345" s="254" t="s">
        <v>5304</v>
      </c>
      <c r="C345" s="30" t="s">
        <v>3263</v>
      </c>
      <c r="D345" s="30" t="s">
        <v>3265</v>
      </c>
      <c r="E345" s="6" t="s">
        <v>612</v>
      </c>
      <c r="F345" s="30" t="s">
        <v>180</v>
      </c>
      <c r="G345" s="254" t="s">
        <v>5305</v>
      </c>
      <c r="H345" s="30" t="s">
        <v>6011</v>
      </c>
      <c r="I345" s="20" t="s">
        <v>6012</v>
      </c>
      <c r="J345" s="30" t="s">
        <v>814</v>
      </c>
      <c r="K345" s="256" t="n">
        <v>0.8</v>
      </c>
      <c r="L345" s="256" t="n">
        <v>1.6</v>
      </c>
      <c r="M345" s="30" t="s">
        <v>6013</v>
      </c>
      <c r="N345" s="255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[Assumed]；v15.0 O8：Hopper 吞吐為保守下界（獨立對照 V7、V8、V15 顯示模型約為實測 0.26–0.27 倍；Hopper η 倍數無獨立依據，Decisions SL46-13）；對外引用 Hopper 欄請標『保守下界』</v>
      </c>
      <c r="O345" s="6" t="s">
        <v>814</v>
      </c>
      <c r="P345" s="254" t="s">
        <v>1441</v>
      </c>
      <c r="Q345" s="195" t="n">
        <f aca="false">Calib!C67</f>
        <v>1.2</v>
      </c>
      <c r="R345" s="187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5309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6014</v>
      </c>
      <c r="B346" s="254" t="s">
        <v>5304</v>
      </c>
      <c r="C346" s="30" t="s">
        <v>3263</v>
      </c>
      <c r="D346" s="30" t="s">
        <v>3266</v>
      </c>
      <c r="E346" s="6" t="s">
        <v>612</v>
      </c>
      <c r="F346" s="30" t="s">
        <v>137</v>
      </c>
      <c r="G346" s="254" t="s">
        <v>5305</v>
      </c>
      <c r="H346" s="30" t="s">
        <v>5957</v>
      </c>
      <c r="I346" s="20" t="s">
        <v>6015</v>
      </c>
      <c r="J346" s="30" t="s">
        <v>814</v>
      </c>
      <c r="K346" s="256" t="n">
        <v>0.5</v>
      </c>
      <c r="L346" s="256" t="n">
        <v>1.5</v>
      </c>
      <c r="M346" s="30" t="s">
        <v>6016</v>
      </c>
      <c r="N346" s="20" t="s">
        <v>6017</v>
      </c>
      <c r="O346" s="6" t="s">
        <v>814</v>
      </c>
      <c r="P346" s="254" t="s">
        <v>1441</v>
      </c>
      <c r="Q346" s="195" t="n">
        <f aca="false">Calib!D67</f>
        <v>1</v>
      </c>
      <c r="R346" s="187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5309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6018</v>
      </c>
      <c r="B347" s="254" t="s">
        <v>5304</v>
      </c>
      <c r="C347" s="30" t="s">
        <v>3263</v>
      </c>
      <c r="D347" s="30" t="s">
        <v>3267</v>
      </c>
      <c r="E347" s="6" t="s">
        <v>612</v>
      </c>
      <c r="F347" s="30" t="s">
        <v>137</v>
      </c>
      <c r="G347" s="254" t="s">
        <v>5305</v>
      </c>
      <c r="H347" s="30" t="s">
        <v>5957</v>
      </c>
      <c r="I347" s="20" t="s">
        <v>6015</v>
      </c>
      <c r="J347" s="30" t="s">
        <v>814</v>
      </c>
      <c r="K347" s="256" t="n">
        <v>0.5</v>
      </c>
      <c r="L347" s="256" t="n">
        <v>1.5</v>
      </c>
      <c r="M347" s="30" t="s">
        <v>6016</v>
      </c>
      <c r="N347" s="20" t="s">
        <v>6017</v>
      </c>
      <c r="O347" s="6" t="s">
        <v>814</v>
      </c>
      <c r="P347" s="254" t="s">
        <v>1441</v>
      </c>
      <c r="Q347" s="195" t="n">
        <f aca="false">Calib!E67</f>
        <v>1</v>
      </c>
      <c r="R347" s="187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5309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6019</v>
      </c>
      <c r="B348" s="254" t="s">
        <v>5304</v>
      </c>
      <c r="C348" s="30" t="s">
        <v>3263</v>
      </c>
      <c r="D348" s="30" t="s">
        <v>3268</v>
      </c>
      <c r="E348" s="6" t="s">
        <v>612</v>
      </c>
      <c r="F348" s="30" t="s">
        <v>137</v>
      </c>
      <c r="G348" s="254" t="s">
        <v>5305</v>
      </c>
      <c r="H348" s="30" t="s">
        <v>5957</v>
      </c>
      <c r="I348" s="20" t="s">
        <v>6015</v>
      </c>
      <c r="J348" s="30" t="s">
        <v>814</v>
      </c>
      <c r="K348" s="256" t="n">
        <v>0.5</v>
      </c>
      <c r="L348" s="256" t="n">
        <v>1.5</v>
      </c>
      <c r="M348" s="30" t="s">
        <v>6016</v>
      </c>
      <c r="N348" s="20" t="s">
        <v>6020</v>
      </c>
      <c r="O348" s="6" t="s">
        <v>814</v>
      </c>
      <c r="P348" s="254" t="s">
        <v>1441</v>
      </c>
      <c r="Q348" s="195" t="n">
        <f aca="false">Calib!F67</f>
        <v>1</v>
      </c>
      <c r="R348" s="187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5309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6021</v>
      </c>
      <c r="B349" s="254" t="s">
        <v>5304</v>
      </c>
      <c r="C349" s="30" t="s">
        <v>3263</v>
      </c>
      <c r="D349" s="30" t="s">
        <v>3269</v>
      </c>
      <c r="E349" s="6" t="s">
        <v>612</v>
      </c>
      <c r="F349" s="30" t="s">
        <v>137</v>
      </c>
      <c r="G349" s="254" t="s">
        <v>5305</v>
      </c>
      <c r="H349" s="30" t="s">
        <v>5957</v>
      </c>
      <c r="I349" s="20" t="s">
        <v>6015</v>
      </c>
      <c r="J349" s="30" t="s">
        <v>814</v>
      </c>
      <c r="K349" s="256" t="n">
        <v>0.5</v>
      </c>
      <c r="L349" s="256" t="n">
        <v>1.5</v>
      </c>
      <c r="M349" s="30" t="s">
        <v>6016</v>
      </c>
      <c r="N349" s="20" t="s">
        <v>6017</v>
      </c>
      <c r="O349" s="6" t="s">
        <v>814</v>
      </c>
      <c r="P349" s="254" t="s">
        <v>1441</v>
      </c>
      <c r="Q349" s="195" t="n">
        <f aca="false">Calib!G67</f>
        <v>1</v>
      </c>
      <c r="R349" s="187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5309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6022</v>
      </c>
      <c r="B350" s="254" t="s">
        <v>5304</v>
      </c>
      <c r="C350" s="30" t="s">
        <v>3263</v>
      </c>
      <c r="D350" s="30" t="s">
        <v>3270</v>
      </c>
      <c r="E350" s="20" t="s">
        <v>614</v>
      </c>
      <c r="F350" s="208" t="s">
        <v>132</v>
      </c>
      <c r="G350" s="254" t="s">
        <v>5305</v>
      </c>
      <c r="H350" s="30" t="s">
        <v>814</v>
      </c>
      <c r="I350" s="6" t="s">
        <v>814</v>
      </c>
      <c r="J350" s="30" t="s">
        <v>6023</v>
      </c>
      <c r="K350" s="256" t="n">
        <v>1</v>
      </c>
      <c r="L350" s="256" t="n">
        <v>1.5</v>
      </c>
      <c r="M350" s="30" t="s">
        <v>6024</v>
      </c>
      <c r="N350" s="255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6" t="s">
        <v>6025</v>
      </c>
      <c r="P350" s="254" t="s">
        <v>1441</v>
      </c>
      <c r="Q350" s="195" t="n">
        <f aca="false">Calib!C68</f>
        <v>1.5</v>
      </c>
      <c r="R350" s="30" t="s">
        <v>814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5309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6026</v>
      </c>
    </row>
    <row r="351" customFormat="false" ht="15" hidden="false" customHeight="true" outlineLevel="0" collapsed="false">
      <c r="A351" s="30" t="s">
        <v>6027</v>
      </c>
      <c r="B351" s="254" t="s">
        <v>5304</v>
      </c>
      <c r="C351" s="30" t="s">
        <v>3263</v>
      </c>
      <c r="D351" s="30" t="s">
        <v>3271</v>
      </c>
      <c r="E351" s="20" t="s">
        <v>614</v>
      </c>
      <c r="F351" s="30" t="s">
        <v>132</v>
      </c>
      <c r="G351" s="254" t="s">
        <v>5305</v>
      </c>
      <c r="H351" s="30" t="s">
        <v>814</v>
      </c>
      <c r="I351" s="6" t="s">
        <v>814</v>
      </c>
      <c r="J351" s="30" t="s">
        <v>6028</v>
      </c>
      <c r="K351" s="256" t="n">
        <v>1</v>
      </c>
      <c r="L351" s="256" t="n">
        <v>1.5</v>
      </c>
      <c r="M351" s="30" t="s">
        <v>6029</v>
      </c>
      <c r="N351" s="20" t="s">
        <v>6030</v>
      </c>
      <c r="O351" s="6" t="s">
        <v>814</v>
      </c>
      <c r="P351" s="254" t="s">
        <v>1441</v>
      </c>
      <c r="Q351" s="195" t="n">
        <f aca="false">Calib!D68</f>
        <v>1</v>
      </c>
      <c r="R351" s="30" t="s">
        <v>814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5309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6031</v>
      </c>
      <c r="B352" s="254" t="s">
        <v>5304</v>
      </c>
      <c r="C352" s="30" t="s">
        <v>3263</v>
      </c>
      <c r="D352" s="30" t="s">
        <v>3272</v>
      </c>
      <c r="E352" s="20" t="s">
        <v>614</v>
      </c>
      <c r="F352" s="30" t="s">
        <v>132</v>
      </c>
      <c r="G352" s="254" t="s">
        <v>5305</v>
      </c>
      <c r="H352" s="30" t="s">
        <v>814</v>
      </c>
      <c r="I352" s="6" t="s">
        <v>814</v>
      </c>
      <c r="J352" s="30" t="s">
        <v>6028</v>
      </c>
      <c r="K352" s="256" t="n">
        <v>1</v>
      </c>
      <c r="L352" s="256" t="n">
        <v>1.5</v>
      </c>
      <c r="M352" s="30" t="s">
        <v>6029</v>
      </c>
      <c r="N352" s="20" t="s">
        <v>6030</v>
      </c>
      <c r="O352" s="6" t="s">
        <v>814</v>
      </c>
      <c r="P352" s="254" t="s">
        <v>1441</v>
      </c>
      <c r="Q352" s="195" t="n">
        <f aca="false">Calib!E68</f>
        <v>1</v>
      </c>
      <c r="R352" s="30" t="s">
        <v>814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5309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6032</v>
      </c>
      <c r="B353" s="254" t="s">
        <v>5304</v>
      </c>
      <c r="C353" s="30" t="s">
        <v>3263</v>
      </c>
      <c r="D353" s="30" t="s">
        <v>3273</v>
      </c>
      <c r="E353" s="20" t="s">
        <v>614</v>
      </c>
      <c r="F353" s="30" t="s">
        <v>132</v>
      </c>
      <c r="G353" s="254" t="s">
        <v>5305</v>
      </c>
      <c r="H353" s="30" t="s">
        <v>814</v>
      </c>
      <c r="I353" s="6" t="s">
        <v>814</v>
      </c>
      <c r="J353" s="30" t="s">
        <v>6028</v>
      </c>
      <c r="K353" s="256" t="n">
        <v>1</v>
      </c>
      <c r="L353" s="256" t="n">
        <v>1.5</v>
      </c>
      <c r="M353" s="30" t="s">
        <v>6029</v>
      </c>
      <c r="N353" s="20" t="s">
        <v>6030</v>
      </c>
      <c r="O353" s="6" t="s">
        <v>814</v>
      </c>
      <c r="P353" s="254" t="s">
        <v>1441</v>
      </c>
      <c r="Q353" s="195" t="n">
        <f aca="false">Calib!F68</f>
        <v>1</v>
      </c>
      <c r="R353" s="30" t="s">
        <v>814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5309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6033</v>
      </c>
      <c r="B354" s="254" t="s">
        <v>5304</v>
      </c>
      <c r="C354" s="30" t="s">
        <v>3263</v>
      </c>
      <c r="D354" s="30" t="s">
        <v>3274</v>
      </c>
      <c r="E354" s="20" t="s">
        <v>614</v>
      </c>
      <c r="F354" s="30" t="s">
        <v>132</v>
      </c>
      <c r="G354" s="254" t="s">
        <v>5305</v>
      </c>
      <c r="H354" s="30" t="s">
        <v>814</v>
      </c>
      <c r="I354" s="6" t="s">
        <v>814</v>
      </c>
      <c r="J354" s="30" t="s">
        <v>6028</v>
      </c>
      <c r="K354" s="256" t="n">
        <v>1</v>
      </c>
      <c r="L354" s="256" t="n">
        <v>1.5</v>
      </c>
      <c r="M354" s="30" t="s">
        <v>6029</v>
      </c>
      <c r="N354" s="20" t="s">
        <v>6030</v>
      </c>
      <c r="O354" s="6" t="s">
        <v>814</v>
      </c>
      <c r="P354" s="254" t="s">
        <v>1441</v>
      </c>
      <c r="Q354" s="195" t="n">
        <f aca="false">Calib!G68</f>
        <v>1</v>
      </c>
      <c r="R354" s="30" t="s">
        <v>814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5309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6034</v>
      </c>
      <c r="B355" s="254" t="s">
        <v>5304</v>
      </c>
      <c r="C355" s="30" t="s">
        <v>3263</v>
      </c>
      <c r="D355" s="30" t="s">
        <v>6035</v>
      </c>
      <c r="E355" s="6" t="s">
        <v>616</v>
      </c>
      <c r="F355" s="30" t="s">
        <v>5369</v>
      </c>
      <c r="G355" s="254" t="s">
        <v>5305</v>
      </c>
      <c r="H355" s="30" t="s">
        <v>814</v>
      </c>
      <c r="I355" s="20" t="s">
        <v>6036</v>
      </c>
      <c r="J355" s="30" t="s">
        <v>5529</v>
      </c>
      <c r="K355" s="256"/>
      <c r="L355" s="256"/>
      <c r="M355" s="30" t="s">
        <v>814</v>
      </c>
      <c r="N355" s="259" t="s">
        <v>6037</v>
      </c>
      <c r="O355" s="6" t="s">
        <v>6038</v>
      </c>
      <c r="P355" s="254" t="s">
        <v>5351</v>
      </c>
      <c r="Q355" s="195" t="n">
        <f aca="false">Calib!C69</f>
        <v>0.499747347145023</v>
      </c>
      <c r="R355" s="30" t="s">
        <v>814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5337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6039</v>
      </c>
      <c r="B356" s="254" t="s">
        <v>5304</v>
      </c>
      <c r="C356" s="30" t="s">
        <v>3263</v>
      </c>
      <c r="D356" s="30" t="s">
        <v>3275</v>
      </c>
      <c r="E356" s="6" t="s">
        <v>616</v>
      </c>
      <c r="F356" s="30" t="s">
        <v>132</v>
      </c>
      <c r="G356" s="254" t="s">
        <v>5305</v>
      </c>
      <c r="H356" s="30" t="s">
        <v>814</v>
      </c>
      <c r="I356" s="6" t="s">
        <v>814</v>
      </c>
      <c r="J356" s="30" t="s">
        <v>6040</v>
      </c>
      <c r="K356" s="256" t="n">
        <v>0.5</v>
      </c>
      <c r="L356" s="256" t="n">
        <v>1.5</v>
      </c>
      <c r="M356" s="30" t="s">
        <v>6041</v>
      </c>
      <c r="N356" s="6" t="s">
        <v>6042</v>
      </c>
      <c r="O356" s="6" t="s">
        <v>814</v>
      </c>
      <c r="P356" s="254" t="s">
        <v>5351</v>
      </c>
      <c r="Q356" s="195" t="n">
        <f aca="false">Calib!D69</f>
        <v>1</v>
      </c>
      <c r="R356" s="30" t="s">
        <v>814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5309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6043</v>
      </c>
      <c r="B357" s="254" t="s">
        <v>5304</v>
      </c>
      <c r="C357" s="30" t="s">
        <v>3263</v>
      </c>
      <c r="D357" s="30" t="s">
        <v>3276</v>
      </c>
      <c r="E357" s="6" t="s">
        <v>616</v>
      </c>
      <c r="F357" s="30" t="s">
        <v>132</v>
      </c>
      <c r="G357" s="254" t="s">
        <v>5305</v>
      </c>
      <c r="H357" s="30" t="s">
        <v>814</v>
      </c>
      <c r="I357" s="6" t="s">
        <v>814</v>
      </c>
      <c r="J357" s="30" t="s">
        <v>6040</v>
      </c>
      <c r="K357" s="256" t="n">
        <v>0.5</v>
      </c>
      <c r="L357" s="256" t="n">
        <v>1.5</v>
      </c>
      <c r="M357" s="30" t="s">
        <v>6041</v>
      </c>
      <c r="N357" s="6" t="s">
        <v>6042</v>
      </c>
      <c r="O357" s="6" t="s">
        <v>814</v>
      </c>
      <c r="P357" s="254" t="s">
        <v>5351</v>
      </c>
      <c r="Q357" s="195" t="n">
        <f aca="false">Calib!E69</f>
        <v>1</v>
      </c>
      <c r="R357" s="30" t="s">
        <v>814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5309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6044</v>
      </c>
      <c r="B358" s="254" t="s">
        <v>5304</v>
      </c>
      <c r="C358" s="30" t="s">
        <v>3263</v>
      </c>
      <c r="D358" s="30" t="s">
        <v>3277</v>
      </c>
      <c r="E358" s="6" t="s">
        <v>616</v>
      </c>
      <c r="F358" s="30" t="s">
        <v>132</v>
      </c>
      <c r="G358" s="254" t="s">
        <v>5305</v>
      </c>
      <c r="H358" s="30" t="s">
        <v>814</v>
      </c>
      <c r="I358" s="6" t="s">
        <v>814</v>
      </c>
      <c r="J358" s="30" t="s">
        <v>6028</v>
      </c>
      <c r="K358" s="256" t="n">
        <v>0.5</v>
      </c>
      <c r="L358" s="256" t="n">
        <v>1.5</v>
      </c>
      <c r="M358" s="30" t="s">
        <v>6041</v>
      </c>
      <c r="N358" s="6" t="s">
        <v>6045</v>
      </c>
      <c r="O358" s="6" t="s">
        <v>814</v>
      </c>
      <c r="P358" s="254" t="s">
        <v>1441</v>
      </c>
      <c r="Q358" s="195" t="n">
        <f aca="false">Calib!F69</f>
        <v>1</v>
      </c>
      <c r="R358" s="30" t="s">
        <v>814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5309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6046</v>
      </c>
      <c r="B359" s="254" t="s">
        <v>5304</v>
      </c>
      <c r="C359" s="30" t="s">
        <v>3263</v>
      </c>
      <c r="D359" s="30" t="s">
        <v>3278</v>
      </c>
      <c r="E359" s="6" t="s">
        <v>616</v>
      </c>
      <c r="F359" s="30" t="s">
        <v>132</v>
      </c>
      <c r="G359" s="254" t="s">
        <v>5305</v>
      </c>
      <c r="H359" s="30" t="s">
        <v>814</v>
      </c>
      <c r="I359" s="6" t="s">
        <v>814</v>
      </c>
      <c r="J359" s="30" t="s">
        <v>6040</v>
      </c>
      <c r="K359" s="256" t="n">
        <v>0.5</v>
      </c>
      <c r="L359" s="256" t="n">
        <v>1.5</v>
      </c>
      <c r="M359" s="30" t="s">
        <v>6041</v>
      </c>
      <c r="N359" s="6" t="s">
        <v>6042</v>
      </c>
      <c r="O359" s="6" t="s">
        <v>814</v>
      </c>
      <c r="P359" s="254" t="s">
        <v>5351</v>
      </c>
      <c r="Q359" s="195" t="n">
        <f aca="false">Calib!G69</f>
        <v>1</v>
      </c>
      <c r="R359" s="30" t="s">
        <v>814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5309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6047</v>
      </c>
      <c r="B360" s="254" t="s">
        <v>5304</v>
      </c>
      <c r="C360" s="30" t="s">
        <v>3263</v>
      </c>
      <c r="D360" s="30" t="s">
        <v>6048</v>
      </c>
      <c r="E360" s="6" t="s">
        <v>654</v>
      </c>
      <c r="F360" s="254" t="s">
        <v>6049</v>
      </c>
      <c r="G360" s="254" t="s">
        <v>5953</v>
      </c>
      <c r="H360" s="30" t="s">
        <v>814</v>
      </c>
      <c r="I360" s="6" t="s">
        <v>814</v>
      </c>
      <c r="J360" s="30" t="s">
        <v>6050</v>
      </c>
      <c r="K360" s="254"/>
      <c r="L360" s="254"/>
      <c r="M360" s="30" t="s">
        <v>814</v>
      </c>
      <c r="N360" s="6" t="s">
        <v>6051</v>
      </c>
      <c r="O360" s="6" t="s">
        <v>814</v>
      </c>
      <c r="P360" s="30" t="s">
        <v>814</v>
      </c>
      <c r="Q360" s="187" t="s">
        <v>814</v>
      </c>
      <c r="R360" s="30" t="s">
        <v>814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814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6052</v>
      </c>
      <c r="B361" s="254" t="s">
        <v>5304</v>
      </c>
      <c r="C361" s="30" t="s">
        <v>3263</v>
      </c>
      <c r="D361" s="30" t="s">
        <v>6053</v>
      </c>
      <c r="E361" s="20" t="s">
        <v>314</v>
      </c>
      <c r="F361" s="254" t="s">
        <v>377</v>
      </c>
      <c r="G361" s="254" t="s">
        <v>5305</v>
      </c>
      <c r="H361" s="30" t="s">
        <v>6054</v>
      </c>
      <c r="I361" s="20" t="s">
        <v>5335</v>
      </c>
      <c r="J361" s="30" t="s">
        <v>814</v>
      </c>
      <c r="K361" s="254"/>
      <c r="L361" s="254"/>
      <c r="M361" s="30" t="s">
        <v>814</v>
      </c>
      <c r="N361" s="20" t="s">
        <v>5398</v>
      </c>
      <c r="O361" s="6" t="s">
        <v>814</v>
      </c>
      <c r="P361" s="254" t="s">
        <v>5308</v>
      </c>
      <c r="Q361" s="49" t="n">
        <f aca="false">Calib!C100</f>
        <v>671</v>
      </c>
      <c r="R361" s="187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5337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6055</v>
      </c>
      <c r="B362" s="254" t="s">
        <v>5304</v>
      </c>
      <c r="C362" s="30" t="s">
        <v>3263</v>
      </c>
      <c r="D362" s="30" t="s">
        <v>6056</v>
      </c>
      <c r="E362" s="20" t="s">
        <v>317</v>
      </c>
      <c r="F362" s="254" t="s">
        <v>377</v>
      </c>
      <c r="G362" s="254" t="s">
        <v>5305</v>
      </c>
      <c r="H362" s="30" t="s">
        <v>6057</v>
      </c>
      <c r="I362" s="20" t="s">
        <v>5335</v>
      </c>
      <c r="J362" s="30" t="s">
        <v>814</v>
      </c>
      <c r="K362" s="254"/>
      <c r="L362" s="254"/>
      <c r="M362" s="30" t="s">
        <v>814</v>
      </c>
      <c r="N362" s="20" t="s">
        <v>5398</v>
      </c>
      <c r="O362" s="6" t="s">
        <v>814</v>
      </c>
      <c r="P362" s="254" t="s">
        <v>5308</v>
      </c>
      <c r="Q362" s="49" t="n">
        <f aca="false">Calib!C101</f>
        <v>37</v>
      </c>
      <c r="R362" s="187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5337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6058</v>
      </c>
      <c r="B363" s="254" t="s">
        <v>5304</v>
      </c>
      <c r="C363" s="30" t="s">
        <v>3263</v>
      </c>
      <c r="D363" s="30" t="s">
        <v>6059</v>
      </c>
      <c r="E363" s="20" t="s">
        <v>319</v>
      </c>
      <c r="F363" s="254" t="s">
        <v>377</v>
      </c>
      <c r="G363" s="254" t="s">
        <v>5305</v>
      </c>
      <c r="H363" s="30" t="s">
        <v>6060</v>
      </c>
      <c r="I363" s="20" t="s">
        <v>5335</v>
      </c>
      <c r="J363" s="30" t="s">
        <v>814</v>
      </c>
      <c r="K363" s="254"/>
      <c r="L363" s="254"/>
      <c r="M363" s="30" t="s">
        <v>814</v>
      </c>
      <c r="N363" s="20" t="s">
        <v>5398</v>
      </c>
      <c r="O363" s="6" t="s">
        <v>814</v>
      </c>
      <c r="P363" s="254" t="s">
        <v>5308</v>
      </c>
      <c r="Q363" s="49" t="n">
        <f aca="false">Calib!C102</f>
        <v>61</v>
      </c>
      <c r="R363" s="187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5337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6061</v>
      </c>
      <c r="B364" s="254" t="s">
        <v>5304</v>
      </c>
      <c r="C364" s="30" t="s">
        <v>3263</v>
      </c>
      <c r="D364" s="30" t="s">
        <v>6062</v>
      </c>
      <c r="E364" s="6" t="s">
        <v>322</v>
      </c>
      <c r="F364" s="254" t="s">
        <v>377</v>
      </c>
      <c r="G364" s="254" t="s">
        <v>5305</v>
      </c>
      <c r="H364" s="30" t="s">
        <v>6063</v>
      </c>
      <c r="I364" s="20" t="s">
        <v>5335</v>
      </c>
      <c r="J364" s="30" t="s">
        <v>814</v>
      </c>
      <c r="K364" s="254"/>
      <c r="L364" s="254"/>
      <c r="M364" s="30" t="s">
        <v>814</v>
      </c>
      <c r="N364" s="20" t="s">
        <v>5398</v>
      </c>
      <c r="O364" s="6" t="s">
        <v>814</v>
      </c>
      <c r="P364" s="254" t="s">
        <v>5308</v>
      </c>
      <c r="Q364" s="49" t="n">
        <f aca="false">Calib!C103</f>
        <v>7168</v>
      </c>
      <c r="R364" s="187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5337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6064</v>
      </c>
      <c r="B365" s="254" t="s">
        <v>5304</v>
      </c>
      <c r="C365" s="30" t="s">
        <v>3263</v>
      </c>
      <c r="D365" s="30" t="s">
        <v>6065</v>
      </c>
      <c r="E365" s="6" t="s">
        <v>329</v>
      </c>
      <c r="F365" s="254" t="s">
        <v>377</v>
      </c>
      <c r="G365" s="254" t="s">
        <v>5305</v>
      </c>
      <c r="H365" s="30" t="s">
        <v>6066</v>
      </c>
      <c r="I365" s="20" t="s">
        <v>5335</v>
      </c>
      <c r="J365" s="30" t="s">
        <v>814</v>
      </c>
      <c r="K365" s="254"/>
      <c r="L365" s="254"/>
      <c r="M365" s="30" t="s">
        <v>814</v>
      </c>
      <c r="N365" s="20" t="s">
        <v>5398</v>
      </c>
      <c r="O365" s="6" t="s">
        <v>814</v>
      </c>
      <c r="P365" s="254" t="s">
        <v>5308</v>
      </c>
      <c r="Q365" s="49" t="n">
        <f aca="false">Calib!C104</f>
        <v>256</v>
      </c>
      <c r="R365" s="187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5337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6067</v>
      </c>
      <c r="B366" s="254" t="s">
        <v>5304</v>
      </c>
      <c r="C366" s="30" t="s">
        <v>3263</v>
      </c>
      <c r="D366" s="30" t="s">
        <v>6068</v>
      </c>
      <c r="E366" s="20" t="s">
        <v>6069</v>
      </c>
      <c r="F366" s="254" t="s">
        <v>377</v>
      </c>
      <c r="G366" s="254" t="s">
        <v>5305</v>
      </c>
      <c r="H366" s="30" t="s">
        <v>6070</v>
      </c>
      <c r="I366" s="20" t="s">
        <v>5335</v>
      </c>
      <c r="J366" s="30" t="s">
        <v>814</v>
      </c>
      <c r="K366" s="254"/>
      <c r="L366" s="254"/>
      <c r="M366" s="30" t="s">
        <v>814</v>
      </c>
      <c r="N366" s="20" t="s">
        <v>5398</v>
      </c>
      <c r="O366" s="6" t="s">
        <v>814</v>
      </c>
      <c r="P366" s="254" t="s">
        <v>5308</v>
      </c>
      <c r="Q366" s="49" t="n">
        <f aca="false">Calib!C105</f>
        <v>8</v>
      </c>
      <c r="R366" s="187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5337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6071</v>
      </c>
      <c r="B367" s="254" t="s">
        <v>5304</v>
      </c>
      <c r="C367" s="30" t="s">
        <v>3263</v>
      </c>
      <c r="D367" s="30" t="s">
        <v>6072</v>
      </c>
      <c r="E367" s="6" t="s">
        <v>331</v>
      </c>
      <c r="F367" s="254" t="s">
        <v>377</v>
      </c>
      <c r="G367" s="254" t="s">
        <v>5305</v>
      </c>
      <c r="H367" s="30" t="s">
        <v>6073</v>
      </c>
      <c r="I367" s="20" t="s">
        <v>5335</v>
      </c>
      <c r="J367" s="30" t="s">
        <v>814</v>
      </c>
      <c r="K367" s="254"/>
      <c r="L367" s="254"/>
      <c r="M367" s="30" t="s">
        <v>814</v>
      </c>
      <c r="N367" s="20" t="s">
        <v>5398</v>
      </c>
      <c r="O367" s="6" t="s">
        <v>814</v>
      </c>
      <c r="P367" s="254" t="s">
        <v>5308</v>
      </c>
      <c r="Q367" s="49" t="n">
        <f aca="false">Calib!C106</f>
        <v>1</v>
      </c>
      <c r="R367" s="187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5337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6074</v>
      </c>
      <c r="B368" s="254" t="s">
        <v>5304</v>
      </c>
      <c r="C368" s="30" t="s">
        <v>3263</v>
      </c>
      <c r="D368" s="30" t="s">
        <v>6075</v>
      </c>
      <c r="E368" s="6" t="s">
        <v>332</v>
      </c>
      <c r="F368" s="254" t="s">
        <v>377</v>
      </c>
      <c r="G368" s="254" t="s">
        <v>5305</v>
      </c>
      <c r="H368" s="30" t="s">
        <v>6076</v>
      </c>
      <c r="I368" s="20" t="s">
        <v>5335</v>
      </c>
      <c r="J368" s="30" t="s">
        <v>814</v>
      </c>
      <c r="K368" s="254"/>
      <c r="L368" s="254"/>
      <c r="M368" s="30" t="s">
        <v>814</v>
      </c>
      <c r="N368" s="20" t="s">
        <v>5398</v>
      </c>
      <c r="O368" s="6" t="s">
        <v>814</v>
      </c>
      <c r="P368" s="254" t="s">
        <v>5308</v>
      </c>
      <c r="Q368" s="49" t="n">
        <f aca="false">Calib!C107</f>
        <v>129280</v>
      </c>
      <c r="R368" s="187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5337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6077</v>
      </c>
      <c r="B369" s="254" t="s">
        <v>5304</v>
      </c>
      <c r="C369" s="30" t="s">
        <v>3263</v>
      </c>
      <c r="D369" s="30" t="s">
        <v>6078</v>
      </c>
      <c r="E369" s="6" t="s">
        <v>672</v>
      </c>
      <c r="F369" s="254" t="s">
        <v>377</v>
      </c>
      <c r="G369" s="254" t="s">
        <v>5305</v>
      </c>
      <c r="H369" s="30" t="s">
        <v>6079</v>
      </c>
      <c r="I369" s="20" t="s">
        <v>5569</v>
      </c>
      <c r="J369" s="30" t="s">
        <v>814</v>
      </c>
      <c r="K369" s="254"/>
      <c r="L369" s="254"/>
      <c r="M369" s="30" t="s">
        <v>814</v>
      </c>
      <c r="N369" s="20" t="s">
        <v>5398</v>
      </c>
      <c r="O369" s="6" t="s">
        <v>814</v>
      </c>
      <c r="P369" s="254" t="s">
        <v>5308</v>
      </c>
      <c r="Q369" s="49" t="n">
        <f aca="false">Calib!C108</f>
        <v>35136</v>
      </c>
      <c r="R369" s="187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5337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6080</v>
      </c>
      <c r="B370" s="254" t="s">
        <v>5304</v>
      </c>
      <c r="C370" s="30" t="s">
        <v>3263</v>
      </c>
      <c r="D370" s="30" t="s">
        <v>6081</v>
      </c>
      <c r="E370" s="20" t="s">
        <v>6082</v>
      </c>
      <c r="F370" s="254" t="s">
        <v>377</v>
      </c>
      <c r="G370" s="254" t="s">
        <v>5305</v>
      </c>
      <c r="H370" s="30" t="s">
        <v>6083</v>
      </c>
      <c r="I370" s="20" t="s">
        <v>5569</v>
      </c>
      <c r="J370" s="30" t="s">
        <v>814</v>
      </c>
      <c r="K370" s="254"/>
      <c r="L370" s="254"/>
      <c r="M370" s="30" t="s">
        <v>814</v>
      </c>
      <c r="N370" s="20" t="s">
        <v>5398</v>
      </c>
      <c r="O370" s="6" t="s">
        <v>814</v>
      </c>
      <c r="P370" s="254" t="s">
        <v>5308</v>
      </c>
      <c r="Q370" s="49" t="n">
        <f aca="false">Calib!C109</f>
        <v>4997120</v>
      </c>
      <c r="R370" s="187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5337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6084</v>
      </c>
      <c r="B371" s="254" t="s">
        <v>5304</v>
      </c>
      <c r="C371" s="30" t="s">
        <v>3263</v>
      </c>
      <c r="D371" s="30" t="s">
        <v>6085</v>
      </c>
      <c r="E371" s="20" t="s">
        <v>6086</v>
      </c>
      <c r="F371" s="254" t="s">
        <v>377</v>
      </c>
      <c r="G371" s="254" t="s">
        <v>5305</v>
      </c>
      <c r="H371" s="30" t="s">
        <v>6087</v>
      </c>
      <c r="I371" s="20" t="s">
        <v>5335</v>
      </c>
      <c r="J371" s="30" t="s">
        <v>814</v>
      </c>
      <c r="K371" s="254"/>
      <c r="L371" s="254"/>
      <c r="M371" s="30" t="s">
        <v>814</v>
      </c>
      <c r="N371" s="20" t="s">
        <v>5398</v>
      </c>
      <c r="O371" s="6" t="s">
        <v>814</v>
      </c>
      <c r="P371" s="254" t="s">
        <v>5308</v>
      </c>
      <c r="Q371" s="49" t="n">
        <f aca="false">Calib!C110</f>
        <v>800</v>
      </c>
      <c r="R371" s="187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5337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6088</v>
      </c>
      <c r="B372" s="254" t="s">
        <v>5304</v>
      </c>
      <c r="C372" s="30" t="s">
        <v>3263</v>
      </c>
      <c r="D372" s="30" t="s">
        <v>6089</v>
      </c>
      <c r="E372" s="20" t="s">
        <v>6090</v>
      </c>
      <c r="F372" s="254" t="s">
        <v>377</v>
      </c>
      <c r="G372" s="254" t="s">
        <v>5305</v>
      </c>
      <c r="H372" s="30" t="s">
        <v>6091</v>
      </c>
      <c r="I372" s="20" t="s">
        <v>5335</v>
      </c>
      <c r="J372" s="30" t="s">
        <v>814</v>
      </c>
      <c r="K372" s="254"/>
      <c r="L372" s="254"/>
      <c r="M372" s="30" t="s">
        <v>814</v>
      </c>
      <c r="N372" s="20" t="s">
        <v>5398</v>
      </c>
      <c r="O372" s="6" t="s">
        <v>814</v>
      </c>
      <c r="P372" s="254" t="s">
        <v>5308</v>
      </c>
      <c r="Q372" s="49" t="n">
        <f aca="false">Calib!C111</f>
        <v>3880</v>
      </c>
      <c r="R372" s="187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5337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6092</v>
      </c>
      <c r="B373" s="254" t="s">
        <v>5304</v>
      </c>
      <c r="C373" s="30" t="s">
        <v>3263</v>
      </c>
      <c r="D373" s="30" t="s">
        <v>6093</v>
      </c>
      <c r="E373" s="20" t="s">
        <v>498</v>
      </c>
      <c r="F373" s="254" t="s">
        <v>5952</v>
      </c>
      <c r="G373" s="254" t="s">
        <v>5953</v>
      </c>
      <c r="H373" s="30" t="s">
        <v>814</v>
      </c>
      <c r="I373" s="6" t="s">
        <v>814</v>
      </c>
      <c r="J373" s="30" t="s">
        <v>5954</v>
      </c>
      <c r="K373" s="254"/>
      <c r="L373" s="254"/>
      <c r="M373" s="30" t="s">
        <v>814</v>
      </c>
      <c r="N373" s="6" t="s">
        <v>6094</v>
      </c>
      <c r="O373" s="6" t="s">
        <v>814</v>
      </c>
      <c r="P373" s="30" t="s">
        <v>814</v>
      </c>
      <c r="Q373" s="187" t="s">
        <v>814</v>
      </c>
      <c r="R373" s="30" t="s">
        <v>814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814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6095</v>
      </c>
      <c r="B374" s="254" t="s">
        <v>5304</v>
      </c>
      <c r="C374" s="30" t="s">
        <v>3263</v>
      </c>
      <c r="D374" s="30" t="s">
        <v>6096</v>
      </c>
      <c r="E374" s="20" t="s">
        <v>6097</v>
      </c>
      <c r="F374" s="254" t="s">
        <v>377</v>
      </c>
      <c r="G374" s="254" t="s">
        <v>5305</v>
      </c>
      <c r="H374" s="30" t="s">
        <v>6098</v>
      </c>
      <c r="I374" s="20" t="s">
        <v>5569</v>
      </c>
      <c r="J374" s="30" t="s">
        <v>814</v>
      </c>
      <c r="K374" s="254"/>
      <c r="L374" s="254"/>
      <c r="M374" s="30" t="s">
        <v>814</v>
      </c>
      <c r="N374" s="20" t="s">
        <v>5398</v>
      </c>
      <c r="O374" s="6" t="s">
        <v>814</v>
      </c>
      <c r="P374" s="254" t="s">
        <v>5308</v>
      </c>
      <c r="Q374" s="198" t="n">
        <f aca="false">Calib!C118</f>
        <v>66.6666666666667</v>
      </c>
      <c r="R374" s="187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5337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6099</v>
      </c>
      <c r="B375" s="254" t="s">
        <v>5304</v>
      </c>
      <c r="C375" s="30" t="s">
        <v>3263</v>
      </c>
      <c r="D375" s="30" t="s">
        <v>6100</v>
      </c>
      <c r="E375" s="20" t="s">
        <v>6097</v>
      </c>
      <c r="F375" s="254" t="s">
        <v>377</v>
      </c>
      <c r="G375" s="254" t="s">
        <v>5305</v>
      </c>
      <c r="H375" s="30" t="s">
        <v>6098</v>
      </c>
      <c r="I375" s="20" t="s">
        <v>5569</v>
      </c>
      <c r="J375" s="30" t="s">
        <v>814</v>
      </c>
      <c r="K375" s="254"/>
      <c r="L375" s="254"/>
      <c r="M375" s="30" t="s">
        <v>814</v>
      </c>
      <c r="N375" s="20" t="s">
        <v>5398</v>
      </c>
      <c r="O375" s="6" t="s">
        <v>814</v>
      </c>
      <c r="P375" s="254" t="s">
        <v>5308</v>
      </c>
      <c r="Q375" s="198" t="n">
        <f aca="false">Calib!D118</f>
        <v>66.6666666666667</v>
      </c>
      <c r="R375" s="187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5337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6101</v>
      </c>
      <c r="B376" s="254" t="s">
        <v>5304</v>
      </c>
      <c r="C376" s="30" t="s">
        <v>3263</v>
      </c>
      <c r="D376" s="30" t="s">
        <v>6102</v>
      </c>
      <c r="E376" s="20" t="s">
        <v>6097</v>
      </c>
      <c r="F376" s="254" t="s">
        <v>377</v>
      </c>
      <c r="G376" s="254" t="s">
        <v>5305</v>
      </c>
      <c r="H376" s="30" t="s">
        <v>6098</v>
      </c>
      <c r="I376" s="20" t="s">
        <v>5569</v>
      </c>
      <c r="J376" s="30" t="s">
        <v>814</v>
      </c>
      <c r="K376" s="254"/>
      <c r="L376" s="254"/>
      <c r="M376" s="30" t="s">
        <v>814</v>
      </c>
      <c r="N376" s="20" t="s">
        <v>5398</v>
      </c>
      <c r="O376" s="6" t="s">
        <v>814</v>
      </c>
      <c r="P376" s="254" t="s">
        <v>5308</v>
      </c>
      <c r="Q376" s="198" t="n">
        <f aca="false">Calib!E118</f>
        <v>66.6666666666667</v>
      </c>
      <c r="R376" s="187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5337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6103</v>
      </c>
      <c r="B377" s="254" t="s">
        <v>5304</v>
      </c>
      <c r="C377" s="30" t="s">
        <v>3263</v>
      </c>
      <c r="D377" s="30" t="s">
        <v>6104</v>
      </c>
      <c r="E377" s="20" t="s">
        <v>6097</v>
      </c>
      <c r="F377" s="254" t="s">
        <v>377</v>
      </c>
      <c r="G377" s="254" t="s">
        <v>5305</v>
      </c>
      <c r="H377" s="30" t="s">
        <v>6105</v>
      </c>
      <c r="I377" s="20" t="s">
        <v>5569</v>
      </c>
      <c r="J377" s="30" t="s">
        <v>814</v>
      </c>
      <c r="K377" s="254"/>
      <c r="L377" s="254"/>
      <c r="M377" s="30" t="s">
        <v>814</v>
      </c>
      <c r="N377" s="20" t="s">
        <v>5398</v>
      </c>
      <c r="O377" s="6" t="s">
        <v>814</v>
      </c>
      <c r="P377" s="254" t="s">
        <v>5308</v>
      </c>
      <c r="Q377" s="198" t="n">
        <f aca="false">Calib!F118</f>
        <v>12.5</v>
      </c>
      <c r="R377" s="187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5337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6106</v>
      </c>
      <c r="B378" s="254" t="s">
        <v>5304</v>
      </c>
      <c r="C378" s="30" t="s">
        <v>3263</v>
      </c>
      <c r="D378" s="30" t="s">
        <v>6107</v>
      </c>
      <c r="E378" s="20" t="s">
        <v>6108</v>
      </c>
      <c r="F378" s="254" t="s">
        <v>5437</v>
      </c>
      <c r="G378" s="254" t="s">
        <v>5305</v>
      </c>
      <c r="H378" s="30" t="s">
        <v>5792</v>
      </c>
      <c r="I378" s="20" t="s">
        <v>6109</v>
      </c>
      <c r="J378" s="30" t="s">
        <v>814</v>
      </c>
      <c r="K378" s="254"/>
      <c r="L378" s="254"/>
      <c r="M378" s="30" t="s">
        <v>814</v>
      </c>
      <c r="N378" s="20" t="s">
        <v>6110</v>
      </c>
      <c r="O378" s="6" t="s">
        <v>814</v>
      </c>
      <c r="P378" s="254" t="s">
        <v>5308</v>
      </c>
      <c r="Q378" s="33" t="n">
        <f aca="false">Calib!C119</f>
        <v>1</v>
      </c>
      <c r="R378" s="187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5309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6111</v>
      </c>
      <c r="B379" s="254" t="s">
        <v>5304</v>
      </c>
      <c r="C379" s="30" t="s">
        <v>3263</v>
      </c>
      <c r="D379" s="30" t="s">
        <v>6112</v>
      </c>
      <c r="E379" s="20" t="s">
        <v>6108</v>
      </c>
      <c r="F379" s="254" t="s">
        <v>5437</v>
      </c>
      <c r="G379" s="254" t="s">
        <v>5305</v>
      </c>
      <c r="H379" s="30" t="s">
        <v>5792</v>
      </c>
      <c r="I379" s="20" t="s">
        <v>6109</v>
      </c>
      <c r="J379" s="30" t="s">
        <v>814</v>
      </c>
      <c r="K379" s="254"/>
      <c r="L379" s="254"/>
      <c r="M379" s="30" t="s">
        <v>814</v>
      </c>
      <c r="N379" s="20" t="s">
        <v>6110</v>
      </c>
      <c r="O379" s="6" t="s">
        <v>814</v>
      </c>
      <c r="P379" s="254" t="s">
        <v>5308</v>
      </c>
      <c r="Q379" s="33" t="n">
        <f aca="false">Calib!D119</f>
        <v>1</v>
      </c>
      <c r="R379" s="187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5309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6113</v>
      </c>
      <c r="B380" s="254" t="s">
        <v>5304</v>
      </c>
      <c r="C380" s="30" t="s">
        <v>3263</v>
      </c>
      <c r="D380" s="30" t="s">
        <v>6114</v>
      </c>
      <c r="E380" s="20" t="s">
        <v>6108</v>
      </c>
      <c r="F380" s="254" t="s">
        <v>5437</v>
      </c>
      <c r="G380" s="254" t="s">
        <v>5305</v>
      </c>
      <c r="H380" s="30" t="s">
        <v>5792</v>
      </c>
      <c r="I380" s="20" t="s">
        <v>6109</v>
      </c>
      <c r="J380" s="30" t="s">
        <v>814</v>
      </c>
      <c r="K380" s="254"/>
      <c r="L380" s="254"/>
      <c r="M380" s="30" t="s">
        <v>814</v>
      </c>
      <c r="N380" s="20" t="s">
        <v>6110</v>
      </c>
      <c r="O380" s="6" t="s">
        <v>814</v>
      </c>
      <c r="P380" s="254" t="s">
        <v>5308</v>
      </c>
      <c r="Q380" s="33" t="n">
        <f aca="false">Calib!E119</f>
        <v>1</v>
      </c>
      <c r="R380" s="187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5309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6115</v>
      </c>
      <c r="B381" s="254" t="s">
        <v>5304</v>
      </c>
      <c r="C381" s="30" t="s">
        <v>3263</v>
      </c>
      <c r="D381" s="30" t="s">
        <v>6116</v>
      </c>
      <c r="E381" s="20" t="s">
        <v>6108</v>
      </c>
      <c r="F381" s="254" t="s">
        <v>5437</v>
      </c>
      <c r="G381" s="254" t="s">
        <v>5305</v>
      </c>
      <c r="H381" s="30" t="s">
        <v>5792</v>
      </c>
      <c r="I381" s="20" t="s">
        <v>6117</v>
      </c>
      <c r="J381" s="30" t="s">
        <v>814</v>
      </c>
      <c r="K381" s="254"/>
      <c r="L381" s="254"/>
      <c r="M381" s="30" t="s">
        <v>814</v>
      </c>
      <c r="N381" s="20" t="s">
        <v>6118</v>
      </c>
      <c r="O381" s="6" t="s">
        <v>814</v>
      </c>
      <c r="P381" s="254" t="s">
        <v>5308</v>
      </c>
      <c r="Q381" s="33" t="n">
        <f aca="false">Calib!F119</f>
        <v>0</v>
      </c>
      <c r="R381" s="187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5309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6119</v>
      </c>
      <c r="B382" s="254" t="s">
        <v>5304</v>
      </c>
      <c r="C382" s="30" t="s">
        <v>3263</v>
      </c>
      <c r="D382" s="30" t="s">
        <v>6120</v>
      </c>
      <c r="E382" s="6" t="s">
        <v>686</v>
      </c>
      <c r="F382" s="254" t="s">
        <v>377</v>
      </c>
      <c r="G382" s="254" t="s">
        <v>5305</v>
      </c>
      <c r="H382" s="30" t="s">
        <v>6121</v>
      </c>
      <c r="I382" s="20" t="s">
        <v>5569</v>
      </c>
      <c r="J382" s="30" t="s">
        <v>814</v>
      </c>
      <c r="K382" s="254"/>
      <c r="L382" s="254"/>
      <c r="M382" s="30" t="s">
        <v>814</v>
      </c>
      <c r="N382" s="20" t="s">
        <v>5398</v>
      </c>
      <c r="O382" s="6" t="s">
        <v>814</v>
      </c>
      <c r="P382" s="254" t="s">
        <v>5308</v>
      </c>
      <c r="Q382" s="49" t="n">
        <f aca="false">Calib!C120</f>
        <v>3520.91666666667</v>
      </c>
      <c r="R382" s="187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5337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6122</v>
      </c>
      <c r="B383" s="254" t="s">
        <v>5304</v>
      </c>
      <c r="C383" s="30" t="s">
        <v>3263</v>
      </c>
      <c r="D383" s="30" t="s">
        <v>6123</v>
      </c>
      <c r="E383" s="6" t="s">
        <v>686</v>
      </c>
      <c r="F383" s="254" t="s">
        <v>377</v>
      </c>
      <c r="G383" s="254" t="s">
        <v>5305</v>
      </c>
      <c r="H383" s="30" t="s">
        <v>6124</v>
      </c>
      <c r="I383" s="20" t="s">
        <v>5569</v>
      </c>
      <c r="J383" s="30" t="s">
        <v>814</v>
      </c>
      <c r="K383" s="254"/>
      <c r="L383" s="254"/>
      <c r="M383" s="30" t="s">
        <v>814</v>
      </c>
      <c r="N383" s="20" t="s">
        <v>5398</v>
      </c>
      <c r="O383" s="6" t="s">
        <v>814</v>
      </c>
      <c r="P383" s="254" t="s">
        <v>5308</v>
      </c>
      <c r="Q383" s="49" t="n">
        <f aca="false">Calib!D120</f>
        <v>3337.75</v>
      </c>
      <c r="R383" s="187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5337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6125</v>
      </c>
      <c r="B384" s="254" t="s">
        <v>5304</v>
      </c>
      <c r="C384" s="30" t="s">
        <v>3263</v>
      </c>
      <c r="D384" s="30" t="s">
        <v>6126</v>
      </c>
      <c r="E384" s="6" t="s">
        <v>686</v>
      </c>
      <c r="F384" s="254" t="s">
        <v>377</v>
      </c>
      <c r="G384" s="254" t="s">
        <v>5305</v>
      </c>
      <c r="H384" s="30" t="s">
        <v>6127</v>
      </c>
      <c r="I384" s="20" t="s">
        <v>5569</v>
      </c>
      <c r="J384" s="30" t="s">
        <v>814</v>
      </c>
      <c r="K384" s="254"/>
      <c r="L384" s="254"/>
      <c r="M384" s="30" t="s">
        <v>814</v>
      </c>
      <c r="N384" s="20" t="s">
        <v>5398</v>
      </c>
      <c r="O384" s="6" t="s">
        <v>814</v>
      </c>
      <c r="P384" s="254" t="s">
        <v>5308</v>
      </c>
      <c r="Q384" s="49" t="n">
        <f aca="false">Calib!E120</f>
        <v>9065.97222222222</v>
      </c>
      <c r="R384" s="187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5337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6128</v>
      </c>
      <c r="B385" s="254" t="s">
        <v>5304</v>
      </c>
      <c r="C385" s="30" t="s">
        <v>3263</v>
      </c>
      <c r="D385" s="30" t="s">
        <v>6129</v>
      </c>
      <c r="E385" s="6" t="s">
        <v>6130</v>
      </c>
      <c r="F385" s="254" t="s">
        <v>377</v>
      </c>
      <c r="G385" s="254" t="s">
        <v>5305</v>
      </c>
      <c r="H385" s="30" t="s">
        <v>6131</v>
      </c>
      <c r="I385" s="20" t="s">
        <v>5335</v>
      </c>
      <c r="J385" s="30" t="s">
        <v>814</v>
      </c>
      <c r="K385" s="254"/>
      <c r="L385" s="254"/>
      <c r="M385" s="30" t="s">
        <v>814</v>
      </c>
      <c r="N385" s="20" t="s">
        <v>6132</v>
      </c>
      <c r="O385" s="6" t="s">
        <v>814</v>
      </c>
      <c r="P385" s="254" t="s">
        <v>5308</v>
      </c>
      <c r="Q385" s="49" t="n">
        <f aca="false">Calib!F120</f>
        <v>5561.6</v>
      </c>
      <c r="R385" s="187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5337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6133</v>
      </c>
      <c r="B386" s="254" t="s">
        <v>5304</v>
      </c>
      <c r="C386" s="30" t="s">
        <v>6134</v>
      </c>
      <c r="D386" s="30" t="s">
        <v>3264</v>
      </c>
      <c r="E386" s="6" t="s">
        <v>4773</v>
      </c>
      <c r="F386" s="30" t="s">
        <v>132</v>
      </c>
      <c r="G386" s="254" t="s">
        <v>5305</v>
      </c>
      <c r="H386" s="30" t="s">
        <v>814</v>
      </c>
      <c r="I386" s="6" t="s">
        <v>814</v>
      </c>
      <c r="J386" s="30" t="s">
        <v>6135</v>
      </c>
      <c r="K386" s="256" t="n">
        <v>0.4</v>
      </c>
      <c r="L386" s="256" t="n">
        <v>0.8</v>
      </c>
      <c r="M386" s="30" t="s">
        <v>6136</v>
      </c>
      <c r="N386" s="255" t="str">
        <f aca="false">Energy!$F$5</f>
        <v>Assumed：pJ/FLOP＝GPU 功率 × 此比例 ÷ 峰值（滿載上限口徑），區間 0.4–0.8</v>
      </c>
      <c r="O386" s="6" t="s">
        <v>814</v>
      </c>
      <c r="P386" s="254" t="s">
        <v>5308</v>
      </c>
      <c r="Q386" s="197" t="n">
        <f aca="false">Energy!C5</f>
        <v>0.6</v>
      </c>
      <c r="R386" s="30" t="s">
        <v>814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5309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6137</v>
      </c>
      <c r="B387" s="254" t="s">
        <v>5304</v>
      </c>
      <c r="C387" s="30" t="s">
        <v>6134</v>
      </c>
      <c r="D387" s="30" t="s">
        <v>3208</v>
      </c>
      <c r="E387" s="6" t="s">
        <v>4775</v>
      </c>
      <c r="F387" s="30" t="s">
        <v>137</v>
      </c>
      <c r="G387" s="254" t="s">
        <v>5305</v>
      </c>
      <c r="H387" s="30" t="s">
        <v>6138</v>
      </c>
      <c r="I387" s="20" t="s">
        <v>6139</v>
      </c>
      <c r="J387" s="30" t="s">
        <v>814</v>
      </c>
      <c r="K387" s="256" t="n">
        <v>5</v>
      </c>
      <c r="L387" s="256" t="n">
        <v>20</v>
      </c>
      <c r="M387" s="30" t="s">
        <v>6140</v>
      </c>
      <c r="N387" s="255" t="str">
        <f aca="false">Energy!$F$6</f>
        <v>Analogy：SerDes＋交換約 1–2 pJ/bit；區間 5–20</v>
      </c>
      <c r="O387" s="6" t="s">
        <v>814</v>
      </c>
      <c r="P387" s="254" t="s">
        <v>5308</v>
      </c>
      <c r="Q387" s="33" t="n">
        <f aca="false">Energy!C6</f>
        <v>10</v>
      </c>
      <c r="R387" s="187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5309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6141</v>
      </c>
      <c r="B388" s="254" t="s">
        <v>5304</v>
      </c>
      <c r="C388" s="30" t="s">
        <v>6134</v>
      </c>
      <c r="D388" s="30" t="s">
        <v>3344</v>
      </c>
      <c r="E388" s="6" t="s">
        <v>4778</v>
      </c>
      <c r="F388" s="30" t="s">
        <v>132</v>
      </c>
      <c r="G388" s="254" t="s">
        <v>5305</v>
      </c>
      <c r="H388" s="30" t="s">
        <v>814</v>
      </c>
      <c r="I388" s="6" t="s">
        <v>814</v>
      </c>
      <c r="J388" s="30" t="s">
        <v>6135</v>
      </c>
      <c r="K388" s="256" t="n">
        <v>20</v>
      </c>
      <c r="L388" s="256" t="n">
        <v>80</v>
      </c>
      <c r="M388" s="30" t="s">
        <v>6142</v>
      </c>
      <c r="N388" s="255" t="str">
        <f aca="false">Energy!$F$7</f>
        <v>Analogy：含光模組與網卡；區間 20–80</v>
      </c>
      <c r="O388" s="6" t="s">
        <v>5615</v>
      </c>
      <c r="P388" s="254" t="s">
        <v>5308</v>
      </c>
      <c r="Q388" s="33" t="n">
        <f aca="false">Energy!C7</f>
        <v>40</v>
      </c>
      <c r="R388" s="30" t="s">
        <v>814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5309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6143</v>
      </c>
      <c r="B389" s="254" t="s">
        <v>5304</v>
      </c>
      <c r="C389" s="30" t="s">
        <v>6144</v>
      </c>
      <c r="D389" s="30" t="s">
        <v>3264</v>
      </c>
      <c r="E389" s="6" t="s">
        <v>4792</v>
      </c>
      <c r="F389" s="30" t="s">
        <v>132</v>
      </c>
      <c r="G389" s="254" t="s">
        <v>115</v>
      </c>
      <c r="H389" s="30" t="s">
        <v>814</v>
      </c>
      <c r="I389" s="6" t="s">
        <v>814</v>
      </c>
      <c r="J389" s="30" t="s">
        <v>5434</v>
      </c>
      <c r="K389" s="195" t="n">
        <f aca="false">NonNV!B5</f>
        <v>0.5</v>
      </c>
      <c r="L389" s="195" t="n">
        <f aca="false">NonNV!D5</f>
        <v>1</v>
      </c>
      <c r="M389" s="30" t="s">
        <v>814</v>
      </c>
      <c r="N389" s="255" t="str">
        <f aca="false">NonNV!$L$5</f>
        <v>MI355X 在 V4-Pro 上 26 天內吞吐提升 110 倍（S20 所屬部落格），軟體成熟度為主要不確定</v>
      </c>
      <c r="O389" s="6" t="s">
        <v>814</v>
      </c>
      <c r="P389" s="254" t="s">
        <v>5308</v>
      </c>
      <c r="Q389" s="195" t="n">
        <f aca="false">NonNV!C5</f>
        <v>0.7</v>
      </c>
      <c r="R389" s="30" t="s">
        <v>814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5309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6145</v>
      </c>
      <c r="B390" s="254" t="s">
        <v>5304</v>
      </c>
      <c r="C390" s="30" t="s">
        <v>6144</v>
      </c>
      <c r="D390" s="30" t="s">
        <v>3284</v>
      </c>
      <c r="E390" s="6" t="s">
        <v>4792</v>
      </c>
      <c r="F390" s="30" t="s">
        <v>132</v>
      </c>
      <c r="G390" s="254" t="s">
        <v>115</v>
      </c>
      <c r="H390" s="30" t="s">
        <v>814</v>
      </c>
      <c r="I390" s="6" t="s">
        <v>814</v>
      </c>
      <c r="J390" s="30" t="s">
        <v>5434</v>
      </c>
      <c r="K390" s="195" t="n">
        <f aca="false">NonNV!E5</f>
        <v>0.8</v>
      </c>
      <c r="L390" s="195" t="n">
        <f aca="false">NonNV!G5</f>
        <v>1</v>
      </c>
      <c r="M390" s="30" t="s">
        <v>814</v>
      </c>
      <c r="N390" s="255" t="str">
        <f aca="false">NonNV!$L$5</f>
        <v>MI355X 在 V4-Pro 上 26 天內吞吐提升 110 倍（S20 所屬部落格），軟體成熟度為主要不確定</v>
      </c>
      <c r="O390" s="6" t="s">
        <v>814</v>
      </c>
      <c r="P390" s="254" t="s">
        <v>5308</v>
      </c>
      <c r="Q390" s="195" t="n">
        <f aca="false">NonNV!F5</f>
        <v>0.9</v>
      </c>
      <c r="R390" s="30" t="s">
        <v>814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5309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6146</v>
      </c>
      <c r="B391" s="254" t="s">
        <v>5304</v>
      </c>
      <c r="C391" s="30" t="s">
        <v>6144</v>
      </c>
      <c r="D391" s="30" t="s">
        <v>6147</v>
      </c>
      <c r="E391" s="6" t="s">
        <v>4792</v>
      </c>
      <c r="F391" s="30" t="s">
        <v>132</v>
      </c>
      <c r="G391" s="254" t="s">
        <v>1440</v>
      </c>
      <c r="H391" s="30" t="s">
        <v>814</v>
      </c>
      <c r="I391" s="6" t="s">
        <v>814</v>
      </c>
      <c r="J391" s="30" t="s">
        <v>5434</v>
      </c>
      <c r="K391" s="254"/>
      <c r="L391" s="254"/>
      <c r="M391" s="30" t="s">
        <v>814</v>
      </c>
      <c r="N391" s="255" t="str">
        <f aca="false">NonNV!$L$5</f>
        <v>MI355X 在 V4-Pro 上 26 天內吞吐提升 110 倍（S20 所屬部落格），軟體成熟度為主要不確定</v>
      </c>
      <c r="O391" s="6" t="s">
        <v>814</v>
      </c>
      <c r="P391" s="254" t="s">
        <v>5308</v>
      </c>
      <c r="Q391" s="195" t="n">
        <f aca="false">NonNV!B5</f>
        <v>0.5</v>
      </c>
      <c r="R391" s="30" t="s">
        <v>814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5309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6148</v>
      </c>
      <c r="B392" s="254" t="s">
        <v>5304</v>
      </c>
      <c r="C392" s="30" t="s">
        <v>6144</v>
      </c>
      <c r="D392" s="30" t="s">
        <v>5746</v>
      </c>
      <c r="E392" s="6" t="s">
        <v>4792</v>
      </c>
      <c r="F392" s="30" t="s">
        <v>132</v>
      </c>
      <c r="G392" s="254" t="s">
        <v>1441</v>
      </c>
      <c r="H392" s="30" t="s">
        <v>814</v>
      </c>
      <c r="I392" s="6" t="s">
        <v>814</v>
      </c>
      <c r="J392" s="30" t="s">
        <v>5434</v>
      </c>
      <c r="K392" s="254"/>
      <c r="L392" s="254"/>
      <c r="M392" s="30" t="s">
        <v>814</v>
      </c>
      <c r="N392" s="255" t="str">
        <f aca="false">NonNV!$L$5</f>
        <v>MI355X 在 V4-Pro 上 26 天內吞吐提升 110 倍（S20 所屬部落格），軟體成熟度為主要不確定</v>
      </c>
      <c r="O392" s="6" t="s">
        <v>814</v>
      </c>
      <c r="P392" s="254" t="s">
        <v>5308</v>
      </c>
      <c r="Q392" s="195" t="n">
        <f aca="false">NonNV!D5</f>
        <v>1</v>
      </c>
      <c r="R392" s="30" t="s">
        <v>814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5309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6149</v>
      </c>
      <c r="B393" s="254" t="s">
        <v>5304</v>
      </c>
      <c r="C393" s="30" t="s">
        <v>6144</v>
      </c>
      <c r="D393" s="30" t="s">
        <v>3144</v>
      </c>
      <c r="E393" s="6" t="s">
        <v>4792</v>
      </c>
      <c r="F393" s="30" t="s">
        <v>132</v>
      </c>
      <c r="G393" s="254" t="s">
        <v>1440</v>
      </c>
      <c r="H393" s="30" t="s">
        <v>814</v>
      </c>
      <c r="I393" s="6" t="s">
        <v>814</v>
      </c>
      <c r="J393" s="30" t="s">
        <v>5434</v>
      </c>
      <c r="K393" s="254"/>
      <c r="L393" s="254"/>
      <c r="M393" s="30" t="s">
        <v>814</v>
      </c>
      <c r="N393" s="255" t="str">
        <f aca="false">NonNV!$L$5</f>
        <v>MI355X 在 V4-Pro 上 26 天內吞吐提升 110 倍（S20 所屬部落格），軟體成熟度為主要不確定</v>
      </c>
      <c r="O393" s="6" t="s">
        <v>814</v>
      </c>
      <c r="P393" s="254" t="s">
        <v>5308</v>
      </c>
      <c r="Q393" s="195" t="n">
        <f aca="false">NonNV!E5</f>
        <v>0.8</v>
      </c>
      <c r="R393" s="30" t="s">
        <v>814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5309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6150</v>
      </c>
      <c r="B394" s="254" t="s">
        <v>5304</v>
      </c>
      <c r="C394" s="30" t="s">
        <v>6144</v>
      </c>
      <c r="D394" s="30" t="s">
        <v>3285</v>
      </c>
      <c r="E394" s="6" t="s">
        <v>4792</v>
      </c>
      <c r="F394" s="30" t="s">
        <v>132</v>
      </c>
      <c r="G394" s="254" t="s">
        <v>1441</v>
      </c>
      <c r="H394" s="30" t="s">
        <v>814</v>
      </c>
      <c r="I394" s="6" t="s">
        <v>814</v>
      </c>
      <c r="J394" s="30" t="s">
        <v>5434</v>
      </c>
      <c r="K394" s="254"/>
      <c r="L394" s="254"/>
      <c r="M394" s="30" t="s">
        <v>814</v>
      </c>
      <c r="N394" s="255" t="str">
        <f aca="false">NonNV!$L$5</f>
        <v>MI355X 在 V4-Pro 上 26 天內吞吐提升 110 倍（S20 所屬部落格），軟體成熟度為主要不確定</v>
      </c>
      <c r="O394" s="6" t="s">
        <v>814</v>
      </c>
      <c r="P394" s="254" t="s">
        <v>5308</v>
      </c>
      <c r="Q394" s="195" t="n">
        <f aca="false">NonNV!G5</f>
        <v>1</v>
      </c>
      <c r="R394" s="30" t="s">
        <v>814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5309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6151</v>
      </c>
      <c r="B395" s="254" t="s">
        <v>5304</v>
      </c>
      <c r="C395" s="30" t="s">
        <v>6144</v>
      </c>
      <c r="D395" s="30" t="s">
        <v>3208</v>
      </c>
      <c r="E395" s="6" t="s">
        <v>4795</v>
      </c>
      <c r="F395" s="30" t="s">
        <v>132</v>
      </c>
      <c r="G395" s="254" t="s">
        <v>115</v>
      </c>
      <c r="H395" s="30" t="s">
        <v>814</v>
      </c>
      <c r="I395" s="6" t="s">
        <v>814</v>
      </c>
      <c r="J395" s="30" t="s">
        <v>5434</v>
      </c>
      <c r="K395" s="195" t="n">
        <f aca="false">NonNV!B6</f>
        <v>0.6</v>
      </c>
      <c r="L395" s="195" t="n">
        <f aca="false">NonNV!D6</f>
        <v>1.1</v>
      </c>
      <c r="M395" s="30" t="s">
        <v>814</v>
      </c>
      <c r="N395" s="255" t="str">
        <f aca="false">NonNV!$L$6</f>
        <v>自用為主，無公開同口徑實測</v>
      </c>
      <c r="O395" s="6" t="s">
        <v>814</v>
      </c>
      <c r="P395" s="254" t="s">
        <v>5308</v>
      </c>
      <c r="Q395" s="195" t="n">
        <f aca="false">NonNV!C6</f>
        <v>0.8</v>
      </c>
      <c r="R395" s="30" t="s">
        <v>814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5309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6152</v>
      </c>
      <c r="B396" s="254" t="s">
        <v>5304</v>
      </c>
      <c r="C396" s="30" t="s">
        <v>6144</v>
      </c>
      <c r="D396" s="30" t="s">
        <v>3289</v>
      </c>
      <c r="E396" s="6" t="s">
        <v>4795</v>
      </c>
      <c r="F396" s="30" t="s">
        <v>132</v>
      </c>
      <c r="G396" s="254" t="s">
        <v>115</v>
      </c>
      <c r="H396" s="30" t="s">
        <v>814</v>
      </c>
      <c r="I396" s="6" t="s">
        <v>814</v>
      </c>
      <c r="J396" s="30" t="s">
        <v>5434</v>
      </c>
      <c r="K396" s="195" t="n">
        <f aca="false">NonNV!E6</f>
        <v>0.7</v>
      </c>
      <c r="L396" s="195" t="n">
        <f aca="false">NonNV!G6</f>
        <v>1</v>
      </c>
      <c r="M396" s="30" t="s">
        <v>814</v>
      </c>
      <c r="N396" s="255" t="str">
        <f aca="false">NonNV!$L$6</f>
        <v>自用為主，無公開同口徑實測</v>
      </c>
      <c r="O396" s="6" t="s">
        <v>814</v>
      </c>
      <c r="P396" s="254" t="s">
        <v>5308</v>
      </c>
      <c r="Q396" s="195" t="n">
        <f aca="false">NonNV!F6</f>
        <v>0.8</v>
      </c>
      <c r="R396" s="30" t="s">
        <v>814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5309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6153</v>
      </c>
      <c r="B397" s="254" t="s">
        <v>5304</v>
      </c>
      <c r="C397" s="30" t="s">
        <v>6144</v>
      </c>
      <c r="D397" s="30" t="s">
        <v>6154</v>
      </c>
      <c r="E397" s="6" t="s">
        <v>4795</v>
      </c>
      <c r="F397" s="30" t="s">
        <v>132</v>
      </c>
      <c r="G397" s="254" t="s">
        <v>1440</v>
      </c>
      <c r="H397" s="30" t="s">
        <v>814</v>
      </c>
      <c r="I397" s="6" t="s">
        <v>814</v>
      </c>
      <c r="J397" s="30" t="s">
        <v>5434</v>
      </c>
      <c r="K397" s="254"/>
      <c r="L397" s="254"/>
      <c r="M397" s="30" t="s">
        <v>814</v>
      </c>
      <c r="N397" s="255" t="str">
        <f aca="false">NonNV!$L$6</f>
        <v>自用為主，無公開同口徑實測</v>
      </c>
      <c r="O397" s="6" t="s">
        <v>814</v>
      </c>
      <c r="P397" s="254" t="s">
        <v>5308</v>
      </c>
      <c r="Q397" s="195" t="n">
        <f aca="false">NonNV!B6</f>
        <v>0.6</v>
      </c>
      <c r="R397" s="30" t="s">
        <v>814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5309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6155</v>
      </c>
      <c r="B398" s="254" t="s">
        <v>5304</v>
      </c>
      <c r="C398" s="30" t="s">
        <v>6144</v>
      </c>
      <c r="D398" s="30" t="s">
        <v>3336</v>
      </c>
      <c r="E398" s="6" t="s">
        <v>4795</v>
      </c>
      <c r="F398" s="30" t="s">
        <v>132</v>
      </c>
      <c r="G398" s="254" t="s">
        <v>1441</v>
      </c>
      <c r="H398" s="30" t="s">
        <v>814</v>
      </c>
      <c r="I398" s="6" t="s">
        <v>814</v>
      </c>
      <c r="J398" s="30" t="s">
        <v>5434</v>
      </c>
      <c r="K398" s="254"/>
      <c r="L398" s="254"/>
      <c r="M398" s="30" t="s">
        <v>814</v>
      </c>
      <c r="N398" s="255" t="str">
        <f aca="false">NonNV!$L$6</f>
        <v>自用為主，無公開同口徑實測</v>
      </c>
      <c r="O398" s="6" t="s">
        <v>814</v>
      </c>
      <c r="P398" s="254" t="s">
        <v>5308</v>
      </c>
      <c r="Q398" s="195" t="n">
        <f aca="false">NonNV!D6</f>
        <v>1.1</v>
      </c>
      <c r="R398" s="30" t="s">
        <v>814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5309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6156</v>
      </c>
      <c r="B399" s="254" t="s">
        <v>5304</v>
      </c>
      <c r="C399" s="30" t="s">
        <v>6144</v>
      </c>
      <c r="D399" s="30" t="s">
        <v>3145</v>
      </c>
      <c r="E399" s="6" t="s">
        <v>4795</v>
      </c>
      <c r="F399" s="30" t="s">
        <v>132</v>
      </c>
      <c r="G399" s="254" t="s">
        <v>1440</v>
      </c>
      <c r="H399" s="30" t="s">
        <v>814</v>
      </c>
      <c r="I399" s="6" t="s">
        <v>814</v>
      </c>
      <c r="J399" s="30" t="s">
        <v>5434</v>
      </c>
      <c r="K399" s="254"/>
      <c r="L399" s="254"/>
      <c r="M399" s="30" t="s">
        <v>814</v>
      </c>
      <c r="N399" s="255" t="str">
        <f aca="false">NonNV!$L$6</f>
        <v>自用為主，無公開同口徑實測</v>
      </c>
      <c r="O399" s="6" t="s">
        <v>814</v>
      </c>
      <c r="P399" s="254" t="s">
        <v>5308</v>
      </c>
      <c r="Q399" s="195" t="n">
        <f aca="false">NonNV!E6</f>
        <v>0.7</v>
      </c>
      <c r="R399" s="30" t="s">
        <v>814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5309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6157</v>
      </c>
      <c r="B400" s="254" t="s">
        <v>5304</v>
      </c>
      <c r="C400" s="30" t="s">
        <v>6144</v>
      </c>
      <c r="D400" s="30" t="s">
        <v>3290</v>
      </c>
      <c r="E400" s="6" t="s">
        <v>4795</v>
      </c>
      <c r="F400" s="30" t="s">
        <v>132</v>
      </c>
      <c r="G400" s="254" t="s">
        <v>1441</v>
      </c>
      <c r="H400" s="30" t="s">
        <v>814</v>
      </c>
      <c r="I400" s="6" t="s">
        <v>814</v>
      </c>
      <c r="J400" s="30" t="s">
        <v>5434</v>
      </c>
      <c r="K400" s="254"/>
      <c r="L400" s="254"/>
      <c r="M400" s="30" t="s">
        <v>814</v>
      </c>
      <c r="N400" s="255" t="str">
        <f aca="false">NonNV!$L$6</f>
        <v>自用為主，無公開同口徑實測</v>
      </c>
      <c r="O400" s="6" t="s">
        <v>814</v>
      </c>
      <c r="P400" s="254" t="s">
        <v>5308</v>
      </c>
      <c r="Q400" s="195" t="n">
        <f aca="false">NonNV!G6</f>
        <v>1</v>
      </c>
      <c r="R400" s="30" t="s">
        <v>814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5309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6158</v>
      </c>
      <c r="B401" s="254" t="s">
        <v>5304</v>
      </c>
      <c r="C401" s="30" t="s">
        <v>6144</v>
      </c>
      <c r="D401" s="30" t="s">
        <v>3344</v>
      </c>
      <c r="E401" s="6" t="s">
        <v>4798</v>
      </c>
      <c r="F401" s="30" t="s">
        <v>132</v>
      </c>
      <c r="G401" s="254" t="s">
        <v>115</v>
      </c>
      <c r="H401" s="30" t="s">
        <v>814</v>
      </c>
      <c r="I401" s="6" t="s">
        <v>814</v>
      </c>
      <c r="J401" s="30" t="s">
        <v>5434</v>
      </c>
      <c r="K401" s="195" t="n">
        <f aca="false">NonNV!B7</f>
        <v>0.3</v>
      </c>
      <c r="L401" s="195" t="n">
        <f aca="false">NonNV!D7</f>
        <v>0.8</v>
      </c>
      <c r="M401" s="30" t="s">
        <v>814</v>
      </c>
      <c r="N401" s="255" t="str">
        <f aca="false">NonNV!$L$7</f>
        <v>OpenAI v0.5 以 2GW Trainium 合約為輸入</v>
      </c>
      <c r="O401" s="6" t="s">
        <v>814</v>
      </c>
      <c r="P401" s="254" t="s">
        <v>5308</v>
      </c>
      <c r="Q401" s="195" t="n">
        <f aca="false">NonNV!C7</f>
        <v>0.5</v>
      </c>
      <c r="R401" s="30" t="s">
        <v>814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5309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6159</v>
      </c>
      <c r="B402" s="254" t="s">
        <v>5304</v>
      </c>
      <c r="C402" s="30" t="s">
        <v>6144</v>
      </c>
      <c r="D402" s="30" t="s">
        <v>3294</v>
      </c>
      <c r="E402" s="6" t="s">
        <v>4798</v>
      </c>
      <c r="F402" s="30" t="s">
        <v>132</v>
      </c>
      <c r="G402" s="254" t="s">
        <v>115</v>
      </c>
      <c r="H402" s="30" t="s">
        <v>814</v>
      </c>
      <c r="I402" s="6" t="s">
        <v>814</v>
      </c>
      <c r="J402" s="30" t="s">
        <v>5434</v>
      </c>
      <c r="K402" s="195" t="n">
        <f aca="false">NonNV!E7</f>
        <v>0.6</v>
      </c>
      <c r="L402" s="195" t="n">
        <f aca="false">NonNV!G7</f>
        <v>0.9</v>
      </c>
      <c r="M402" s="30" t="s">
        <v>814</v>
      </c>
      <c r="N402" s="255" t="str">
        <f aca="false">NonNV!$L$7</f>
        <v>OpenAI v0.5 以 2GW Trainium 合約為輸入</v>
      </c>
      <c r="O402" s="6" t="s">
        <v>814</v>
      </c>
      <c r="P402" s="254" t="s">
        <v>5308</v>
      </c>
      <c r="Q402" s="195" t="n">
        <f aca="false">NonNV!F7</f>
        <v>0.7</v>
      </c>
      <c r="R402" s="30" t="s">
        <v>814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5309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6160</v>
      </c>
      <c r="B403" s="254" t="s">
        <v>5304</v>
      </c>
      <c r="C403" s="30" t="s">
        <v>6144</v>
      </c>
      <c r="D403" s="30" t="s">
        <v>6161</v>
      </c>
      <c r="E403" s="6" t="s">
        <v>4798</v>
      </c>
      <c r="F403" s="30" t="s">
        <v>132</v>
      </c>
      <c r="G403" s="254" t="s">
        <v>1440</v>
      </c>
      <c r="H403" s="30" t="s">
        <v>814</v>
      </c>
      <c r="I403" s="6" t="s">
        <v>814</v>
      </c>
      <c r="J403" s="30" t="s">
        <v>5434</v>
      </c>
      <c r="K403" s="254"/>
      <c r="L403" s="254"/>
      <c r="M403" s="30" t="s">
        <v>814</v>
      </c>
      <c r="N403" s="255" t="str">
        <f aca="false">NonNV!$L$7</f>
        <v>OpenAI v0.5 以 2GW Trainium 合約為輸入</v>
      </c>
      <c r="O403" s="6" t="s">
        <v>814</v>
      </c>
      <c r="P403" s="254" t="s">
        <v>5308</v>
      </c>
      <c r="Q403" s="195" t="n">
        <f aca="false">NonNV!B7</f>
        <v>0.3</v>
      </c>
      <c r="R403" s="30" t="s">
        <v>814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5309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6162</v>
      </c>
      <c r="B404" s="254" t="s">
        <v>5304</v>
      </c>
      <c r="C404" s="30" t="s">
        <v>6144</v>
      </c>
      <c r="D404" s="30" t="s">
        <v>3345</v>
      </c>
      <c r="E404" s="6" t="s">
        <v>4798</v>
      </c>
      <c r="F404" s="30" t="s">
        <v>132</v>
      </c>
      <c r="G404" s="254" t="s">
        <v>1441</v>
      </c>
      <c r="H404" s="30" t="s">
        <v>814</v>
      </c>
      <c r="I404" s="6" t="s">
        <v>814</v>
      </c>
      <c r="J404" s="30" t="s">
        <v>5434</v>
      </c>
      <c r="K404" s="254"/>
      <c r="L404" s="254"/>
      <c r="M404" s="30" t="s">
        <v>814</v>
      </c>
      <c r="N404" s="255" t="str">
        <f aca="false">NonNV!$L$7</f>
        <v>OpenAI v0.5 以 2GW Trainium 合約為輸入</v>
      </c>
      <c r="O404" s="6" t="s">
        <v>814</v>
      </c>
      <c r="P404" s="254" t="s">
        <v>5308</v>
      </c>
      <c r="Q404" s="195" t="n">
        <f aca="false">NonNV!D7</f>
        <v>0.8</v>
      </c>
      <c r="R404" s="30" t="s">
        <v>814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5309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6163</v>
      </c>
      <c r="B405" s="254" t="s">
        <v>5304</v>
      </c>
      <c r="C405" s="30" t="s">
        <v>6144</v>
      </c>
      <c r="D405" s="30" t="s">
        <v>3245</v>
      </c>
      <c r="E405" s="6" t="s">
        <v>4798</v>
      </c>
      <c r="F405" s="30" t="s">
        <v>132</v>
      </c>
      <c r="G405" s="254" t="s">
        <v>1440</v>
      </c>
      <c r="H405" s="30" t="s">
        <v>814</v>
      </c>
      <c r="I405" s="6" t="s">
        <v>814</v>
      </c>
      <c r="J405" s="30" t="s">
        <v>5434</v>
      </c>
      <c r="K405" s="254"/>
      <c r="L405" s="254"/>
      <c r="M405" s="30" t="s">
        <v>814</v>
      </c>
      <c r="N405" s="255" t="str">
        <f aca="false">NonNV!$L$7</f>
        <v>OpenAI v0.5 以 2GW Trainium 合約為輸入</v>
      </c>
      <c r="O405" s="6" t="s">
        <v>814</v>
      </c>
      <c r="P405" s="254" t="s">
        <v>5308</v>
      </c>
      <c r="Q405" s="195" t="n">
        <f aca="false">NonNV!E7</f>
        <v>0.6</v>
      </c>
      <c r="R405" s="30" t="s">
        <v>814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5309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6164</v>
      </c>
      <c r="B406" s="254" t="s">
        <v>5304</v>
      </c>
      <c r="C406" s="30" t="s">
        <v>6144</v>
      </c>
      <c r="D406" s="30" t="s">
        <v>3295</v>
      </c>
      <c r="E406" s="6" t="s">
        <v>4798</v>
      </c>
      <c r="F406" s="30" t="s">
        <v>132</v>
      </c>
      <c r="G406" s="254" t="s">
        <v>1441</v>
      </c>
      <c r="H406" s="30" t="s">
        <v>814</v>
      </c>
      <c r="I406" s="6" t="s">
        <v>814</v>
      </c>
      <c r="J406" s="30" t="s">
        <v>5434</v>
      </c>
      <c r="K406" s="254"/>
      <c r="L406" s="254"/>
      <c r="M406" s="30" t="s">
        <v>814</v>
      </c>
      <c r="N406" s="255" t="str">
        <f aca="false">NonNV!$L$7</f>
        <v>OpenAI v0.5 以 2GW Trainium 合約為輸入</v>
      </c>
      <c r="O406" s="6" t="s">
        <v>814</v>
      </c>
      <c r="P406" s="254" t="s">
        <v>5308</v>
      </c>
      <c r="Q406" s="195" t="n">
        <f aca="false">NonNV!G7</f>
        <v>0.9</v>
      </c>
      <c r="R406" s="30" t="s">
        <v>814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5309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6165</v>
      </c>
      <c r="B407" s="254" t="s">
        <v>5304</v>
      </c>
      <c r="C407" s="30" t="s">
        <v>6144</v>
      </c>
      <c r="D407" s="30" t="s">
        <v>3209</v>
      </c>
      <c r="E407" s="6" t="s">
        <v>4801</v>
      </c>
      <c r="F407" s="30" t="s">
        <v>132</v>
      </c>
      <c r="G407" s="254" t="s">
        <v>115</v>
      </c>
      <c r="H407" s="30" t="s">
        <v>814</v>
      </c>
      <c r="I407" s="6" t="s">
        <v>814</v>
      </c>
      <c r="J407" s="30" t="s">
        <v>5434</v>
      </c>
      <c r="K407" s="195" t="n">
        <f aca="false">NonNV!B8</f>
        <v>0.2</v>
      </c>
      <c r="L407" s="195" t="n">
        <f aca="false">NonNV!D8</f>
        <v>0.8</v>
      </c>
      <c r="M407" s="30" t="s">
        <v>814</v>
      </c>
      <c r="N407" s="255" t="str">
        <f aca="false">NonNV!$L$8</f>
        <v>高互動性利基；每 GW 吞吐低、單用戶速度高</v>
      </c>
      <c r="O407" s="6" t="s">
        <v>814</v>
      </c>
      <c r="P407" s="254" t="s">
        <v>5308</v>
      </c>
      <c r="Q407" s="195" t="n">
        <f aca="false">NonNV!C8</f>
        <v>0.4</v>
      </c>
      <c r="R407" s="30" t="s">
        <v>814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5309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6166</v>
      </c>
      <c r="B408" s="254" t="s">
        <v>5304</v>
      </c>
      <c r="C408" s="30" t="s">
        <v>6144</v>
      </c>
      <c r="D408" s="30" t="s">
        <v>3299</v>
      </c>
      <c r="E408" s="6" t="s">
        <v>4801</v>
      </c>
      <c r="F408" s="30" t="s">
        <v>132</v>
      </c>
      <c r="G408" s="254" t="s">
        <v>115</v>
      </c>
      <c r="H408" s="30" t="s">
        <v>814</v>
      </c>
      <c r="I408" s="6" t="s">
        <v>814</v>
      </c>
      <c r="J408" s="30" t="s">
        <v>5434</v>
      </c>
      <c r="K408" s="195" t="n">
        <f aca="false">NonNV!E8</f>
        <v>0.8</v>
      </c>
      <c r="L408" s="195" t="n">
        <f aca="false">NonNV!G8</f>
        <v>1.2</v>
      </c>
      <c r="M408" s="30" t="s">
        <v>814</v>
      </c>
      <c r="N408" s="255" t="str">
        <f aca="false">NonNV!$L$8</f>
        <v>高互動性利基；每 GW 吞吐低、單用戶速度高</v>
      </c>
      <c r="O408" s="6" t="s">
        <v>814</v>
      </c>
      <c r="P408" s="254" t="s">
        <v>5308</v>
      </c>
      <c r="Q408" s="195" t="n">
        <f aca="false">NonNV!F8</f>
        <v>1</v>
      </c>
      <c r="R408" s="30" t="s">
        <v>814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5309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6167</v>
      </c>
      <c r="B409" s="254" t="s">
        <v>5304</v>
      </c>
      <c r="C409" s="30" t="s">
        <v>6144</v>
      </c>
      <c r="D409" s="30" t="s">
        <v>6168</v>
      </c>
      <c r="E409" s="6" t="s">
        <v>4801</v>
      </c>
      <c r="F409" s="30" t="s">
        <v>132</v>
      </c>
      <c r="G409" s="254" t="s">
        <v>1440</v>
      </c>
      <c r="H409" s="30" t="s">
        <v>814</v>
      </c>
      <c r="I409" s="6" t="s">
        <v>814</v>
      </c>
      <c r="J409" s="30" t="s">
        <v>5434</v>
      </c>
      <c r="K409" s="254"/>
      <c r="L409" s="254"/>
      <c r="M409" s="30" t="s">
        <v>814</v>
      </c>
      <c r="N409" s="255" t="str">
        <f aca="false">NonNV!$L$8</f>
        <v>高互動性利基；每 GW 吞吐低、單用戶速度高</v>
      </c>
      <c r="O409" s="6" t="s">
        <v>814</v>
      </c>
      <c r="P409" s="254" t="s">
        <v>5308</v>
      </c>
      <c r="Q409" s="195" t="n">
        <f aca="false">NonNV!B8</f>
        <v>0.2</v>
      </c>
      <c r="R409" s="30" t="s">
        <v>814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5309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6169</v>
      </c>
      <c r="B410" s="254" t="s">
        <v>5304</v>
      </c>
      <c r="C410" s="30" t="s">
        <v>6144</v>
      </c>
      <c r="D410" s="30" t="s">
        <v>3386</v>
      </c>
      <c r="E410" s="6" t="s">
        <v>4801</v>
      </c>
      <c r="F410" s="30" t="s">
        <v>132</v>
      </c>
      <c r="G410" s="254" t="s">
        <v>1441</v>
      </c>
      <c r="H410" s="30" t="s">
        <v>814</v>
      </c>
      <c r="I410" s="6" t="s">
        <v>814</v>
      </c>
      <c r="J410" s="30" t="s">
        <v>5434</v>
      </c>
      <c r="K410" s="254"/>
      <c r="L410" s="254"/>
      <c r="M410" s="30" t="s">
        <v>814</v>
      </c>
      <c r="N410" s="255" t="str">
        <f aca="false">NonNV!$L$8</f>
        <v>高互動性利基；每 GW 吞吐低、單用戶速度高</v>
      </c>
      <c r="O410" s="6" t="s">
        <v>814</v>
      </c>
      <c r="P410" s="254" t="s">
        <v>5308</v>
      </c>
      <c r="Q410" s="195" t="n">
        <f aca="false">NonNV!D8</f>
        <v>0.8</v>
      </c>
      <c r="R410" s="30" t="s">
        <v>814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5309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6170</v>
      </c>
      <c r="B411" s="254" t="s">
        <v>5304</v>
      </c>
      <c r="C411" s="30" t="s">
        <v>6144</v>
      </c>
      <c r="D411" s="30" t="s">
        <v>3146</v>
      </c>
      <c r="E411" s="6" t="s">
        <v>4801</v>
      </c>
      <c r="F411" s="30" t="s">
        <v>132</v>
      </c>
      <c r="G411" s="254" t="s">
        <v>1440</v>
      </c>
      <c r="H411" s="30" t="s">
        <v>814</v>
      </c>
      <c r="I411" s="6" t="s">
        <v>814</v>
      </c>
      <c r="J411" s="30" t="s">
        <v>5434</v>
      </c>
      <c r="K411" s="254"/>
      <c r="L411" s="254"/>
      <c r="M411" s="30" t="s">
        <v>814</v>
      </c>
      <c r="N411" s="255" t="str">
        <f aca="false">NonNV!$L$8</f>
        <v>高互動性利基；每 GW 吞吐低、單用戶速度高</v>
      </c>
      <c r="O411" s="6" t="s">
        <v>814</v>
      </c>
      <c r="P411" s="254" t="s">
        <v>5308</v>
      </c>
      <c r="Q411" s="195" t="n">
        <f aca="false">NonNV!E8</f>
        <v>0.8</v>
      </c>
      <c r="R411" s="30" t="s">
        <v>814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5309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6171</v>
      </c>
      <c r="B412" s="254" t="s">
        <v>5304</v>
      </c>
      <c r="C412" s="30" t="s">
        <v>6144</v>
      </c>
      <c r="D412" s="30" t="s">
        <v>3210</v>
      </c>
      <c r="E412" s="6" t="s">
        <v>4801</v>
      </c>
      <c r="F412" s="30" t="s">
        <v>132</v>
      </c>
      <c r="G412" s="254" t="s">
        <v>1441</v>
      </c>
      <c r="H412" s="30" t="s">
        <v>814</v>
      </c>
      <c r="I412" s="6" t="s">
        <v>814</v>
      </c>
      <c r="J412" s="30" t="s">
        <v>5434</v>
      </c>
      <c r="K412" s="254"/>
      <c r="L412" s="254"/>
      <c r="M412" s="30" t="s">
        <v>814</v>
      </c>
      <c r="N412" s="255" t="str">
        <f aca="false">NonNV!$L$8</f>
        <v>高互動性利基；每 GW 吞吐低、單用戶速度高</v>
      </c>
      <c r="O412" s="6" t="s">
        <v>814</v>
      </c>
      <c r="P412" s="254" t="s">
        <v>5308</v>
      </c>
      <c r="Q412" s="195" t="n">
        <f aca="false">NonNV!G8</f>
        <v>1.2</v>
      </c>
      <c r="R412" s="30" t="s">
        <v>814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5309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6172</v>
      </c>
      <c r="B413" s="254" t="s">
        <v>5304</v>
      </c>
      <c r="C413" s="30" t="s">
        <v>6144</v>
      </c>
      <c r="D413" s="30" t="s">
        <v>3211</v>
      </c>
      <c r="E413" s="6" t="s">
        <v>4804</v>
      </c>
      <c r="F413" s="30" t="s">
        <v>132</v>
      </c>
      <c r="G413" s="254" t="s">
        <v>115</v>
      </c>
      <c r="H413" s="30" t="s">
        <v>814</v>
      </c>
      <c r="I413" s="6" t="s">
        <v>814</v>
      </c>
      <c r="J413" s="30" t="s">
        <v>5434</v>
      </c>
      <c r="K413" s="195" t="n">
        <f aca="false">NonNV!B9</f>
        <v>0.4</v>
      </c>
      <c r="L413" s="195" t="n">
        <f aca="false">NonNV!D9</f>
        <v>0.9</v>
      </c>
      <c r="M413" s="30" t="s">
        <v>814</v>
      </c>
      <c r="N413" s="255" t="str">
        <f aca="false">NonNV!$L$9</f>
        <v>無公開規格；沿用 v0.5「自研／其他 0.6（0.4–1.0）」</v>
      </c>
      <c r="O413" s="6" t="s">
        <v>814</v>
      </c>
      <c r="P413" s="254" t="s">
        <v>5308</v>
      </c>
      <c r="Q413" s="195" t="n">
        <f aca="false">NonNV!C9</f>
        <v>0.6</v>
      </c>
      <c r="R413" s="30" t="s">
        <v>814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5309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6173</v>
      </c>
      <c r="B414" s="254" t="s">
        <v>5304</v>
      </c>
      <c r="C414" s="30" t="s">
        <v>6144</v>
      </c>
      <c r="D414" s="30" t="s">
        <v>3149</v>
      </c>
      <c r="E414" s="6" t="s">
        <v>4804</v>
      </c>
      <c r="F414" s="30" t="s">
        <v>132</v>
      </c>
      <c r="G414" s="254" t="s">
        <v>115</v>
      </c>
      <c r="H414" s="30" t="s">
        <v>814</v>
      </c>
      <c r="I414" s="6" t="s">
        <v>814</v>
      </c>
      <c r="J414" s="30" t="s">
        <v>5434</v>
      </c>
      <c r="K414" s="195" t="n">
        <f aca="false">NonNV!E9</f>
        <v>0.7</v>
      </c>
      <c r="L414" s="195" t="n">
        <f aca="false">NonNV!G9</f>
        <v>1</v>
      </c>
      <c r="M414" s="30" t="s">
        <v>814</v>
      </c>
      <c r="N414" s="255" t="str">
        <f aca="false">NonNV!$L$9</f>
        <v>無公開規格；沿用 v0.5「自研／其他 0.6（0.4–1.0）」</v>
      </c>
      <c r="O414" s="6" t="s">
        <v>814</v>
      </c>
      <c r="P414" s="254" t="s">
        <v>5308</v>
      </c>
      <c r="Q414" s="195" t="n">
        <f aca="false">NonNV!F9</f>
        <v>0.8</v>
      </c>
      <c r="R414" s="30" t="s">
        <v>814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5309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6174</v>
      </c>
      <c r="B415" s="254" t="s">
        <v>5304</v>
      </c>
      <c r="C415" s="30" t="s">
        <v>6144</v>
      </c>
      <c r="D415" s="30" t="s">
        <v>6175</v>
      </c>
      <c r="E415" s="6" t="s">
        <v>4804</v>
      </c>
      <c r="F415" s="30" t="s">
        <v>132</v>
      </c>
      <c r="G415" s="254" t="s">
        <v>1440</v>
      </c>
      <c r="H415" s="30" t="s">
        <v>814</v>
      </c>
      <c r="I415" s="6" t="s">
        <v>814</v>
      </c>
      <c r="J415" s="30" t="s">
        <v>5434</v>
      </c>
      <c r="K415" s="254"/>
      <c r="L415" s="254"/>
      <c r="M415" s="30" t="s">
        <v>814</v>
      </c>
      <c r="N415" s="255" t="str">
        <f aca="false">NonNV!$L$9</f>
        <v>無公開規格；沿用 v0.5「自研／其他 0.6（0.4–1.0）」</v>
      </c>
      <c r="O415" s="6" t="s">
        <v>814</v>
      </c>
      <c r="P415" s="254" t="s">
        <v>5308</v>
      </c>
      <c r="Q415" s="195" t="n">
        <f aca="false">NonNV!B9</f>
        <v>0.4</v>
      </c>
      <c r="R415" s="30" t="s">
        <v>814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5309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6176</v>
      </c>
      <c r="B416" s="254" t="s">
        <v>5304</v>
      </c>
      <c r="C416" s="30" t="s">
        <v>6144</v>
      </c>
      <c r="D416" s="30" t="s">
        <v>3147</v>
      </c>
      <c r="E416" s="6" t="s">
        <v>4804</v>
      </c>
      <c r="F416" s="30" t="s">
        <v>132</v>
      </c>
      <c r="G416" s="254" t="s">
        <v>1441</v>
      </c>
      <c r="H416" s="30" t="s">
        <v>814</v>
      </c>
      <c r="I416" s="6" t="s">
        <v>814</v>
      </c>
      <c r="J416" s="30" t="s">
        <v>5434</v>
      </c>
      <c r="K416" s="254"/>
      <c r="L416" s="254"/>
      <c r="M416" s="30" t="s">
        <v>814</v>
      </c>
      <c r="N416" s="255" t="str">
        <f aca="false">NonNV!$L$9</f>
        <v>無公開規格；沿用 v0.5「自研／其他 0.6（0.4–1.0）」</v>
      </c>
      <c r="O416" s="6" t="s">
        <v>814</v>
      </c>
      <c r="P416" s="254" t="s">
        <v>5308</v>
      </c>
      <c r="Q416" s="195" t="n">
        <f aca="false">NonNV!D9</f>
        <v>0.9</v>
      </c>
      <c r="R416" s="30" t="s">
        <v>814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5309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6177</v>
      </c>
      <c r="B417" s="254" t="s">
        <v>5304</v>
      </c>
      <c r="C417" s="30" t="s">
        <v>6144</v>
      </c>
      <c r="D417" s="30" t="s">
        <v>3148</v>
      </c>
      <c r="E417" s="6" t="s">
        <v>4804</v>
      </c>
      <c r="F417" s="30" t="s">
        <v>132</v>
      </c>
      <c r="G417" s="254" t="s">
        <v>1440</v>
      </c>
      <c r="H417" s="30" t="s">
        <v>814</v>
      </c>
      <c r="I417" s="6" t="s">
        <v>814</v>
      </c>
      <c r="J417" s="30" t="s">
        <v>5434</v>
      </c>
      <c r="K417" s="254"/>
      <c r="L417" s="254"/>
      <c r="M417" s="30" t="s">
        <v>814</v>
      </c>
      <c r="N417" s="255" t="str">
        <f aca="false">NonNV!$L$9</f>
        <v>無公開規格；沿用 v0.5「自研／其他 0.6（0.4–1.0）」</v>
      </c>
      <c r="O417" s="6" t="s">
        <v>814</v>
      </c>
      <c r="P417" s="254" t="s">
        <v>5308</v>
      </c>
      <c r="Q417" s="195" t="n">
        <f aca="false">NonNV!E9</f>
        <v>0.7</v>
      </c>
      <c r="R417" s="30" t="s">
        <v>814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5309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6178</v>
      </c>
      <c r="B418" s="254" t="s">
        <v>5304</v>
      </c>
      <c r="C418" s="30" t="s">
        <v>6144</v>
      </c>
      <c r="D418" s="30" t="s">
        <v>3212</v>
      </c>
      <c r="E418" s="6" t="s">
        <v>4804</v>
      </c>
      <c r="F418" s="30" t="s">
        <v>132</v>
      </c>
      <c r="G418" s="254" t="s">
        <v>1441</v>
      </c>
      <c r="H418" s="30" t="s">
        <v>814</v>
      </c>
      <c r="I418" s="6" t="s">
        <v>814</v>
      </c>
      <c r="J418" s="30" t="s">
        <v>5434</v>
      </c>
      <c r="K418" s="254"/>
      <c r="L418" s="254"/>
      <c r="M418" s="30" t="s">
        <v>814</v>
      </c>
      <c r="N418" s="255" t="str">
        <f aca="false">NonNV!$L$9</f>
        <v>無公開規格；沿用 v0.5「自研／其他 0.6（0.4–1.0）」</v>
      </c>
      <c r="O418" s="6" t="s">
        <v>814</v>
      </c>
      <c r="P418" s="254" t="s">
        <v>5308</v>
      </c>
      <c r="Q418" s="195" t="n">
        <f aca="false">NonNV!G9</f>
        <v>1</v>
      </c>
      <c r="R418" s="30" t="s">
        <v>814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5309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6179</v>
      </c>
      <c r="B419" s="254" t="s">
        <v>5304</v>
      </c>
      <c r="C419" s="30" t="s">
        <v>3335</v>
      </c>
      <c r="D419" s="30" t="s">
        <v>6180</v>
      </c>
      <c r="E419" s="20" t="s">
        <v>498</v>
      </c>
      <c r="F419" s="254" t="s">
        <v>5952</v>
      </c>
      <c r="G419" s="254" t="s">
        <v>5953</v>
      </c>
      <c r="H419" s="30" t="s">
        <v>814</v>
      </c>
      <c r="I419" s="6" t="s">
        <v>814</v>
      </c>
      <c r="J419" s="30" t="s">
        <v>5954</v>
      </c>
      <c r="K419" s="254"/>
      <c r="L419" s="254"/>
      <c r="M419" s="30" t="s">
        <v>814</v>
      </c>
      <c r="N419" s="20" t="s">
        <v>6181</v>
      </c>
      <c r="O419" s="6" t="s">
        <v>814</v>
      </c>
      <c r="P419" s="30" t="s">
        <v>814</v>
      </c>
      <c r="Q419" s="187" t="s">
        <v>814</v>
      </c>
      <c r="R419" s="30" t="s">
        <v>814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814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6182</v>
      </c>
      <c r="B420" s="254" t="s">
        <v>5304</v>
      </c>
      <c r="C420" s="30" t="s">
        <v>3335</v>
      </c>
      <c r="D420" s="30" t="s">
        <v>6183</v>
      </c>
      <c r="E420" s="20" t="s">
        <v>920</v>
      </c>
      <c r="F420" s="254" t="s">
        <v>5952</v>
      </c>
      <c r="G420" s="254" t="s">
        <v>5953</v>
      </c>
      <c r="H420" s="30" t="s">
        <v>814</v>
      </c>
      <c r="I420" s="6" t="s">
        <v>814</v>
      </c>
      <c r="J420" s="30" t="s">
        <v>5954</v>
      </c>
      <c r="K420" s="254"/>
      <c r="L420" s="254"/>
      <c r="M420" s="30" t="s">
        <v>814</v>
      </c>
      <c r="N420" s="20" t="s">
        <v>6181</v>
      </c>
      <c r="O420" s="6" t="s">
        <v>814</v>
      </c>
      <c r="P420" s="30" t="s">
        <v>814</v>
      </c>
      <c r="Q420" s="187" t="s">
        <v>814</v>
      </c>
      <c r="R420" s="30" t="s">
        <v>814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814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6184</v>
      </c>
      <c r="B421" s="254" t="s">
        <v>5304</v>
      </c>
      <c r="C421" s="30" t="s">
        <v>4900</v>
      </c>
      <c r="D421" s="30" t="s">
        <v>6185</v>
      </c>
      <c r="E421" s="20" t="s">
        <v>498</v>
      </c>
      <c r="F421" s="254" t="s">
        <v>5952</v>
      </c>
      <c r="G421" s="254" t="s">
        <v>5953</v>
      </c>
      <c r="H421" s="30" t="s">
        <v>814</v>
      </c>
      <c r="I421" s="6" t="s">
        <v>814</v>
      </c>
      <c r="J421" s="30" t="s">
        <v>5954</v>
      </c>
      <c r="K421" s="254"/>
      <c r="L421" s="254"/>
      <c r="M421" s="30" t="s">
        <v>814</v>
      </c>
      <c r="N421" s="20" t="s">
        <v>6181</v>
      </c>
      <c r="O421" s="6" t="s">
        <v>814</v>
      </c>
      <c r="P421" s="30" t="s">
        <v>814</v>
      </c>
      <c r="Q421" s="187" t="s">
        <v>814</v>
      </c>
      <c r="R421" s="30" t="s">
        <v>814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814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6186</v>
      </c>
      <c r="B422" s="254" t="s">
        <v>5304</v>
      </c>
      <c r="C422" s="30" t="s">
        <v>4900</v>
      </c>
      <c r="D422" s="30" t="s">
        <v>6187</v>
      </c>
      <c r="E422" s="20" t="s">
        <v>920</v>
      </c>
      <c r="F422" s="254" t="s">
        <v>5952</v>
      </c>
      <c r="G422" s="254" t="s">
        <v>5953</v>
      </c>
      <c r="H422" s="30" t="s">
        <v>814</v>
      </c>
      <c r="I422" s="6" t="s">
        <v>814</v>
      </c>
      <c r="J422" s="30" t="s">
        <v>5954</v>
      </c>
      <c r="K422" s="254"/>
      <c r="L422" s="254"/>
      <c r="M422" s="30" t="s">
        <v>814</v>
      </c>
      <c r="N422" s="20" t="s">
        <v>6181</v>
      </c>
      <c r="O422" s="6" t="s">
        <v>814</v>
      </c>
      <c r="P422" s="30" t="s">
        <v>814</v>
      </c>
      <c r="Q422" s="187" t="s">
        <v>814</v>
      </c>
      <c r="R422" s="30" t="s">
        <v>814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814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6188</v>
      </c>
      <c r="B423" s="254" t="s">
        <v>5304</v>
      </c>
      <c r="C423" s="30" t="s">
        <v>4900</v>
      </c>
      <c r="D423" s="30" t="s">
        <v>6189</v>
      </c>
      <c r="E423" s="20" t="s">
        <v>529</v>
      </c>
      <c r="F423" s="254" t="s">
        <v>6049</v>
      </c>
      <c r="G423" s="254" t="s">
        <v>5953</v>
      </c>
      <c r="H423" s="30" t="s">
        <v>814</v>
      </c>
      <c r="I423" s="6" t="s">
        <v>814</v>
      </c>
      <c r="J423" s="30" t="s">
        <v>6050</v>
      </c>
      <c r="K423" s="254"/>
      <c r="L423" s="254"/>
      <c r="M423" s="30" t="s">
        <v>814</v>
      </c>
      <c r="N423" s="20" t="s">
        <v>6190</v>
      </c>
      <c r="O423" s="6" t="s">
        <v>814</v>
      </c>
      <c r="P423" s="254" t="s">
        <v>5308</v>
      </c>
      <c r="Q423" s="46" t="n">
        <f aca="false">Sens_Perf!M14</f>
        <v>50</v>
      </c>
      <c r="R423" s="30" t="s">
        <v>814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5309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6191</v>
      </c>
      <c r="B424" s="254" t="s">
        <v>5304</v>
      </c>
      <c r="C424" s="30" t="s">
        <v>4900</v>
      </c>
      <c r="D424" s="30" t="s">
        <v>6192</v>
      </c>
      <c r="E424" s="6" t="s">
        <v>417</v>
      </c>
      <c r="F424" s="254" t="s">
        <v>6049</v>
      </c>
      <c r="G424" s="254" t="s">
        <v>5953</v>
      </c>
      <c r="H424" s="30" t="s">
        <v>814</v>
      </c>
      <c r="I424" s="6" t="s">
        <v>814</v>
      </c>
      <c r="J424" s="30" t="s">
        <v>6050</v>
      </c>
      <c r="K424" s="254"/>
      <c r="L424" s="254"/>
      <c r="M424" s="30" t="s">
        <v>814</v>
      </c>
      <c r="N424" s="20" t="s">
        <v>6190</v>
      </c>
      <c r="O424" s="6" t="s">
        <v>814</v>
      </c>
      <c r="P424" s="30" t="s">
        <v>814</v>
      </c>
      <c r="Q424" s="187" t="s">
        <v>814</v>
      </c>
      <c r="R424" s="30" t="s">
        <v>814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814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6193</v>
      </c>
      <c r="B425" s="254" t="s">
        <v>5304</v>
      </c>
      <c r="C425" s="30" t="s">
        <v>4900</v>
      </c>
      <c r="D425" s="30" t="s">
        <v>6194</v>
      </c>
      <c r="E425" s="20" t="s">
        <v>6195</v>
      </c>
      <c r="F425" s="254" t="s">
        <v>6049</v>
      </c>
      <c r="G425" s="254" t="s">
        <v>5953</v>
      </c>
      <c r="H425" s="30" t="s">
        <v>814</v>
      </c>
      <c r="I425" s="6" t="s">
        <v>814</v>
      </c>
      <c r="J425" s="30" t="s">
        <v>6050</v>
      </c>
      <c r="K425" s="254"/>
      <c r="L425" s="254"/>
      <c r="M425" s="30" t="s">
        <v>814</v>
      </c>
      <c r="N425" s="20" t="s">
        <v>6190</v>
      </c>
      <c r="O425" s="6" t="s">
        <v>814</v>
      </c>
      <c r="P425" s="30" t="s">
        <v>814</v>
      </c>
      <c r="Q425" s="187" t="s">
        <v>814</v>
      </c>
      <c r="R425" s="30" t="s">
        <v>814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814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6196</v>
      </c>
      <c r="B426" s="254" t="s">
        <v>5304</v>
      </c>
      <c r="C426" s="30" t="s">
        <v>4900</v>
      </c>
      <c r="D426" s="30" t="s">
        <v>6197</v>
      </c>
      <c r="E426" s="20" t="s">
        <v>948</v>
      </c>
      <c r="F426" s="254" t="s">
        <v>6049</v>
      </c>
      <c r="G426" s="254" t="s">
        <v>5953</v>
      </c>
      <c r="H426" s="30" t="s">
        <v>814</v>
      </c>
      <c r="I426" s="6" t="s">
        <v>814</v>
      </c>
      <c r="J426" s="30" t="s">
        <v>6050</v>
      </c>
      <c r="K426" s="254"/>
      <c r="L426" s="254"/>
      <c r="M426" s="30" t="s">
        <v>814</v>
      </c>
      <c r="N426" s="20" t="s">
        <v>6190</v>
      </c>
      <c r="O426" s="6" t="s">
        <v>814</v>
      </c>
      <c r="P426" s="30" t="s">
        <v>814</v>
      </c>
      <c r="Q426" s="187" t="s">
        <v>814</v>
      </c>
      <c r="R426" s="30" t="s">
        <v>814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814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6198</v>
      </c>
      <c r="B427" s="254" t="s">
        <v>5304</v>
      </c>
      <c r="C427" s="30" t="s">
        <v>4900</v>
      </c>
      <c r="D427" s="30" t="s">
        <v>6199</v>
      </c>
      <c r="E427" s="20" t="s">
        <v>412</v>
      </c>
      <c r="F427" s="254" t="s">
        <v>6049</v>
      </c>
      <c r="G427" s="254" t="s">
        <v>5953</v>
      </c>
      <c r="H427" s="30" t="s">
        <v>814</v>
      </c>
      <c r="I427" s="6" t="s">
        <v>814</v>
      </c>
      <c r="J427" s="30" t="s">
        <v>6050</v>
      </c>
      <c r="K427" s="254"/>
      <c r="L427" s="254"/>
      <c r="M427" s="30" t="s">
        <v>814</v>
      </c>
      <c r="N427" s="20" t="s">
        <v>6190</v>
      </c>
      <c r="O427" s="6" t="s">
        <v>814</v>
      </c>
      <c r="P427" s="30" t="s">
        <v>814</v>
      </c>
      <c r="Q427" s="187" t="s">
        <v>814</v>
      </c>
      <c r="R427" s="30" t="s">
        <v>814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814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6200</v>
      </c>
      <c r="B428" s="254" t="s">
        <v>5304</v>
      </c>
      <c r="C428" s="30" t="s">
        <v>4900</v>
      </c>
      <c r="D428" s="30" t="s">
        <v>6201</v>
      </c>
      <c r="E428" s="6" t="s">
        <v>951</v>
      </c>
      <c r="F428" s="254" t="s">
        <v>6049</v>
      </c>
      <c r="G428" s="254" t="s">
        <v>5953</v>
      </c>
      <c r="H428" s="30" t="s">
        <v>814</v>
      </c>
      <c r="I428" s="6" t="s">
        <v>814</v>
      </c>
      <c r="J428" s="30" t="s">
        <v>6050</v>
      </c>
      <c r="K428" s="254"/>
      <c r="L428" s="254"/>
      <c r="M428" s="30" t="s">
        <v>814</v>
      </c>
      <c r="N428" s="20" t="s">
        <v>6202</v>
      </c>
      <c r="O428" s="6" t="s">
        <v>814</v>
      </c>
      <c r="P428" s="30" t="s">
        <v>814</v>
      </c>
      <c r="Q428" s="187" t="s">
        <v>814</v>
      </c>
      <c r="R428" s="30" t="s">
        <v>814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6203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6204</v>
      </c>
      <c r="B429" s="254" t="s">
        <v>5304</v>
      </c>
      <c r="C429" s="30" t="s">
        <v>4900</v>
      </c>
      <c r="D429" s="30" t="s">
        <v>6205</v>
      </c>
      <c r="E429" s="20" t="s">
        <v>6206</v>
      </c>
      <c r="F429" s="254" t="s">
        <v>6049</v>
      </c>
      <c r="G429" s="254" t="s">
        <v>5953</v>
      </c>
      <c r="H429" s="30" t="s">
        <v>814</v>
      </c>
      <c r="I429" s="6" t="s">
        <v>814</v>
      </c>
      <c r="J429" s="30" t="s">
        <v>6050</v>
      </c>
      <c r="K429" s="254"/>
      <c r="L429" s="254"/>
      <c r="M429" s="30" t="s">
        <v>814</v>
      </c>
      <c r="N429" s="20" t="s">
        <v>6207</v>
      </c>
      <c r="O429" s="6" t="s">
        <v>814</v>
      </c>
      <c r="P429" s="30" t="s">
        <v>814</v>
      </c>
      <c r="Q429" s="187" t="s">
        <v>814</v>
      </c>
      <c r="R429" s="30" t="s">
        <v>814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6203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6208</v>
      </c>
      <c r="B430" s="254" t="s">
        <v>5304</v>
      </c>
      <c r="C430" s="30" t="s">
        <v>3353</v>
      </c>
      <c r="D430" s="30" t="s">
        <v>6180</v>
      </c>
      <c r="E430" s="20" t="s">
        <v>498</v>
      </c>
      <c r="F430" s="254" t="s">
        <v>5952</v>
      </c>
      <c r="G430" s="254" t="s">
        <v>5953</v>
      </c>
      <c r="H430" s="30" t="s">
        <v>814</v>
      </c>
      <c r="I430" s="6" t="s">
        <v>814</v>
      </c>
      <c r="J430" s="30" t="s">
        <v>5954</v>
      </c>
      <c r="K430" s="254"/>
      <c r="L430" s="254"/>
      <c r="M430" s="30" t="s">
        <v>814</v>
      </c>
      <c r="N430" s="20" t="s">
        <v>6181</v>
      </c>
      <c r="O430" s="6" t="s">
        <v>814</v>
      </c>
      <c r="P430" s="30" t="s">
        <v>814</v>
      </c>
      <c r="Q430" s="187" t="s">
        <v>814</v>
      </c>
      <c r="R430" s="30" t="s">
        <v>814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814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6209</v>
      </c>
      <c r="B431" s="254" t="s">
        <v>6210</v>
      </c>
      <c r="C431" s="30" t="s">
        <v>3354</v>
      </c>
      <c r="D431" s="30" t="s">
        <v>3397</v>
      </c>
      <c r="E431" s="20" t="s">
        <v>6211</v>
      </c>
      <c r="F431" s="254" t="s">
        <v>377</v>
      </c>
      <c r="G431" s="254" t="s">
        <v>5305</v>
      </c>
      <c r="H431" s="30" t="s">
        <v>6212</v>
      </c>
      <c r="I431" s="20" t="s">
        <v>5335</v>
      </c>
      <c r="J431" s="30" t="s">
        <v>814</v>
      </c>
      <c r="K431" s="254"/>
      <c r="L431" s="254"/>
      <c r="M431" s="30" t="s">
        <v>814</v>
      </c>
      <c r="N431" s="20" t="s">
        <v>5398</v>
      </c>
      <c r="O431" s="6" t="s">
        <v>814</v>
      </c>
      <c r="P431" s="254" t="s">
        <v>1441</v>
      </c>
      <c r="Q431" s="198" t="n">
        <f aca="false">Train_In!C25</f>
        <v>32</v>
      </c>
      <c r="R431" s="187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5337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6213</v>
      </c>
      <c r="B432" s="254" t="s">
        <v>6210</v>
      </c>
      <c r="C432" s="30" t="s">
        <v>3354</v>
      </c>
      <c r="D432" s="30" t="s">
        <v>3224</v>
      </c>
      <c r="E432" s="20" t="s">
        <v>6211</v>
      </c>
      <c r="F432" s="254" t="s">
        <v>377</v>
      </c>
      <c r="G432" s="254" t="s">
        <v>5305</v>
      </c>
      <c r="H432" s="30" t="s">
        <v>6214</v>
      </c>
      <c r="I432" s="20" t="s">
        <v>5335</v>
      </c>
      <c r="J432" s="30" t="s">
        <v>814</v>
      </c>
      <c r="K432" s="254"/>
      <c r="L432" s="254"/>
      <c r="M432" s="30" t="s">
        <v>814</v>
      </c>
      <c r="N432" s="20" t="s">
        <v>5398</v>
      </c>
      <c r="O432" s="6" t="s">
        <v>814</v>
      </c>
      <c r="P432" s="254" t="s">
        <v>1441</v>
      </c>
      <c r="Q432" s="198" t="n">
        <f aca="false">Train_In!D25</f>
        <v>33</v>
      </c>
      <c r="R432" s="187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5337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6215</v>
      </c>
      <c r="B433" s="254" t="s">
        <v>6210</v>
      </c>
      <c r="C433" s="30" t="s">
        <v>3354</v>
      </c>
      <c r="D433" s="30" t="s">
        <v>3398</v>
      </c>
      <c r="E433" s="20" t="s">
        <v>6216</v>
      </c>
      <c r="F433" s="254" t="s">
        <v>377</v>
      </c>
      <c r="G433" s="254" t="s">
        <v>5305</v>
      </c>
      <c r="H433" s="30" t="s">
        <v>6217</v>
      </c>
      <c r="I433" s="20" t="s">
        <v>5335</v>
      </c>
      <c r="J433" s="30" t="s">
        <v>814</v>
      </c>
      <c r="K433" s="254"/>
      <c r="L433" s="254"/>
      <c r="M433" s="30" t="s">
        <v>814</v>
      </c>
      <c r="N433" s="20" t="s">
        <v>5398</v>
      </c>
      <c r="O433" s="6" t="s">
        <v>814</v>
      </c>
      <c r="P433" s="254" t="s">
        <v>5351</v>
      </c>
      <c r="Q433" s="49" t="n">
        <f aca="false">Train_In!C26</f>
        <v>4096</v>
      </c>
      <c r="R433" s="187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5337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6218</v>
      </c>
      <c r="B434" s="254" t="s">
        <v>6210</v>
      </c>
      <c r="C434" s="30" t="s">
        <v>3354</v>
      </c>
      <c r="D434" s="30" t="s">
        <v>5556</v>
      </c>
      <c r="E434" s="20" t="s">
        <v>6216</v>
      </c>
      <c r="F434" s="254" t="s">
        <v>377</v>
      </c>
      <c r="G434" s="254" t="s">
        <v>5305</v>
      </c>
      <c r="H434" s="30" t="s">
        <v>6217</v>
      </c>
      <c r="I434" s="20" t="s">
        <v>5335</v>
      </c>
      <c r="J434" s="30" t="s">
        <v>814</v>
      </c>
      <c r="K434" s="254"/>
      <c r="L434" s="254"/>
      <c r="M434" s="30" t="s">
        <v>814</v>
      </c>
      <c r="N434" s="20" t="s">
        <v>5398</v>
      </c>
      <c r="O434" s="6" t="s">
        <v>814</v>
      </c>
      <c r="P434" s="254" t="s">
        <v>5351</v>
      </c>
      <c r="Q434" s="49" t="n">
        <f aca="false">Train_In!D26</f>
        <v>4096</v>
      </c>
      <c r="R434" s="187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5337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6219</v>
      </c>
      <c r="B435" s="254" t="s">
        <v>6210</v>
      </c>
      <c r="C435" s="30" t="s">
        <v>3354</v>
      </c>
      <c r="D435" s="30" t="s">
        <v>3380</v>
      </c>
      <c r="E435" s="6" t="s">
        <v>1205</v>
      </c>
      <c r="F435" s="254" t="s">
        <v>377</v>
      </c>
      <c r="G435" s="254" t="s">
        <v>5305</v>
      </c>
      <c r="H435" s="30" t="s">
        <v>6220</v>
      </c>
      <c r="I435" s="20" t="s">
        <v>5335</v>
      </c>
      <c r="J435" s="30" t="s">
        <v>814</v>
      </c>
      <c r="K435" s="254"/>
      <c r="L435" s="254"/>
      <c r="M435" s="30" t="s">
        <v>814</v>
      </c>
      <c r="N435" s="20" t="s">
        <v>5398</v>
      </c>
      <c r="O435" s="6" t="s">
        <v>814</v>
      </c>
      <c r="P435" s="254" t="s">
        <v>5308</v>
      </c>
      <c r="Q435" s="198" t="n">
        <f aca="false">Train_In!C41</f>
        <v>14.8</v>
      </c>
      <c r="R435" s="187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5337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6221</v>
      </c>
      <c r="B436" s="254" t="s">
        <v>6210</v>
      </c>
      <c r="C436" s="30" t="s">
        <v>3354</v>
      </c>
      <c r="D436" s="30" t="s">
        <v>3381</v>
      </c>
      <c r="E436" s="6" t="s">
        <v>1207</v>
      </c>
      <c r="F436" s="254" t="s">
        <v>377</v>
      </c>
      <c r="G436" s="254" t="s">
        <v>5305</v>
      </c>
      <c r="H436" s="30" t="s">
        <v>6222</v>
      </c>
      <c r="I436" s="20" t="s">
        <v>5335</v>
      </c>
      <c r="J436" s="30" t="s">
        <v>814</v>
      </c>
      <c r="K436" s="254"/>
      <c r="L436" s="254"/>
      <c r="M436" s="30" t="s">
        <v>814</v>
      </c>
      <c r="N436" s="20" t="s">
        <v>5398</v>
      </c>
      <c r="O436" s="6" t="s">
        <v>814</v>
      </c>
      <c r="P436" s="254" t="s">
        <v>5308</v>
      </c>
      <c r="Q436" s="46" t="n">
        <f aca="false">Train_In!C42</f>
        <v>2.664</v>
      </c>
      <c r="R436" s="187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5337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6223</v>
      </c>
      <c r="B437" s="254" t="s">
        <v>6210</v>
      </c>
      <c r="C437" s="30" t="s">
        <v>3354</v>
      </c>
      <c r="D437" s="30" t="s">
        <v>6224</v>
      </c>
      <c r="E437" s="6" t="s">
        <v>1210</v>
      </c>
      <c r="F437" s="254" t="s">
        <v>377</v>
      </c>
      <c r="G437" s="254" t="s">
        <v>5305</v>
      </c>
      <c r="H437" s="30" t="s">
        <v>6225</v>
      </c>
      <c r="I437" s="20" t="s">
        <v>5335</v>
      </c>
      <c r="J437" s="30" t="s">
        <v>814</v>
      </c>
      <c r="K437" s="254"/>
      <c r="L437" s="254"/>
      <c r="M437" s="30" t="s">
        <v>814</v>
      </c>
      <c r="N437" s="20" t="s">
        <v>5398</v>
      </c>
      <c r="O437" s="6" t="s">
        <v>814</v>
      </c>
      <c r="P437" s="254" t="s">
        <v>5308</v>
      </c>
      <c r="Q437" s="49" t="n">
        <f aca="false">Train_In!C43</f>
        <v>4096</v>
      </c>
      <c r="R437" s="187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5337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6226</v>
      </c>
      <c r="B438" s="254" t="s">
        <v>6210</v>
      </c>
      <c r="C438" s="30" t="s">
        <v>3354</v>
      </c>
      <c r="D438" s="30" t="s">
        <v>6227</v>
      </c>
      <c r="E438" s="6" t="s">
        <v>1215</v>
      </c>
      <c r="F438" s="254" t="s">
        <v>377</v>
      </c>
      <c r="G438" s="254" t="s">
        <v>5305</v>
      </c>
      <c r="H438" s="30" t="s">
        <v>4049</v>
      </c>
      <c r="I438" s="20" t="s">
        <v>5335</v>
      </c>
      <c r="J438" s="30" t="s">
        <v>814</v>
      </c>
      <c r="K438" s="254"/>
      <c r="L438" s="254"/>
      <c r="M438" s="30" t="s">
        <v>814</v>
      </c>
      <c r="N438" s="20" t="s">
        <v>5398</v>
      </c>
      <c r="O438" s="6" t="s">
        <v>814</v>
      </c>
      <c r="P438" s="254" t="s">
        <v>5308</v>
      </c>
      <c r="Q438" s="202" t="n">
        <f aca="false">Train_In!C45</f>
        <v>1</v>
      </c>
      <c r="R438" s="187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5337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6228</v>
      </c>
      <c r="B439" s="254" t="s">
        <v>6210</v>
      </c>
      <c r="C439" s="30" t="s">
        <v>24</v>
      </c>
      <c r="D439" s="30" t="s">
        <v>6229</v>
      </c>
      <c r="E439" s="6" t="s">
        <v>861</v>
      </c>
      <c r="F439" s="254" t="s">
        <v>377</v>
      </c>
      <c r="G439" s="254" t="s">
        <v>5305</v>
      </c>
      <c r="H439" s="30" t="s">
        <v>6230</v>
      </c>
      <c r="I439" s="20" t="s">
        <v>6231</v>
      </c>
      <c r="J439" s="30" t="s">
        <v>814</v>
      </c>
      <c r="K439" s="254"/>
      <c r="L439" s="254"/>
      <c r="M439" s="30" t="s">
        <v>814</v>
      </c>
      <c r="N439" s="6" t="s">
        <v>6232</v>
      </c>
      <c r="O439" s="6" t="s">
        <v>814</v>
      </c>
      <c r="P439" s="254" t="s">
        <v>5308</v>
      </c>
      <c r="Q439" s="33" t="n">
        <f aca="false">Tech_Registry!J14</f>
        <v>4</v>
      </c>
      <c r="R439" s="187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5337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6233</v>
      </c>
      <c r="B440" s="254" t="s">
        <v>5304</v>
      </c>
      <c r="C440" s="30" t="s">
        <v>3244</v>
      </c>
      <c r="D440" s="30" t="s">
        <v>3234</v>
      </c>
      <c r="E440" s="20" t="s">
        <v>6234</v>
      </c>
      <c r="F440" s="30" t="s">
        <v>132</v>
      </c>
      <c r="G440" s="254" t="s">
        <v>5305</v>
      </c>
      <c r="H440" s="30" t="s">
        <v>814</v>
      </c>
      <c r="I440" s="6" t="s">
        <v>814</v>
      </c>
      <c r="J440" s="30" t="s">
        <v>5954</v>
      </c>
      <c r="K440" s="254"/>
      <c r="L440" s="254"/>
      <c r="M440" s="254" t="s">
        <v>5082</v>
      </c>
      <c r="N440" s="20" t="s">
        <v>6235</v>
      </c>
      <c r="O440" s="6" t="s">
        <v>814</v>
      </c>
      <c r="P440" s="254" t="s">
        <v>5308</v>
      </c>
      <c r="Q440" s="49" t="n">
        <f aca="false">Arch!C32</f>
        <v>128000</v>
      </c>
      <c r="R440" s="30" t="s">
        <v>814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5309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6236</v>
      </c>
      <c r="B441" s="254" t="s">
        <v>6237</v>
      </c>
      <c r="C441" s="30" t="s">
        <v>3371</v>
      </c>
      <c r="D441" s="30" t="s">
        <v>6238</v>
      </c>
      <c r="E441" s="20" t="s">
        <v>6239</v>
      </c>
      <c r="F441" s="254" t="s">
        <v>6049</v>
      </c>
      <c r="G441" s="254" t="s">
        <v>5953</v>
      </c>
      <c r="H441" s="30" t="s">
        <v>814</v>
      </c>
      <c r="I441" s="6" t="s">
        <v>814</v>
      </c>
      <c r="J441" s="30" t="s">
        <v>6050</v>
      </c>
      <c r="K441" s="254"/>
      <c r="L441" s="254"/>
      <c r="M441" s="30" t="s">
        <v>814</v>
      </c>
      <c r="N441" s="6" t="s">
        <v>6240</v>
      </c>
      <c r="O441" s="6" t="s">
        <v>814</v>
      </c>
      <c r="P441" s="30" t="s">
        <v>814</v>
      </c>
      <c r="Q441" s="187" t="s">
        <v>814</v>
      </c>
      <c r="R441" s="30" t="s">
        <v>814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814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6241</v>
      </c>
      <c r="B442" s="254" t="s">
        <v>6237</v>
      </c>
      <c r="C442" s="30" t="s">
        <v>3371</v>
      </c>
      <c r="D442" s="30" t="s">
        <v>6242</v>
      </c>
      <c r="E442" s="20" t="s">
        <v>6243</v>
      </c>
      <c r="F442" s="254" t="s">
        <v>6049</v>
      </c>
      <c r="G442" s="254" t="s">
        <v>5953</v>
      </c>
      <c r="H442" s="30" t="s">
        <v>814</v>
      </c>
      <c r="I442" s="6" t="s">
        <v>814</v>
      </c>
      <c r="J442" s="30" t="s">
        <v>6050</v>
      </c>
      <c r="K442" s="254"/>
      <c r="L442" s="254"/>
      <c r="M442" s="30" t="s">
        <v>814</v>
      </c>
      <c r="N442" s="6" t="s">
        <v>6244</v>
      </c>
      <c r="O442" s="6" t="s">
        <v>814</v>
      </c>
      <c r="P442" s="30" t="s">
        <v>814</v>
      </c>
      <c r="Q442" s="187" t="s">
        <v>814</v>
      </c>
      <c r="R442" s="30" t="s">
        <v>814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814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6245</v>
      </c>
      <c r="B443" s="254" t="s">
        <v>6237</v>
      </c>
      <c r="C443" s="30" t="s">
        <v>6246</v>
      </c>
      <c r="D443" s="30" t="s">
        <v>6247</v>
      </c>
      <c r="E443" s="6" t="s">
        <v>6248</v>
      </c>
      <c r="F443" s="254" t="s">
        <v>6049</v>
      </c>
      <c r="G443" s="254" t="s">
        <v>5305</v>
      </c>
      <c r="H443" s="30" t="s">
        <v>814</v>
      </c>
      <c r="I443" s="6" t="s">
        <v>814</v>
      </c>
      <c r="J443" s="30" t="s">
        <v>6050</v>
      </c>
      <c r="K443" s="254"/>
      <c r="L443" s="254"/>
      <c r="M443" s="30" t="s">
        <v>814</v>
      </c>
      <c r="N443" s="6" t="s">
        <v>6249</v>
      </c>
      <c r="O443" s="6" t="s">
        <v>814</v>
      </c>
      <c r="P443" s="254" t="s">
        <v>5308</v>
      </c>
      <c r="Q443" s="195" t="n">
        <f aca="false">Sens_Rev!B18</f>
        <v>0.5</v>
      </c>
      <c r="R443" s="30" t="s">
        <v>814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5309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6250</v>
      </c>
      <c r="B444" s="254" t="s">
        <v>6237</v>
      </c>
      <c r="C444" s="30" t="s">
        <v>24</v>
      </c>
      <c r="D444" s="30" t="s">
        <v>6251</v>
      </c>
      <c r="E444" s="20" t="s">
        <v>6252</v>
      </c>
      <c r="F444" s="30" t="s">
        <v>122</v>
      </c>
      <c r="G444" s="254" t="s">
        <v>5305</v>
      </c>
      <c r="H444" s="30" t="s">
        <v>814</v>
      </c>
      <c r="I444" s="6" t="s">
        <v>814</v>
      </c>
      <c r="J444" s="30" t="s">
        <v>6229</v>
      </c>
      <c r="K444" s="254"/>
      <c r="L444" s="254"/>
      <c r="M444" s="30" t="s">
        <v>814</v>
      </c>
      <c r="N444" s="6" t="s">
        <v>6253</v>
      </c>
      <c r="O444" s="6" t="s">
        <v>814</v>
      </c>
      <c r="P444" s="254" t="s">
        <v>5308</v>
      </c>
      <c r="Q444" s="33" t="n">
        <f aca="false">Tech_Registry!J17</f>
        <v>2</v>
      </c>
      <c r="R444" s="30" t="s">
        <v>814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5309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6254</v>
      </c>
      <c r="B445" s="254" t="s">
        <v>6255</v>
      </c>
      <c r="C445" s="30" t="s">
        <v>3377</v>
      </c>
      <c r="D445" s="30" t="s">
        <v>3216</v>
      </c>
      <c r="E445" s="20" t="s">
        <v>6256</v>
      </c>
      <c r="F445" s="30" t="s">
        <v>132</v>
      </c>
      <c r="G445" s="254" t="s">
        <v>115</v>
      </c>
      <c r="H445" s="30" t="s">
        <v>6257</v>
      </c>
      <c r="I445" s="246" t="s">
        <v>6258</v>
      </c>
      <c r="J445" s="30" t="s">
        <v>6259</v>
      </c>
      <c r="K445" s="197" t="n">
        <f aca="false">Cap_In!D12</f>
        <v>0.1</v>
      </c>
      <c r="L445" s="197" t="n">
        <f aca="false">Cap_In!E12</f>
        <v>0.4</v>
      </c>
      <c r="M445" s="30" t="s">
        <v>6260</v>
      </c>
      <c r="N445" s="20" t="s">
        <v>6261</v>
      </c>
      <c r="O445" s="6" t="s">
        <v>814</v>
      </c>
      <c r="P445" s="254" t="s">
        <v>5351</v>
      </c>
      <c r="Q445" s="197" t="n">
        <f aca="false">Cap_In!C12</f>
        <v>0.2</v>
      </c>
      <c r="R445" s="187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5309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6262</v>
      </c>
      <c r="B446" s="254" t="s">
        <v>6255</v>
      </c>
      <c r="C446" s="30" t="s">
        <v>3377</v>
      </c>
      <c r="D446" s="30" t="s">
        <v>6263</v>
      </c>
      <c r="E446" s="20" t="s">
        <v>6256</v>
      </c>
      <c r="F446" s="30" t="s">
        <v>132</v>
      </c>
      <c r="G446" s="254" t="s">
        <v>6264</v>
      </c>
      <c r="H446" s="30" t="s">
        <v>6257</v>
      </c>
      <c r="I446" s="246" t="s">
        <v>6258</v>
      </c>
      <c r="J446" s="30" t="s">
        <v>6259</v>
      </c>
      <c r="K446" s="254"/>
      <c r="L446" s="254"/>
      <c r="M446" s="30" t="s">
        <v>6265</v>
      </c>
      <c r="N446" s="20" t="s">
        <v>6261</v>
      </c>
      <c r="O446" s="6" t="s">
        <v>814</v>
      </c>
      <c r="P446" s="254" t="s">
        <v>5351</v>
      </c>
      <c r="Q446" s="187" t="s">
        <v>814</v>
      </c>
      <c r="R446" s="187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814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6266</v>
      </c>
      <c r="B447" s="254" t="s">
        <v>6255</v>
      </c>
      <c r="C447" s="30" t="s">
        <v>3377</v>
      </c>
      <c r="D447" s="30" t="s">
        <v>3220</v>
      </c>
      <c r="E447" s="20" t="s">
        <v>6267</v>
      </c>
      <c r="F447" s="30" t="s">
        <v>132</v>
      </c>
      <c r="G447" s="254" t="s">
        <v>115</v>
      </c>
      <c r="H447" s="30" t="s">
        <v>6268</v>
      </c>
      <c r="I447" s="246" t="s">
        <v>6269</v>
      </c>
      <c r="J447" s="30" t="s">
        <v>6270</v>
      </c>
      <c r="K447" s="197" t="n">
        <f aca="false">Cap_In!D13</f>
        <v>0.3</v>
      </c>
      <c r="L447" s="197" t="n">
        <f aca="false">Cap_In!E13</f>
        <v>0.75</v>
      </c>
      <c r="M447" s="30" t="s">
        <v>814</v>
      </c>
      <c r="N447" s="20" t="s">
        <v>6271</v>
      </c>
      <c r="O447" s="6" t="s">
        <v>814</v>
      </c>
      <c r="P447" s="254" t="s">
        <v>5351</v>
      </c>
      <c r="Q447" s="197" t="n">
        <f aca="false">Cap_In!C13</f>
        <v>0.55</v>
      </c>
      <c r="R447" s="187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5309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713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6272</v>
      </c>
      <c r="B448" s="254" t="s">
        <v>6255</v>
      </c>
      <c r="C448" s="30" t="s">
        <v>3377</v>
      </c>
      <c r="D448" s="30" t="s">
        <v>6273</v>
      </c>
      <c r="E448" s="20" t="s">
        <v>6267</v>
      </c>
      <c r="F448" s="30" t="s">
        <v>132</v>
      </c>
      <c r="G448" s="254" t="s">
        <v>6264</v>
      </c>
      <c r="H448" s="30" t="s">
        <v>814</v>
      </c>
      <c r="I448" s="6" t="s">
        <v>814</v>
      </c>
      <c r="J448" s="30" t="s">
        <v>6270</v>
      </c>
      <c r="K448" s="254"/>
      <c r="L448" s="254"/>
      <c r="M448" s="30" t="s">
        <v>6274</v>
      </c>
      <c r="N448" s="20" t="s">
        <v>6275</v>
      </c>
      <c r="O448" s="6" t="s">
        <v>814</v>
      </c>
      <c r="P448" s="254" t="s">
        <v>5351</v>
      </c>
      <c r="Q448" s="187" t="s">
        <v>814</v>
      </c>
      <c r="R448" s="30" t="s">
        <v>814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814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6276</v>
      </c>
      <c r="B449" s="254" t="s">
        <v>6255</v>
      </c>
      <c r="C449" s="30" t="s">
        <v>3377</v>
      </c>
      <c r="D449" s="30" t="s">
        <v>3249</v>
      </c>
      <c r="E449" s="20" t="s">
        <v>6277</v>
      </c>
      <c r="F449" s="30" t="s">
        <v>122</v>
      </c>
      <c r="G449" s="254" t="s">
        <v>115</v>
      </c>
      <c r="H449" s="30" t="s">
        <v>814</v>
      </c>
      <c r="I449" s="6" t="s">
        <v>814</v>
      </c>
      <c r="J449" s="30" t="s">
        <v>5120</v>
      </c>
      <c r="K449" s="195" t="n">
        <f aca="false">Cap_In!D14</f>
        <v>0</v>
      </c>
      <c r="L449" s="195" t="n">
        <f aca="false">Cap_In!E14</f>
        <v>0.5</v>
      </c>
      <c r="M449" s="30" t="s">
        <v>814</v>
      </c>
      <c r="N449" s="6" t="s">
        <v>6278</v>
      </c>
      <c r="O449" s="6" t="s">
        <v>814</v>
      </c>
      <c r="P449" s="254" t="s">
        <v>5308</v>
      </c>
      <c r="Q449" s="195" t="n">
        <f aca="false">Cap_In!C14</f>
        <v>0</v>
      </c>
      <c r="R449" s="30" t="s">
        <v>814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5309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6279</v>
      </c>
      <c r="B450" s="254" t="s">
        <v>6255</v>
      </c>
      <c r="C450" s="30" t="s">
        <v>3377</v>
      </c>
      <c r="D450" s="30" t="s">
        <v>6280</v>
      </c>
      <c r="E450" s="20" t="s">
        <v>6277</v>
      </c>
      <c r="F450" s="30" t="s">
        <v>122</v>
      </c>
      <c r="G450" s="254" t="s">
        <v>6264</v>
      </c>
      <c r="H450" s="30" t="s">
        <v>814</v>
      </c>
      <c r="I450" s="6" t="s">
        <v>814</v>
      </c>
      <c r="J450" s="30" t="s">
        <v>5120</v>
      </c>
      <c r="K450" s="254"/>
      <c r="L450" s="254"/>
      <c r="M450" s="30" t="s">
        <v>6281</v>
      </c>
      <c r="N450" s="6" t="s">
        <v>6278</v>
      </c>
      <c r="O450" s="6" t="s">
        <v>814</v>
      </c>
      <c r="P450" s="254" t="s">
        <v>5308</v>
      </c>
      <c r="Q450" s="187" t="s">
        <v>814</v>
      </c>
      <c r="R450" s="30" t="s">
        <v>814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814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6282</v>
      </c>
      <c r="B451" s="254" t="s">
        <v>6255</v>
      </c>
      <c r="C451" s="30" t="s">
        <v>3377</v>
      </c>
      <c r="D451" s="30" t="s">
        <v>3250</v>
      </c>
      <c r="E451" s="20" t="s">
        <v>6283</v>
      </c>
      <c r="F451" s="254" t="s">
        <v>6049</v>
      </c>
      <c r="G451" s="254" t="s">
        <v>115</v>
      </c>
      <c r="H451" s="30" t="s">
        <v>814</v>
      </c>
      <c r="I451" s="6" t="s">
        <v>814</v>
      </c>
      <c r="J451" s="30" t="s">
        <v>5120</v>
      </c>
      <c r="K451" s="195" t="n">
        <f aca="false">Cap_In!D15</f>
        <v>0.5</v>
      </c>
      <c r="L451" s="195" t="n">
        <f aca="false">Cap_In!E15</f>
        <v>7</v>
      </c>
      <c r="M451" s="30" t="s">
        <v>814</v>
      </c>
      <c r="N451" s="20" t="s">
        <v>6284</v>
      </c>
      <c r="O451" s="6" t="s">
        <v>814</v>
      </c>
      <c r="P451" s="254" t="s">
        <v>5308</v>
      </c>
      <c r="Q451" s="195" t="n">
        <f aca="false">Cap_In!C15</f>
        <v>1</v>
      </c>
      <c r="R451" s="30" t="s">
        <v>814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5309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6285</v>
      </c>
      <c r="B452" s="254" t="s">
        <v>6255</v>
      </c>
      <c r="C452" s="30" t="s">
        <v>3377</v>
      </c>
      <c r="D452" s="30" t="s">
        <v>6286</v>
      </c>
      <c r="E452" s="20" t="s">
        <v>6283</v>
      </c>
      <c r="F452" s="254" t="s">
        <v>6049</v>
      </c>
      <c r="G452" s="254" t="s">
        <v>6264</v>
      </c>
      <c r="H452" s="30" t="s">
        <v>814</v>
      </c>
      <c r="I452" s="6" t="s">
        <v>814</v>
      </c>
      <c r="J452" s="30" t="s">
        <v>5120</v>
      </c>
      <c r="K452" s="254"/>
      <c r="L452" s="254"/>
      <c r="M452" s="30" t="s">
        <v>6287</v>
      </c>
      <c r="N452" s="20" t="s">
        <v>6284</v>
      </c>
      <c r="O452" s="6" t="s">
        <v>814</v>
      </c>
      <c r="P452" s="254" t="s">
        <v>5308</v>
      </c>
      <c r="Q452" s="187" t="s">
        <v>814</v>
      </c>
      <c r="R452" s="30" t="s">
        <v>814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814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6288</v>
      </c>
      <c r="B453" s="254" t="s">
        <v>6255</v>
      </c>
      <c r="C453" s="30" t="s">
        <v>3377</v>
      </c>
      <c r="D453" s="30" t="s">
        <v>6289</v>
      </c>
      <c r="E453" s="20" t="s">
        <v>6290</v>
      </c>
      <c r="F453" s="30" t="s">
        <v>122</v>
      </c>
      <c r="G453" s="254" t="s">
        <v>5953</v>
      </c>
      <c r="H453" s="30" t="s">
        <v>814</v>
      </c>
      <c r="I453" s="6" t="s">
        <v>814</v>
      </c>
      <c r="J453" s="30" t="s">
        <v>6291</v>
      </c>
      <c r="K453" s="254"/>
      <c r="L453" s="254"/>
      <c r="M453" s="30" t="s">
        <v>814</v>
      </c>
      <c r="N453" s="6" t="s">
        <v>6292</v>
      </c>
      <c r="O453" s="6" t="s">
        <v>814</v>
      </c>
      <c r="P453" s="254" t="s">
        <v>5308</v>
      </c>
      <c r="Q453" s="187" t="s">
        <v>814</v>
      </c>
      <c r="R453" s="30" t="s">
        <v>814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814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6293</v>
      </c>
      <c r="B454" s="254" t="s">
        <v>6255</v>
      </c>
      <c r="C454" s="30" t="s">
        <v>3377</v>
      </c>
      <c r="D454" s="30" t="s">
        <v>6294</v>
      </c>
      <c r="E454" s="20" t="s">
        <v>1460</v>
      </c>
      <c r="F454" s="30" t="s">
        <v>132</v>
      </c>
      <c r="G454" s="254" t="s">
        <v>5953</v>
      </c>
      <c r="H454" s="30" t="s">
        <v>814</v>
      </c>
      <c r="I454" s="6" t="s">
        <v>814</v>
      </c>
      <c r="J454" s="30" t="s">
        <v>5123</v>
      </c>
      <c r="K454" s="254"/>
      <c r="L454" s="254"/>
      <c r="M454" s="254" t="s">
        <v>6295</v>
      </c>
      <c r="N454" s="6" t="s">
        <v>6296</v>
      </c>
      <c r="O454" s="6" t="s">
        <v>814</v>
      </c>
      <c r="P454" s="254" t="s">
        <v>5308</v>
      </c>
      <c r="Q454" s="187" t="s">
        <v>814</v>
      </c>
      <c r="R454" s="30" t="s">
        <v>814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814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6297</v>
      </c>
      <c r="B455" s="254" t="s">
        <v>6255</v>
      </c>
      <c r="C455" s="30" t="s">
        <v>3377</v>
      </c>
      <c r="D455" s="30" t="s">
        <v>6298</v>
      </c>
      <c r="E455" s="20" t="s">
        <v>1463</v>
      </c>
      <c r="F455" s="30" t="s">
        <v>132</v>
      </c>
      <c r="G455" s="254" t="s">
        <v>1440</v>
      </c>
      <c r="H455" s="30" t="s">
        <v>814</v>
      </c>
      <c r="I455" s="6" t="s">
        <v>814</v>
      </c>
      <c r="J455" s="30" t="s">
        <v>5123</v>
      </c>
      <c r="K455" s="254"/>
      <c r="L455" s="254"/>
      <c r="M455" s="30" t="s">
        <v>814</v>
      </c>
      <c r="N455" s="6" t="s">
        <v>6296</v>
      </c>
      <c r="O455" s="6" t="s">
        <v>814</v>
      </c>
      <c r="P455" s="254" t="s">
        <v>5308</v>
      </c>
      <c r="Q455" s="187" t="s">
        <v>814</v>
      </c>
      <c r="R455" s="30" t="s">
        <v>814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814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6299</v>
      </c>
      <c r="B456" s="254" t="s">
        <v>6255</v>
      </c>
      <c r="C456" s="30" t="s">
        <v>3377</v>
      </c>
      <c r="D456" s="30" t="s">
        <v>6300</v>
      </c>
      <c r="E456" s="20" t="s">
        <v>1465</v>
      </c>
      <c r="F456" s="30" t="s">
        <v>132</v>
      </c>
      <c r="G456" s="254" t="s">
        <v>1441</v>
      </c>
      <c r="H456" s="30" t="s">
        <v>814</v>
      </c>
      <c r="I456" s="6" t="s">
        <v>814</v>
      </c>
      <c r="J456" s="30" t="s">
        <v>5123</v>
      </c>
      <c r="K456" s="254"/>
      <c r="L456" s="254"/>
      <c r="M456" s="30" t="s">
        <v>814</v>
      </c>
      <c r="N456" s="6" t="s">
        <v>6296</v>
      </c>
      <c r="O456" s="6" t="s">
        <v>814</v>
      </c>
      <c r="P456" s="254" t="s">
        <v>5308</v>
      </c>
      <c r="Q456" s="187" t="s">
        <v>814</v>
      </c>
      <c r="R456" s="30" t="s">
        <v>814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814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6301</v>
      </c>
      <c r="B457" s="254" t="s">
        <v>6255</v>
      </c>
      <c r="C457" s="30" t="s">
        <v>3377</v>
      </c>
      <c r="D457" s="30" t="s">
        <v>3262</v>
      </c>
      <c r="E457" s="20" t="s">
        <v>1468</v>
      </c>
      <c r="F457" s="254" t="s">
        <v>5437</v>
      </c>
      <c r="G457" s="254" t="s">
        <v>115</v>
      </c>
      <c r="H457" s="30" t="s">
        <v>4163</v>
      </c>
      <c r="I457" s="20" t="s">
        <v>6302</v>
      </c>
      <c r="J457" s="30" t="s">
        <v>3348</v>
      </c>
      <c r="K457" s="197" t="n">
        <f aca="false">Cap_In!D28</f>
        <v>0.3</v>
      </c>
      <c r="L457" s="197" t="n">
        <f aca="false">Cap_In!E28</f>
        <v>0.6</v>
      </c>
      <c r="M457" s="30" t="s">
        <v>814</v>
      </c>
      <c r="N457" s="20" t="s">
        <v>6303</v>
      </c>
      <c r="O457" s="6" t="s">
        <v>6304</v>
      </c>
      <c r="P457" s="254" t="s">
        <v>1441</v>
      </c>
      <c r="Q457" s="197" t="n">
        <f aca="false">Cap_In!C28</f>
        <v>0.41</v>
      </c>
      <c r="R457" s="187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5309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671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6305</v>
      </c>
      <c r="B458" s="254" t="s">
        <v>6255</v>
      </c>
      <c r="C458" s="30" t="s">
        <v>3377</v>
      </c>
      <c r="D458" s="30" t="s">
        <v>6306</v>
      </c>
      <c r="E458" s="20" t="s">
        <v>1468</v>
      </c>
      <c r="F458" s="30" t="s">
        <v>132</v>
      </c>
      <c r="G458" s="254" t="s">
        <v>6264</v>
      </c>
      <c r="H458" s="30" t="s">
        <v>814</v>
      </c>
      <c r="I458" s="6" t="s">
        <v>814</v>
      </c>
      <c r="J458" s="30" t="s">
        <v>3348</v>
      </c>
      <c r="K458" s="254"/>
      <c r="L458" s="254"/>
      <c r="M458" s="30" t="s">
        <v>6307</v>
      </c>
      <c r="N458" s="6" t="s">
        <v>6308</v>
      </c>
      <c r="O458" s="6" t="s">
        <v>814</v>
      </c>
      <c r="P458" s="254" t="s">
        <v>1441</v>
      </c>
      <c r="Q458" s="187" t="s">
        <v>814</v>
      </c>
      <c r="R458" s="30" t="s">
        <v>814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814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6309</v>
      </c>
      <c r="B459" s="254" t="s">
        <v>6255</v>
      </c>
      <c r="C459" s="30" t="s">
        <v>3377</v>
      </c>
      <c r="D459" s="30" t="s">
        <v>3228</v>
      </c>
      <c r="E459" s="20" t="s">
        <v>1471</v>
      </c>
      <c r="F459" s="254" t="s">
        <v>5437</v>
      </c>
      <c r="G459" s="254" t="s">
        <v>115</v>
      </c>
      <c r="H459" s="30" t="s">
        <v>4174</v>
      </c>
      <c r="I459" s="20" t="s">
        <v>6310</v>
      </c>
      <c r="J459" s="30" t="s">
        <v>3348</v>
      </c>
      <c r="K459" s="197" t="n">
        <f aca="false">Cap_In!D29</f>
        <v>0.35</v>
      </c>
      <c r="L459" s="197" t="n">
        <f aca="false">Cap_In!E29</f>
        <v>0.6</v>
      </c>
      <c r="M459" s="30" t="s">
        <v>814</v>
      </c>
      <c r="N459" s="20" t="s">
        <v>6311</v>
      </c>
      <c r="O459" s="6" t="s">
        <v>6312</v>
      </c>
      <c r="P459" s="254" t="s">
        <v>1441</v>
      </c>
      <c r="Q459" s="197" t="n">
        <f aca="false">Cap_In!C29</f>
        <v>0.46</v>
      </c>
      <c r="R459" s="187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5309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672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6313</v>
      </c>
      <c r="B460" s="254" t="s">
        <v>6255</v>
      </c>
      <c r="C460" s="30" t="s">
        <v>3377</v>
      </c>
      <c r="D460" s="30" t="s">
        <v>6314</v>
      </c>
      <c r="E460" s="20" t="s">
        <v>1471</v>
      </c>
      <c r="F460" s="30" t="s">
        <v>132</v>
      </c>
      <c r="G460" s="254" t="s">
        <v>6264</v>
      </c>
      <c r="H460" s="30" t="s">
        <v>814</v>
      </c>
      <c r="I460" s="6" t="s">
        <v>814</v>
      </c>
      <c r="J460" s="30" t="s">
        <v>3348</v>
      </c>
      <c r="K460" s="254"/>
      <c r="L460" s="254"/>
      <c r="M460" s="30" t="s">
        <v>6315</v>
      </c>
      <c r="N460" s="6" t="s">
        <v>6316</v>
      </c>
      <c r="O460" s="6" t="s">
        <v>814</v>
      </c>
      <c r="P460" s="254" t="s">
        <v>1441</v>
      </c>
      <c r="Q460" s="187" t="s">
        <v>814</v>
      </c>
      <c r="R460" s="30" t="s">
        <v>814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814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6317</v>
      </c>
      <c r="B461" s="254" t="s">
        <v>6255</v>
      </c>
      <c r="C461" s="30" t="s">
        <v>3377</v>
      </c>
      <c r="D461" s="30" t="s">
        <v>6318</v>
      </c>
      <c r="E461" s="20" t="s">
        <v>6319</v>
      </c>
      <c r="F461" s="30" t="s">
        <v>132</v>
      </c>
      <c r="G461" s="254" t="s">
        <v>5953</v>
      </c>
      <c r="H461" s="30" t="s">
        <v>814</v>
      </c>
      <c r="I461" s="6" t="s">
        <v>814</v>
      </c>
      <c r="J461" s="30" t="s">
        <v>3348</v>
      </c>
      <c r="K461" s="254"/>
      <c r="L461" s="254"/>
      <c r="M461" s="254" t="s">
        <v>6320</v>
      </c>
      <c r="N461" s="6" t="s">
        <v>6321</v>
      </c>
      <c r="O461" s="6" t="s">
        <v>814</v>
      </c>
      <c r="P461" s="254" t="s">
        <v>5308</v>
      </c>
      <c r="Q461" s="187" t="s">
        <v>814</v>
      </c>
      <c r="R461" s="30" t="s">
        <v>814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814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6322</v>
      </c>
      <c r="B462" s="254" t="s">
        <v>6255</v>
      </c>
      <c r="C462" s="30" t="s">
        <v>3377</v>
      </c>
      <c r="D462" s="30" t="s">
        <v>6323</v>
      </c>
      <c r="E462" s="20" t="s">
        <v>6324</v>
      </c>
      <c r="F462" s="30" t="s">
        <v>132</v>
      </c>
      <c r="G462" s="254" t="s">
        <v>5953</v>
      </c>
      <c r="H462" s="30" t="s">
        <v>814</v>
      </c>
      <c r="I462" s="6" t="s">
        <v>814</v>
      </c>
      <c r="J462" s="30" t="s">
        <v>3348</v>
      </c>
      <c r="K462" s="254"/>
      <c r="L462" s="254"/>
      <c r="M462" s="30" t="s">
        <v>6325</v>
      </c>
      <c r="N462" s="6" t="s">
        <v>6326</v>
      </c>
      <c r="O462" s="6" t="s">
        <v>814</v>
      </c>
      <c r="P462" s="254" t="s">
        <v>5308</v>
      </c>
      <c r="Q462" s="187" t="s">
        <v>814</v>
      </c>
      <c r="R462" s="30" t="s">
        <v>814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814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6327</v>
      </c>
      <c r="B463" s="254" t="s">
        <v>6255</v>
      </c>
      <c r="C463" s="30" t="s">
        <v>3377</v>
      </c>
      <c r="D463" s="30" t="s">
        <v>3365</v>
      </c>
      <c r="E463" s="20" t="s">
        <v>6328</v>
      </c>
      <c r="F463" s="30" t="s">
        <v>132</v>
      </c>
      <c r="G463" s="254" t="s">
        <v>115</v>
      </c>
      <c r="H463" s="30" t="s">
        <v>814</v>
      </c>
      <c r="I463" s="6" t="s">
        <v>814</v>
      </c>
      <c r="J463" s="30" t="s">
        <v>6329</v>
      </c>
      <c r="K463" s="33" t="n">
        <f aca="false">Cap_In!D36</f>
        <v>1</v>
      </c>
      <c r="L463" s="33" t="n">
        <f aca="false">Cap_In!E36</f>
        <v>3</v>
      </c>
      <c r="M463" s="30" t="s">
        <v>814</v>
      </c>
      <c r="N463" s="6" t="s">
        <v>6330</v>
      </c>
      <c r="O463" s="6" t="s">
        <v>814</v>
      </c>
      <c r="P463" s="254" t="s">
        <v>1441</v>
      </c>
      <c r="Q463" s="33" t="n">
        <f aca="false">Cap_In!C36</f>
        <v>2</v>
      </c>
      <c r="R463" s="30" t="s">
        <v>814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5309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6331</v>
      </c>
      <c r="B464" s="254" t="s">
        <v>6255</v>
      </c>
      <c r="C464" s="30" t="s">
        <v>3377</v>
      </c>
      <c r="D464" s="30" t="s">
        <v>6332</v>
      </c>
      <c r="E464" s="20" t="s">
        <v>6328</v>
      </c>
      <c r="F464" s="30" t="s">
        <v>132</v>
      </c>
      <c r="G464" s="254" t="s">
        <v>6264</v>
      </c>
      <c r="H464" s="30" t="s">
        <v>814</v>
      </c>
      <c r="I464" s="6" t="s">
        <v>814</v>
      </c>
      <c r="J464" s="30" t="s">
        <v>6329</v>
      </c>
      <c r="K464" s="254"/>
      <c r="L464" s="254"/>
      <c r="M464" s="30" t="s">
        <v>6333</v>
      </c>
      <c r="N464" s="6" t="s">
        <v>6334</v>
      </c>
      <c r="O464" s="6" t="s">
        <v>814</v>
      </c>
      <c r="P464" s="254" t="s">
        <v>5308</v>
      </c>
      <c r="Q464" s="187" t="s">
        <v>814</v>
      </c>
      <c r="R464" s="30" t="s">
        <v>814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814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6335</v>
      </c>
      <c r="B465" s="254" t="s">
        <v>6255</v>
      </c>
      <c r="C465" s="30" t="s">
        <v>3377</v>
      </c>
      <c r="D465" s="30" t="s">
        <v>3367</v>
      </c>
      <c r="E465" s="20" t="s">
        <v>1480</v>
      </c>
      <c r="F465" s="30" t="s">
        <v>132</v>
      </c>
      <c r="G465" s="254" t="s">
        <v>115</v>
      </c>
      <c r="H465" s="30" t="s">
        <v>814</v>
      </c>
      <c r="I465" s="6" t="s">
        <v>814</v>
      </c>
      <c r="J465" s="30" t="s">
        <v>6329</v>
      </c>
      <c r="K465" s="217" t="n">
        <f aca="false">Cap_In!D37</f>
        <v>0.0833333333333333</v>
      </c>
      <c r="L465" s="217" t="n">
        <f aca="false">Cap_In!E37</f>
        <v>1</v>
      </c>
      <c r="M465" s="30" t="s">
        <v>814</v>
      </c>
      <c r="N465" s="6" t="s">
        <v>6336</v>
      </c>
      <c r="O465" s="6" t="s">
        <v>6337</v>
      </c>
      <c r="P465" s="254" t="s">
        <v>1440</v>
      </c>
      <c r="Q465" s="217" t="n">
        <f aca="false">Cap_In!C37</f>
        <v>0.0833333333333333</v>
      </c>
      <c r="R465" s="30" t="s">
        <v>814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5309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6338</v>
      </c>
      <c r="B466" s="254" t="s">
        <v>6255</v>
      </c>
      <c r="C466" s="30" t="s">
        <v>3377</v>
      </c>
      <c r="D466" s="30" t="s">
        <v>6339</v>
      </c>
      <c r="E466" s="20" t="s">
        <v>1480</v>
      </c>
      <c r="F466" s="30" t="s">
        <v>132</v>
      </c>
      <c r="G466" s="254" t="s">
        <v>6264</v>
      </c>
      <c r="H466" s="30" t="s">
        <v>814</v>
      </c>
      <c r="I466" s="6" t="s">
        <v>814</v>
      </c>
      <c r="J466" s="30" t="s">
        <v>6329</v>
      </c>
      <c r="K466" s="254"/>
      <c r="L466" s="254"/>
      <c r="M466" s="30" t="s">
        <v>6340</v>
      </c>
      <c r="N466" s="6" t="s">
        <v>6341</v>
      </c>
      <c r="O466" s="6" t="s">
        <v>814</v>
      </c>
      <c r="P466" s="254" t="s">
        <v>1440</v>
      </c>
      <c r="Q466" s="187" t="s">
        <v>814</v>
      </c>
      <c r="R466" s="30" t="s">
        <v>814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814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6342</v>
      </c>
      <c r="B467" s="254" t="s">
        <v>6255</v>
      </c>
      <c r="C467" s="30" t="s">
        <v>3377</v>
      </c>
      <c r="D467" s="30" t="s">
        <v>3368</v>
      </c>
      <c r="E467" s="20" t="s">
        <v>1482</v>
      </c>
      <c r="F467" s="30" t="s">
        <v>132</v>
      </c>
      <c r="G467" s="254" t="s">
        <v>115</v>
      </c>
      <c r="H467" s="30" t="s">
        <v>814</v>
      </c>
      <c r="I467" s="6" t="s">
        <v>814</v>
      </c>
      <c r="J467" s="30" t="s">
        <v>6329</v>
      </c>
      <c r="K467" s="33" t="n">
        <f aca="false">Cap_In!D38</f>
        <v>1</v>
      </c>
      <c r="L467" s="33" t="n">
        <f aca="false">Cap_In!E38</f>
        <v>20</v>
      </c>
      <c r="M467" s="30" t="s">
        <v>814</v>
      </c>
      <c r="N467" s="6" t="s">
        <v>6343</v>
      </c>
      <c r="O467" s="6" t="s">
        <v>814</v>
      </c>
      <c r="P467" s="254" t="s">
        <v>1440</v>
      </c>
      <c r="Q467" s="33" t="n">
        <f aca="false">Cap_In!C38</f>
        <v>5</v>
      </c>
      <c r="R467" s="30" t="s">
        <v>814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5309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6344</v>
      </c>
      <c r="B468" s="254" t="s">
        <v>6255</v>
      </c>
      <c r="C468" s="30" t="s">
        <v>3377</v>
      </c>
      <c r="D468" s="30" t="s">
        <v>6345</v>
      </c>
      <c r="E468" s="20" t="s">
        <v>1482</v>
      </c>
      <c r="F468" s="30" t="s">
        <v>132</v>
      </c>
      <c r="G468" s="254" t="s">
        <v>6264</v>
      </c>
      <c r="H468" s="30" t="s">
        <v>814</v>
      </c>
      <c r="I468" s="6" t="s">
        <v>814</v>
      </c>
      <c r="J468" s="30" t="s">
        <v>6329</v>
      </c>
      <c r="K468" s="254"/>
      <c r="L468" s="254"/>
      <c r="M468" s="30" t="s">
        <v>6346</v>
      </c>
      <c r="N468" s="6" t="s">
        <v>6347</v>
      </c>
      <c r="O468" s="6" t="s">
        <v>814</v>
      </c>
      <c r="P468" s="254" t="s">
        <v>1440</v>
      </c>
      <c r="Q468" s="187" t="s">
        <v>814</v>
      </c>
      <c r="R468" s="30" t="s">
        <v>814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814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6348</v>
      </c>
      <c r="B469" s="254" t="s">
        <v>6255</v>
      </c>
      <c r="C469" s="30" t="s">
        <v>3377</v>
      </c>
      <c r="D469" s="30" t="s">
        <v>3378</v>
      </c>
      <c r="E469" s="6" t="s">
        <v>1485</v>
      </c>
      <c r="F469" s="30" t="s">
        <v>132</v>
      </c>
      <c r="G469" s="254" t="s">
        <v>115</v>
      </c>
      <c r="H469" s="30" t="s">
        <v>814</v>
      </c>
      <c r="I469" s="6" t="s">
        <v>814</v>
      </c>
      <c r="J469" s="30" t="s">
        <v>6329</v>
      </c>
      <c r="K469" s="195" t="n">
        <f aca="false">Cap_In!D39</f>
        <v>5</v>
      </c>
      <c r="L469" s="195" t="n">
        <f aca="false">Cap_In!E39</f>
        <v>20</v>
      </c>
      <c r="M469" s="30" t="s">
        <v>814</v>
      </c>
      <c r="N469" s="6" t="s">
        <v>6349</v>
      </c>
      <c r="O469" s="6" t="s">
        <v>814</v>
      </c>
      <c r="P469" s="254" t="s">
        <v>1440</v>
      </c>
      <c r="Q469" s="195" t="n">
        <f aca="false">Cap_In!C39</f>
        <v>10</v>
      </c>
      <c r="R469" s="30" t="s">
        <v>814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5309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6350</v>
      </c>
      <c r="B470" s="254" t="s">
        <v>6255</v>
      </c>
      <c r="C470" s="30" t="s">
        <v>3377</v>
      </c>
      <c r="D470" s="30" t="s">
        <v>6351</v>
      </c>
      <c r="E470" s="6" t="s">
        <v>1485</v>
      </c>
      <c r="F470" s="30" t="s">
        <v>132</v>
      </c>
      <c r="G470" s="254" t="s">
        <v>6264</v>
      </c>
      <c r="H470" s="30" t="s">
        <v>814</v>
      </c>
      <c r="I470" s="6" t="s">
        <v>814</v>
      </c>
      <c r="J470" s="30" t="s">
        <v>6329</v>
      </c>
      <c r="K470" s="254"/>
      <c r="L470" s="254"/>
      <c r="M470" s="30" t="s">
        <v>6352</v>
      </c>
      <c r="N470" s="6" t="s">
        <v>6353</v>
      </c>
      <c r="O470" s="6" t="s">
        <v>814</v>
      </c>
      <c r="P470" s="254" t="s">
        <v>1440</v>
      </c>
      <c r="Q470" s="187" t="s">
        <v>814</v>
      </c>
      <c r="R470" s="30" t="s">
        <v>814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814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6354</v>
      </c>
      <c r="B471" s="254" t="s">
        <v>6255</v>
      </c>
      <c r="C471" s="30" t="s">
        <v>3377</v>
      </c>
      <c r="D471" s="30" t="s">
        <v>3379</v>
      </c>
      <c r="E471" s="6" t="s">
        <v>1488</v>
      </c>
      <c r="F471" s="30" t="s">
        <v>132</v>
      </c>
      <c r="G471" s="254" t="s">
        <v>115</v>
      </c>
      <c r="H471" s="30" t="s">
        <v>814</v>
      </c>
      <c r="I471" s="6" t="s">
        <v>814</v>
      </c>
      <c r="J471" s="30" t="s">
        <v>6329</v>
      </c>
      <c r="K471" s="33" t="n">
        <f aca="false">Cap_In!D40</f>
        <v>3</v>
      </c>
      <c r="L471" s="33" t="n">
        <f aca="false">Cap_In!E40</f>
        <v>6</v>
      </c>
      <c r="M471" s="30" t="s">
        <v>814</v>
      </c>
      <c r="N471" s="6" t="s">
        <v>6355</v>
      </c>
      <c r="O471" s="6" t="s">
        <v>814</v>
      </c>
      <c r="P471" s="254" t="s">
        <v>1440</v>
      </c>
      <c r="Q471" s="33" t="n">
        <f aca="false">Cap_In!C40</f>
        <v>4</v>
      </c>
      <c r="R471" s="30" t="s">
        <v>814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5309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6356</v>
      </c>
      <c r="B472" s="254" t="s">
        <v>6255</v>
      </c>
      <c r="C472" s="30" t="s">
        <v>3377</v>
      </c>
      <c r="D472" s="30" t="s">
        <v>6357</v>
      </c>
      <c r="E472" s="6" t="s">
        <v>1488</v>
      </c>
      <c r="F472" s="30" t="s">
        <v>132</v>
      </c>
      <c r="G472" s="254" t="s">
        <v>6264</v>
      </c>
      <c r="H472" s="30" t="s">
        <v>814</v>
      </c>
      <c r="I472" s="6" t="s">
        <v>814</v>
      </c>
      <c r="J472" s="30" t="s">
        <v>6329</v>
      </c>
      <c r="K472" s="254"/>
      <c r="L472" s="254"/>
      <c r="M472" s="30" t="s">
        <v>6358</v>
      </c>
      <c r="N472" s="6" t="s">
        <v>1488</v>
      </c>
      <c r="O472" s="6" t="s">
        <v>814</v>
      </c>
      <c r="P472" s="254" t="s">
        <v>1440</v>
      </c>
      <c r="Q472" s="187" t="s">
        <v>814</v>
      </c>
      <c r="R472" s="30" t="s">
        <v>814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814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6359</v>
      </c>
      <c r="B473" s="254" t="s">
        <v>6255</v>
      </c>
      <c r="C473" s="30" t="s">
        <v>3377</v>
      </c>
      <c r="D473" s="30" t="s">
        <v>3380</v>
      </c>
      <c r="E473" s="6" t="s">
        <v>1489</v>
      </c>
      <c r="F473" s="30" t="s">
        <v>132</v>
      </c>
      <c r="G473" s="254" t="s">
        <v>115</v>
      </c>
      <c r="H473" s="30" t="s">
        <v>814</v>
      </c>
      <c r="I473" s="6" t="s">
        <v>814</v>
      </c>
      <c r="J473" s="30" t="s">
        <v>6329</v>
      </c>
      <c r="K473" s="195" t="n">
        <f aca="false">Cap_In!D41</f>
        <v>0.05</v>
      </c>
      <c r="L473" s="195" t="n">
        <f aca="false">Cap_In!E41</f>
        <v>0.3</v>
      </c>
      <c r="M473" s="30" t="s">
        <v>814</v>
      </c>
      <c r="N473" s="20" t="s">
        <v>6360</v>
      </c>
      <c r="O473" s="6" t="s">
        <v>814</v>
      </c>
      <c r="P473" s="254" t="s">
        <v>5308</v>
      </c>
      <c r="Q473" s="195" t="n">
        <f aca="false">Cap_In!C41</f>
        <v>0.1</v>
      </c>
      <c r="R473" s="30" t="s">
        <v>814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5309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6361</v>
      </c>
      <c r="B474" s="254" t="s">
        <v>6255</v>
      </c>
      <c r="C474" s="30" t="s">
        <v>3377</v>
      </c>
      <c r="D474" s="30" t="s">
        <v>6362</v>
      </c>
      <c r="E474" s="6" t="s">
        <v>1489</v>
      </c>
      <c r="F474" s="30" t="s">
        <v>132</v>
      </c>
      <c r="G474" s="254" t="s">
        <v>6264</v>
      </c>
      <c r="H474" s="30" t="s">
        <v>814</v>
      </c>
      <c r="I474" s="6" t="s">
        <v>814</v>
      </c>
      <c r="J474" s="30" t="s">
        <v>6329</v>
      </c>
      <c r="K474" s="254"/>
      <c r="L474" s="254"/>
      <c r="M474" s="30" t="s">
        <v>6363</v>
      </c>
      <c r="N474" s="20" t="s">
        <v>6360</v>
      </c>
      <c r="O474" s="6" t="s">
        <v>814</v>
      </c>
      <c r="P474" s="254" t="s">
        <v>5308</v>
      </c>
      <c r="Q474" s="187" t="s">
        <v>814</v>
      </c>
      <c r="R474" s="30" t="s">
        <v>814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814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6364</v>
      </c>
      <c r="B475" s="254" t="s">
        <v>6255</v>
      </c>
      <c r="C475" s="30" t="s">
        <v>3377</v>
      </c>
      <c r="D475" s="30" t="s">
        <v>3381</v>
      </c>
      <c r="E475" s="6" t="s">
        <v>1491</v>
      </c>
      <c r="F475" s="30" t="s">
        <v>132</v>
      </c>
      <c r="G475" s="254" t="s">
        <v>115</v>
      </c>
      <c r="H475" s="30" t="s">
        <v>814</v>
      </c>
      <c r="I475" s="6" t="s">
        <v>814</v>
      </c>
      <c r="J475" s="30" t="s">
        <v>6329</v>
      </c>
      <c r="K475" s="33" t="n">
        <f aca="false">Cap_In!D42</f>
        <v>3</v>
      </c>
      <c r="L475" s="33" t="n">
        <f aca="false">Cap_In!E42</f>
        <v>6</v>
      </c>
      <c r="M475" s="30" t="s">
        <v>814</v>
      </c>
      <c r="N475" s="6" t="s">
        <v>1491</v>
      </c>
      <c r="O475" s="6" t="s">
        <v>814</v>
      </c>
      <c r="P475" s="254" t="s">
        <v>5308</v>
      </c>
      <c r="Q475" s="33" t="n">
        <f aca="false">Cap_In!C42</f>
        <v>5</v>
      </c>
      <c r="R475" s="30" t="s">
        <v>814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5309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6365</v>
      </c>
      <c r="B476" s="254" t="s">
        <v>6255</v>
      </c>
      <c r="C476" s="30" t="s">
        <v>3377</v>
      </c>
      <c r="D476" s="30" t="s">
        <v>6366</v>
      </c>
      <c r="E476" s="6" t="s">
        <v>1491</v>
      </c>
      <c r="F476" s="30" t="s">
        <v>132</v>
      </c>
      <c r="G476" s="254" t="s">
        <v>6264</v>
      </c>
      <c r="H476" s="30" t="s">
        <v>814</v>
      </c>
      <c r="I476" s="6" t="s">
        <v>814</v>
      </c>
      <c r="J476" s="30" t="s">
        <v>6329</v>
      </c>
      <c r="K476" s="254"/>
      <c r="L476" s="254"/>
      <c r="M476" s="30" t="s">
        <v>6367</v>
      </c>
      <c r="N476" s="6" t="s">
        <v>1491</v>
      </c>
      <c r="O476" s="6" t="s">
        <v>814</v>
      </c>
      <c r="P476" s="254" t="s">
        <v>5308</v>
      </c>
      <c r="Q476" s="187" t="s">
        <v>814</v>
      </c>
      <c r="R476" s="30" t="s">
        <v>814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814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6368</v>
      </c>
      <c r="B477" s="254" t="s">
        <v>6255</v>
      </c>
      <c r="C477" s="30" t="s">
        <v>3377</v>
      </c>
      <c r="D477" s="30" t="s">
        <v>6369</v>
      </c>
      <c r="E477" s="6" t="s">
        <v>1505</v>
      </c>
      <c r="F477" s="254" t="s">
        <v>6370</v>
      </c>
      <c r="G477" s="254" t="s">
        <v>5953</v>
      </c>
      <c r="H477" s="30" t="s">
        <v>6371</v>
      </c>
      <c r="I477" s="20" t="s">
        <v>6372</v>
      </c>
      <c r="J477" s="30" t="s">
        <v>6291</v>
      </c>
      <c r="K477" s="254"/>
      <c r="L477" s="254"/>
      <c r="M477" s="254" t="s">
        <v>5082</v>
      </c>
      <c r="N477" s="20" t="s">
        <v>6373</v>
      </c>
      <c r="O477" s="6" t="s">
        <v>814</v>
      </c>
      <c r="P477" s="254" t="s">
        <v>5308</v>
      </c>
      <c r="Q477" s="187" t="s">
        <v>814</v>
      </c>
      <c r="R477" s="187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814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6374</v>
      </c>
      <c r="B478" s="254" t="s">
        <v>6255</v>
      </c>
      <c r="C478" s="30" t="s">
        <v>3377</v>
      </c>
      <c r="D478" s="30" t="s">
        <v>6375</v>
      </c>
      <c r="E478" s="6" t="s">
        <v>1505</v>
      </c>
      <c r="F478" s="30" t="s">
        <v>5369</v>
      </c>
      <c r="G478" s="254" t="s">
        <v>5953</v>
      </c>
      <c r="H478" s="30" t="s">
        <v>814</v>
      </c>
      <c r="I478" s="6" t="s">
        <v>814</v>
      </c>
      <c r="J478" s="30" t="s">
        <v>6376</v>
      </c>
      <c r="K478" s="254"/>
      <c r="L478" s="254"/>
      <c r="M478" s="254" t="s">
        <v>5082</v>
      </c>
      <c r="N478" s="20" t="s">
        <v>6377</v>
      </c>
      <c r="O478" s="6" t="s">
        <v>814</v>
      </c>
      <c r="P478" s="254" t="s">
        <v>5308</v>
      </c>
      <c r="Q478" s="187" t="s">
        <v>814</v>
      </c>
      <c r="R478" s="30" t="s">
        <v>814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814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6378</v>
      </c>
      <c r="B479" s="254" t="s">
        <v>6255</v>
      </c>
      <c r="C479" s="30" t="s">
        <v>3377</v>
      </c>
      <c r="D479" s="30" t="s">
        <v>6379</v>
      </c>
      <c r="E479" s="6" t="s">
        <v>1520</v>
      </c>
      <c r="F479" s="30" t="s">
        <v>132</v>
      </c>
      <c r="G479" s="254" t="s">
        <v>5305</v>
      </c>
      <c r="H479" s="30" t="s">
        <v>814</v>
      </c>
      <c r="I479" s="6" t="s">
        <v>814</v>
      </c>
      <c r="J479" s="30" t="s">
        <v>5114</v>
      </c>
      <c r="K479" s="256" t="n">
        <v>0.125</v>
      </c>
      <c r="L479" s="256" t="n">
        <v>0.5</v>
      </c>
      <c r="M479" s="30" t="s">
        <v>6380</v>
      </c>
      <c r="N479" s="6" t="s">
        <v>6381</v>
      </c>
      <c r="O479" s="6" t="s">
        <v>6382</v>
      </c>
      <c r="P479" s="254" t="s">
        <v>5308</v>
      </c>
      <c r="Q479" s="46" t="n">
        <f aca="false">Cap_In!F50</f>
        <v>0.5</v>
      </c>
      <c r="R479" s="30" t="s">
        <v>814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5309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6383</v>
      </c>
      <c r="B480" s="254" t="s">
        <v>6255</v>
      </c>
      <c r="C480" s="30" t="s">
        <v>3377</v>
      </c>
      <c r="D480" s="30" t="s">
        <v>6384</v>
      </c>
      <c r="E480" s="6" t="s">
        <v>1523</v>
      </c>
      <c r="F480" s="30" t="s">
        <v>132</v>
      </c>
      <c r="G480" s="254" t="s">
        <v>5305</v>
      </c>
      <c r="H480" s="30" t="s">
        <v>814</v>
      </c>
      <c r="I480" s="6" t="s">
        <v>814</v>
      </c>
      <c r="J480" s="30" t="s">
        <v>5114</v>
      </c>
      <c r="K480" s="256" t="n">
        <v>0.1</v>
      </c>
      <c r="L480" s="256" t="n">
        <v>0.4</v>
      </c>
      <c r="M480" s="30" t="s">
        <v>6385</v>
      </c>
      <c r="N480" s="6" t="s">
        <v>6386</v>
      </c>
      <c r="O480" s="6" t="s">
        <v>6382</v>
      </c>
      <c r="P480" s="254" t="s">
        <v>5308</v>
      </c>
      <c r="Q480" s="46" t="n">
        <f aca="false">Cap_In!F51</f>
        <v>0.2</v>
      </c>
      <c r="R480" s="30" t="s">
        <v>814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5309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6387</v>
      </c>
      <c r="B481" s="254" t="s">
        <v>6255</v>
      </c>
      <c r="C481" s="30" t="s">
        <v>3377</v>
      </c>
      <c r="D481" s="30" t="s">
        <v>6388</v>
      </c>
      <c r="E481" s="6" t="s">
        <v>1532</v>
      </c>
      <c r="F481" s="30" t="s">
        <v>137</v>
      </c>
      <c r="G481" s="254" t="s">
        <v>5305</v>
      </c>
      <c r="H481" s="30" t="s">
        <v>6389</v>
      </c>
      <c r="I481" s="20" t="s">
        <v>6390</v>
      </c>
      <c r="J481" s="30" t="s">
        <v>814</v>
      </c>
      <c r="K481" s="256" t="n">
        <v>33</v>
      </c>
      <c r="L481" s="256" t="n">
        <v>39</v>
      </c>
      <c r="M481" s="30" t="s">
        <v>6391</v>
      </c>
      <c r="N481" s="20" t="s">
        <v>6392</v>
      </c>
      <c r="O481" s="6" t="s">
        <v>6393</v>
      </c>
      <c r="P481" s="254" t="s">
        <v>5308</v>
      </c>
      <c r="Q481" s="33" t="n">
        <f aca="false">Cap_In!I53</f>
        <v>36</v>
      </c>
      <c r="R481" s="187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5309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537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6394</v>
      </c>
      <c r="B482" s="254" t="s">
        <v>6255</v>
      </c>
      <c r="C482" s="30" t="s">
        <v>3377</v>
      </c>
      <c r="D482" s="30" t="s">
        <v>6395</v>
      </c>
      <c r="E482" s="6" t="s">
        <v>1540</v>
      </c>
      <c r="F482" s="30" t="s">
        <v>137</v>
      </c>
      <c r="G482" s="254" t="s">
        <v>5305</v>
      </c>
      <c r="H482" s="30" t="s">
        <v>6396</v>
      </c>
      <c r="I482" s="20" t="s">
        <v>6397</v>
      </c>
      <c r="J482" s="30" t="s">
        <v>814</v>
      </c>
      <c r="K482" s="256" t="n">
        <v>37</v>
      </c>
      <c r="L482" s="256" t="n">
        <v>43</v>
      </c>
      <c r="M482" s="30" t="s">
        <v>6398</v>
      </c>
      <c r="N482" s="20" t="s">
        <v>6399</v>
      </c>
      <c r="O482" s="6" t="s">
        <v>6400</v>
      </c>
      <c r="P482" s="254" t="s">
        <v>5308</v>
      </c>
      <c r="Q482" s="33" t="n">
        <f aca="false">Cap_In!I56</f>
        <v>40</v>
      </c>
      <c r="R482" s="187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5309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536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6401</v>
      </c>
      <c r="B483" s="254" t="s">
        <v>6255</v>
      </c>
      <c r="C483" s="30" t="s">
        <v>6402</v>
      </c>
      <c r="D483" s="30" t="s">
        <v>3264</v>
      </c>
      <c r="E483" s="20" t="s">
        <v>6403</v>
      </c>
      <c r="F483" s="30" t="s">
        <v>122</v>
      </c>
      <c r="G483" s="254" t="s">
        <v>5305</v>
      </c>
      <c r="H483" s="30" t="s">
        <v>814</v>
      </c>
      <c r="I483" s="6" t="s">
        <v>814</v>
      </c>
      <c r="J483" s="30" t="s">
        <v>5927</v>
      </c>
      <c r="K483" s="254"/>
      <c r="L483" s="254"/>
      <c r="M483" s="254" t="s">
        <v>5082</v>
      </c>
      <c r="N483" s="6" t="s">
        <v>6404</v>
      </c>
      <c r="O483" s="6" t="s">
        <v>814</v>
      </c>
      <c r="P483" s="254" t="s">
        <v>5308</v>
      </c>
      <c r="Q483" s="33" t="n">
        <f aca="false">Har_In!C5</f>
        <v>2</v>
      </c>
      <c r="R483" s="30" t="s">
        <v>814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5309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6405</v>
      </c>
      <c r="B484" s="254" t="s">
        <v>6255</v>
      </c>
      <c r="C484" s="30" t="s">
        <v>6402</v>
      </c>
      <c r="D484" s="30" t="s">
        <v>3209</v>
      </c>
      <c r="E484" s="20" t="s">
        <v>6406</v>
      </c>
      <c r="F484" s="30" t="s">
        <v>122</v>
      </c>
      <c r="G484" s="254" t="s">
        <v>5305</v>
      </c>
      <c r="H484" s="30" t="s">
        <v>814</v>
      </c>
      <c r="I484" s="6" t="s">
        <v>814</v>
      </c>
      <c r="J484" s="30" t="s">
        <v>5131</v>
      </c>
      <c r="K484" s="256" t="n">
        <v>0</v>
      </c>
      <c r="L484" s="256" t="n">
        <v>0.8</v>
      </c>
      <c r="M484" s="30" t="s">
        <v>6407</v>
      </c>
      <c r="N484" s="6" t="s">
        <v>6408</v>
      </c>
      <c r="O484" s="6" t="s">
        <v>814</v>
      </c>
      <c r="P484" s="254" t="s">
        <v>5308</v>
      </c>
      <c r="Q484" s="197" t="n">
        <f aca="false">Har_In!C8</f>
        <v>0.5</v>
      </c>
      <c r="R484" s="30" t="s">
        <v>814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5309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6409</v>
      </c>
      <c r="B485" s="254" t="s">
        <v>6255</v>
      </c>
      <c r="C485" s="30" t="s">
        <v>6402</v>
      </c>
      <c r="D485" s="30" t="s">
        <v>6410</v>
      </c>
      <c r="E485" s="20" t="s">
        <v>2395</v>
      </c>
      <c r="F485" s="30" t="s">
        <v>132</v>
      </c>
      <c r="G485" s="254" t="s">
        <v>5953</v>
      </c>
      <c r="H485" s="30" t="s">
        <v>814</v>
      </c>
      <c r="I485" s="6" t="s">
        <v>814</v>
      </c>
      <c r="J485" s="30" t="s">
        <v>6411</v>
      </c>
      <c r="K485" s="254"/>
      <c r="L485" s="254"/>
      <c r="M485" s="30" t="s">
        <v>6412</v>
      </c>
      <c r="N485" s="20" t="s">
        <v>6413</v>
      </c>
      <c r="O485" s="6" t="s">
        <v>814</v>
      </c>
      <c r="P485" s="254" t="s">
        <v>5308</v>
      </c>
      <c r="Q485" s="187" t="s">
        <v>814</v>
      </c>
      <c r="R485" s="30" t="s">
        <v>814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814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6414</v>
      </c>
      <c r="B486" s="254" t="s">
        <v>6255</v>
      </c>
      <c r="C486" s="30" t="s">
        <v>6402</v>
      </c>
      <c r="D486" s="30" t="s">
        <v>6415</v>
      </c>
      <c r="E486" s="20" t="s">
        <v>6416</v>
      </c>
      <c r="F486" s="30" t="s">
        <v>132</v>
      </c>
      <c r="G486" s="254" t="s">
        <v>5953</v>
      </c>
      <c r="H486" s="30" t="s">
        <v>814</v>
      </c>
      <c r="I486" s="6" t="s">
        <v>814</v>
      </c>
      <c r="J486" s="30" t="s">
        <v>5923</v>
      </c>
      <c r="K486" s="254"/>
      <c r="L486" s="254"/>
      <c r="M486" s="30" t="s">
        <v>6417</v>
      </c>
      <c r="N486" s="20" t="s">
        <v>6418</v>
      </c>
      <c r="O486" s="6" t="s">
        <v>6419</v>
      </c>
      <c r="P486" s="254" t="s">
        <v>5308</v>
      </c>
      <c r="Q486" s="187" t="s">
        <v>814</v>
      </c>
      <c r="R486" s="30" t="s">
        <v>814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814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6420</v>
      </c>
      <c r="B487" s="254" t="s">
        <v>6255</v>
      </c>
      <c r="C487" s="30" t="s">
        <v>6402</v>
      </c>
      <c r="D487" s="30" t="s">
        <v>6421</v>
      </c>
      <c r="E487" s="20" t="s">
        <v>2400</v>
      </c>
      <c r="F487" s="30" t="s">
        <v>132</v>
      </c>
      <c r="G487" s="254" t="s">
        <v>5953</v>
      </c>
      <c r="H487" s="30" t="s">
        <v>814</v>
      </c>
      <c r="I487" s="6" t="s">
        <v>814</v>
      </c>
      <c r="J487" s="30" t="s">
        <v>5923</v>
      </c>
      <c r="K487" s="254"/>
      <c r="L487" s="254"/>
      <c r="M487" s="30" t="s">
        <v>6422</v>
      </c>
      <c r="N487" s="20" t="s">
        <v>6423</v>
      </c>
      <c r="O487" s="6" t="s">
        <v>814</v>
      </c>
      <c r="P487" s="254" t="s">
        <v>5308</v>
      </c>
      <c r="Q487" s="187" t="s">
        <v>814</v>
      </c>
      <c r="R487" s="30" t="s">
        <v>814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814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6424</v>
      </c>
      <c r="B488" s="254" t="s">
        <v>6255</v>
      </c>
      <c r="C488" s="30" t="s">
        <v>6402</v>
      </c>
      <c r="D488" s="30" t="s">
        <v>6425</v>
      </c>
      <c r="E488" s="20" t="s">
        <v>6426</v>
      </c>
      <c r="F488" s="30" t="s">
        <v>132</v>
      </c>
      <c r="G488" s="254" t="s">
        <v>5953</v>
      </c>
      <c r="H488" s="30" t="s">
        <v>814</v>
      </c>
      <c r="I488" s="6" t="s">
        <v>814</v>
      </c>
      <c r="J488" s="30" t="s">
        <v>5923</v>
      </c>
      <c r="K488" s="254"/>
      <c r="L488" s="254"/>
      <c r="M488" s="30" t="s">
        <v>6427</v>
      </c>
      <c r="N488" s="20" t="s">
        <v>6428</v>
      </c>
      <c r="O488" s="6" t="s">
        <v>814</v>
      </c>
      <c r="P488" s="254" t="s">
        <v>5308</v>
      </c>
      <c r="Q488" s="187" t="s">
        <v>814</v>
      </c>
      <c r="R488" s="30" t="s">
        <v>814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814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6429</v>
      </c>
      <c r="B489" s="254" t="s">
        <v>6255</v>
      </c>
      <c r="C489" s="30" t="s">
        <v>6402</v>
      </c>
      <c r="D489" s="30" t="s">
        <v>6430</v>
      </c>
      <c r="E489" s="20" t="s">
        <v>2404</v>
      </c>
      <c r="F489" s="30" t="s">
        <v>132</v>
      </c>
      <c r="G489" s="254" t="s">
        <v>5953</v>
      </c>
      <c r="H489" s="30" t="s">
        <v>814</v>
      </c>
      <c r="I489" s="6" t="s">
        <v>814</v>
      </c>
      <c r="J489" s="30" t="s">
        <v>5923</v>
      </c>
      <c r="K489" s="254"/>
      <c r="L489" s="254"/>
      <c r="M489" s="30" t="s">
        <v>6431</v>
      </c>
      <c r="N489" s="20" t="s">
        <v>6432</v>
      </c>
      <c r="O489" s="6" t="s">
        <v>814</v>
      </c>
      <c r="P489" s="254" t="s">
        <v>5308</v>
      </c>
      <c r="Q489" s="187" t="s">
        <v>814</v>
      </c>
      <c r="R489" s="30" t="s">
        <v>814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814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6433</v>
      </c>
      <c r="B490" s="254" t="s">
        <v>6255</v>
      </c>
      <c r="C490" s="30" t="s">
        <v>6402</v>
      </c>
      <c r="D490" s="30" t="s">
        <v>6434</v>
      </c>
      <c r="E490" s="20" t="s">
        <v>2407</v>
      </c>
      <c r="F490" s="30" t="s">
        <v>132</v>
      </c>
      <c r="G490" s="254" t="s">
        <v>5953</v>
      </c>
      <c r="H490" s="30" t="s">
        <v>814</v>
      </c>
      <c r="I490" s="6" t="s">
        <v>814</v>
      </c>
      <c r="J490" s="30" t="s">
        <v>5923</v>
      </c>
      <c r="K490" s="254"/>
      <c r="L490" s="254"/>
      <c r="M490" s="30" t="s">
        <v>6435</v>
      </c>
      <c r="N490" s="20" t="s">
        <v>6436</v>
      </c>
      <c r="O490" s="6" t="s">
        <v>814</v>
      </c>
      <c r="P490" s="254" t="s">
        <v>5308</v>
      </c>
      <c r="Q490" s="187" t="s">
        <v>814</v>
      </c>
      <c r="R490" s="30" t="s">
        <v>814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814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6437</v>
      </c>
      <c r="B491" s="254" t="s">
        <v>6255</v>
      </c>
      <c r="C491" s="30" t="s">
        <v>6402</v>
      </c>
      <c r="D491" s="30" t="s">
        <v>6438</v>
      </c>
      <c r="E491" s="20" t="s">
        <v>2411</v>
      </c>
      <c r="F491" s="30" t="s">
        <v>132</v>
      </c>
      <c r="G491" s="254" t="s">
        <v>5953</v>
      </c>
      <c r="H491" s="30" t="s">
        <v>814</v>
      </c>
      <c r="I491" s="6" t="s">
        <v>814</v>
      </c>
      <c r="J491" s="30" t="s">
        <v>5923</v>
      </c>
      <c r="K491" s="254"/>
      <c r="L491" s="254"/>
      <c r="M491" s="30" t="s">
        <v>6439</v>
      </c>
      <c r="N491" s="20" t="s">
        <v>6440</v>
      </c>
      <c r="O491" s="6" t="s">
        <v>814</v>
      </c>
      <c r="P491" s="254" t="s">
        <v>5308</v>
      </c>
      <c r="Q491" s="187" t="s">
        <v>814</v>
      </c>
      <c r="R491" s="30" t="s">
        <v>814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814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6441</v>
      </c>
      <c r="B492" s="254" t="s">
        <v>6255</v>
      </c>
      <c r="C492" s="30" t="s">
        <v>6402</v>
      </c>
      <c r="D492" s="30" t="s">
        <v>6442</v>
      </c>
      <c r="E492" s="20" t="s">
        <v>2409</v>
      </c>
      <c r="F492" s="30" t="s">
        <v>137</v>
      </c>
      <c r="G492" s="254" t="s">
        <v>5953</v>
      </c>
      <c r="H492" s="30" t="s">
        <v>6443</v>
      </c>
      <c r="I492" s="20" t="s">
        <v>6444</v>
      </c>
      <c r="J492" s="30" t="s">
        <v>814</v>
      </c>
      <c r="K492" s="254"/>
      <c r="L492" s="254"/>
      <c r="M492" s="30" t="s">
        <v>6445</v>
      </c>
      <c r="N492" s="20" t="s">
        <v>6446</v>
      </c>
      <c r="O492" s="6" t="s">
        <v>814</v>
      </c>
      <c r="P492" s="254" t="s">
        <v>5308</v>
      </c>
      <c r="Q492" s="187" t="s">
        <v>814</v>
      </c>
      <c r="R492" s="187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814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604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6447</v>
      </c>
      <c r="B493" s="254" t="s">
        <v>6255</v>
      </c>
      <c r="C493" s="30" t="s">
        <v>6402</v>
      </c>
      <c r="D493" s="30" t="s">
        <v>6448</v>
      </c>
      <c r="E493" s="20" t="s">
        <v>6449</v>
      </c>
      <c r="F493" s="30" t="s">
        <v>132</v>
      </c>
      <c r="G493" s="254" t="s">
        <v>5953</v>
      </c>
      <c r="H493" s="30" t="s">
        <v>814</v>
      </c>
      <c r="I493" s="6" t="s">
        <v>814</v>
      </c>
      <c r="J493" s="30" t="s">
        <v>5923</v>
      </c>
      <c r="K493" s="254"/>
      <c r="L493" s="254"/>
      <c r="M493" s="254" t="s">
        <v>5082</v>
      </c>
      <c r="N493" s="20" t="s">
        <v>6450</v>
      </c>
      <c r="O493" s="6" t="s">
        <v>6451</v>
      </c>
      <c r="P493" s="254" t="s">
        <v>5308</v>
      </c>
      <c r="Q493" s="187" t="s">
        <v>814</v>
      </c>
      <c r="R493" s="30" t="s">
        <v>814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814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6452</v>
      </c>
      <c r="B494" s="254" t="s">
        <v>6255</v>
      </c>
      <c r="C494" s="30" t="s">
        <v>6402</v>
      </c>
      <c r="D494" s="30" t="s">
        <v>6453</v>
      </c>
      <c r="E494" s="20" t="s">
        <v>2395</v>
      </c>
      <c r="F494" s="30" t="s">
        <v>132</v>
      </c>
      <c r="G494" s="254" t="s">
        <v>5953</v>
      </c>
      <c r="H494" s="30" t="s">
        <v>814</v>
      </c>
      <c r="I494" s="6" t="s">
        <v>814</v>
      </c>
      <c r="J494" s="30" t="s">
        <v>5923</v>
      </c>
      <c r="K494" s="254"/>
      <c r="L494" s="254"/>
      <c r="M494" s="30" t="s">
        <v>6454</v>
      </c>
      <c r="N494" s="20" t="s">
        <v>6455</v>
      </c>
      <c r="O494" s="6" t="s">
        <v>814</v>
      </c>
      <c r="P494" s="254" t="s">
        <v>5308</v>
      </c>
      <c r="Q494" s="187" t="s">
        <v>814</v>
      </c>
      <c r="R494" s="30" t="s">
        <v>814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814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6456</v>
      </c>
      <c r="B495" s="254" t="s">
        <v>6255</v>
      </c>
      <c r="C495" s="30" t="s">
        <v>6402</v>
      </c>
      <c r="D495" s="30" t="s">
        <v>6457</v>
      </c>
      <c r="E495" s="20" t="s">
        <v>6416</v>
      </c>
      <c r="F495" s="30" t="s">
        <v>132</v>
      </c>
      <c r="G495" s="254" t="s">
        <v>5953</v>
      </c>
      <c r="H495" s="30" t="s">
        <v>814</v>
      </c>
      <c r="I495" s="6" t="s">
        <v>814</v>
      </c>
      <c r="J495" s="30" t="s">
        <v>5923</v>
      </c>
      <c r="K495" s="254"/>
      <c r="L495" s="254"/>
      <c r="M495" s="30" t="s">
        <v>6417</v>
      </c>
      <c r="N495" s="20" t="s">
        <v>6458</v>
      </c>
      <c r="O495" s="6" t="s">
        <v>814</v>
      </c>
      <c r="P495" s="254" t="s">
        <v>5308</v>
      </c>
      <c r="Q495" s="187" t="s">
        <v>814</v>
      </c>
      <c r="R495" s="30" t="s">
        <v>814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814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6459</v>
      </c>
      <c r="B496" s="254" t="s">
        <v>6255</v>
      </c>
      <c r="C496" s="30" t="s">
        <v>6402</v>
      </c>
      <c r="D496" s="30" t="s">
        <v>6460</v>
      </c>
      <c r="E496" s="20" t="s">
        <v>2400</v>
      </c>
      <c r="F496" s="30" t="s">
        <v>132</v>
      </c>
      <c r="G496" s="254" t="s">
        <v>5953</v>
      </c>
      <c r="H496" s="30" t="s">
        <v>814</v>
      </c>
      <c r="I496" s="6" t="s">
        <v>814</v>
      </c>
      <c r="J496" s="30" t="s">
        <v>5923</v>
      </c>
      <c r="K496" s="254"/>
      <c r="L496" s="254"/>
      <c r="M496" s="30" t="s">
        <v>6461</v>
      </c>
      <c r="N496" s="20" t="s">
        <v>6462</v>
      </c>
      <c r="O496" s="6" t="s">
        <v>814</v>
      </c>
      <c r="P496" s="254" t="s">
        <v>5308</v>
      </c>
      <c r="Q496" s="187" t="s">
        <v>814</v>
      </c>
      <c r="R496" s="30" t="s">
        <v>814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814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6463</v>
      </c>
      <c r="B497" s="254" t="s">
        <v>6255</v>
      </c>
      <c r="C497" s="30" t="s">
        <v>6402</v>
      </c>
      <c r="D497" s="30" t="s">
        <v>6464</v>
      </c>
      <c r="E497" s="20" t="s">
        <v>6426</v>
      </c>
      <c r="F497" s="30" t="s">
        <v>132</v>
      </c>
      <c r="G497" s="254" t="s">
        <v>5953</v>
      </c>
      <c r="H497" s="30" t="s">
        <v>814</v>
      </c>
      <c r="I497" s="6" t="s">
        <v>814</v>
      </c>
      <c r="J497" s="30" t="s">
        <v>5923</v>
      </c>
      <c r="K497" s="254"/>
      <c r="L497" s="254"/>
      <c r="M497" s="30" t="s">
        <v>6465</v>
      </c>
      <c r="N497" s="20" t="s">
        <v>6466</v>
      </c>
      <c r="O497" s="6" t="s">
        <v>814</v>
      </c>
      <c r="P497" s="254" t="s">
        <v>5308</v>
      </c>
      <c r="Q497" s="187" t="s">
        <v>814</v>
      </c>
      <c r="R497" s="30" t="s">
        <v>814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814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6467</v>
      </c>
      <c r="B498" s="254" t="s">
        <v>6255</v>
      </c>
      <c r="C498" s="30" t="s">
        <v>6402</v>
      </c>
      <c r="D498" s="30" t="s">
        <v>6468</v>
      </c>
      <c r="E498" s="20" t="s">
        <v>2404</v>
      </c>
      <c r="F498" s="30" t="s">
        <v>132</v>
      </c>
      <c r="G498" s="254" t="s">
        <v>5953</v>
      </c>
      <c r="H498" s="30" t="s">
        <v>814</v>
      </c>
      <c r="I498" s="6" t="s">
        <v>814</v>
      </c>
      <c r="J498" s="30" t="s">
        <v>5923</v>
      </c>
      <c r="K498" s="254"/>
      <c r="L498" s="254"/>
      <c r="M498" s="30" t="s">
        <v>6431</v>
      </c>
      <c r="N498" s="20" t="s">
        <v>6469</v>
      </c>
      <c r="O498" s="6" t="s">
        <v>814</v>
      </c>
      <c r="P498" s="254" t="s">
        <v>5308</v>
      </c>
      <c r="Q498" s="187" t="s">
        <v>814</v>
      </c>
      <c r="R498" s="30" t="s">
        <v>814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814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6470</v>
      </c>
      <c r="B499" s="254" t="s">
        <v>6255</v>
      </c>
      <c r="C499" s="30" t="s">
        <v>6402</v>
      </c>
      <c r="D499" s="30" t="s">
        <v>6471</v>
      </c>
      <c r="E499" s="20" t="s">
        <v>2409</v>
      </c>
      <c r="F499" s="30" t="s">
        <v>132</v>
      </c>
      <c r="G499" s="254" t="s">
        <v>5953</v>
      </c>
      <c r="H499" s="30" t="s">
        <v>814</v>
      </c>
      <c r="I499" s="6" t="s">
        <v>814</v>
      </c>
      <c r="J499" s="30" t="s">
        <v>5923</v>
      </c>
      <c r="K499" s="254"/>
      <c r="L499" s="254"/>
      <c r="M499" s="30" t="s">
        <v>6472</v>
      </c>
      <c r="N499" s="20" t="s">
        <v>6473</v>
      </c>
      <c r="O499" s="6" t="s">
        <v>814</v>
      </c>
      <c r="P499" s="254" t="s">
        <v>5308</v>
      </c>
      <c r="Q499" s="187" t="s">
        <v>814</v>
      </c>
      <c r="R499" s="30" t="s">
        <v>814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814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6474</v>
      </c>
      <c r="B500" s="254" t="s">
        <v>6255</v>
      </c>
      <c r="C500" s="30" t="s">
        <v>6402</v>
      </c>
      <c r="D500" s="30" t="s">
        <v>6475</v>
      </c>
      <c r="E500" s="20" t="s">
        <v>2411</v>
      </c>
      <c r="F500" s="30" t="s">
        <v>132</v>
      </c>
      <c r="G500" s="254" t="s">
        <v>5953</v>
      </c>
      <c r="H500" s="30" t="s">
        <v>814</v>
      </c>
      <c r="I500" s="6" t="s">
        <v>814</v>
      </c>
      <c r="J500" s="30" t="s">
        <v>5923</v>
      </c>
      <c r="K500" s="254"/>
      <c r="L500" s="254"/>
      <c r="M500" s="30" t="s">
        <v>6476</v>
      </c>
      <c r="N500" s="20" t="s">
        <v>6477</v>
      </c>
      <c r="O500" s="6" t="s">
        <v>814</v>
      </c>
      <c r="P500" s="254" t="s">
        <v>5308</v>
      </c>
      <c r="Q500" s="187" t="s">
        <v>814</v>
      </c>
      <c r="R500" s="30" t="s">
        <v>814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814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6478</v>
      </c>
      <c r="B501" s="254" t="s">
        <v>6255</v>
      </c>
      <c r="C501" s="30" t="s">
        <v>6402</v>
      </c>
      <c r="D501" s="30" t="s">
        <v>6479</v>
      </c>
      <c r="E501" s="20" t="s">
        <v>6449</v>
      </c>
      <c r="F501" s="30" t="s">
        <v>132</v>
      </c>
      <c r="G501" s="254" t="s">
        <v>5953</v>
      </c>
      <c r="H501" s="30" t="s">
        <v>814</v>
      </c>
      <c r="I501" s="6" t="s">
        <v>814</v>
      </c>
      <c r="J501" s="30" t="s">
        <v>5923</v>
      </c>
      <c r="K501" s="254"/>
      <c r="L501" s="254"/>
      <c r="M501" s="254" t="s">
        <v>5082</v>
      </c>
      <c r="N501" s="20" t="s">
        <v>6480</v>
      </c>
      <c r="O501" s="6" t="s">
        <v>814</v>
      </c>
      <c r="P501" s="254" t="s">
        <v>5308</v>
      </c>
      <c r="Q501" s="187" t="s">
        <v>814</v>
      </c>
      <c r="R501" s="30" t="s">
        <v>814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814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6481</v>
      </c>
      <c r="B502" s="254" t="s">
        <v>6255</v>
      </c>
      <c r="C502" s="30" t="s">
        <v>6402</v>
      </c>
      <c r="D502" s="30" t="s">
        <v>6482</v>
      </c>
      <c r="E502" s="20" t="s">
        <v>2407</v>
      </c>
      <c r="F502" s="30" t="s">
        <v>137</v>
      </c>
      <c r="G502" s="254" t="s">
        <v>5953</v>
      </c>
      <c r="H502" s="30" t="s">
        <v>5945</v>
      </c>
      <c r="I502" s="20" t="s">
        <v>6483</v>
      </c>
      <c r="J502" s="30" t="s">
        <v>814</v>
      </c>
      <c r="K502" s="254"/>
      <c r="L502" s="254"/>
      <c r="M502" s="30" t="s">
        <v>6484</v>
      </c>
      <c r="N502" s="20" t="s">
        <v>6485</v>
      </c>
      <c r="O502" s="6" t="s">
        <v>814</v>
      </c>
      <c r="P502" s="254" t="s">
        <v>5308</v>
      </c>
      <c r="Q502" s="187" t="s">
        <v>814</v>
      </c>
      <c r="R502" s="187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814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603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6486</v>
      </c>
      <c r="B503" s="254" t="s">
        <v>6255</v>
      </c>
      <c r="C503" s="30" t="s">
        <v>6402</v>
      </c>
      <c r="D503" s="30" t="s">
        <v>6487</v>
      </c>
      <c r="E503" s="6" t="s">
        <v>2424</v>
      </c>
      <c r="F503" s="30" t="s">
        <v>137</v>
      </c>
      <c r="G503" s="254" t="s">
        <v>5953</v>
      </c>
      <c r="H503" s="30" t="s">
        <v>6488</v>
      </c>
      <c r="I503" s="20" t="s">
        <v>6489</v>
      </c>
      <c r="J503" s="30" t="s">
        <v>814</v>
      </c>
      <c r="K503" s="254"/>
      <c r="L503" s="254"/>
      <c r="M503" s="254" t="s">
        <v>6490</v>
      </c>
      <c r="N503" s="20" t="s">
        <v>6491</v>
      </c>
      <c r="O503" s="6" t="s">
        <v>814</v>
      </c>
      <c r="P503" s="254" t="s">
        <v>5351</v>
      </c>
      <c r="Q503" s="187" t="s">
        <v>814</v>
      </c>
      <c r="R503" s="187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814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550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6492</v>
      </c>
      <c r="B504" s="254" t="s">
        <v>6255</v>
      </c>
      <c r="C504" s="30" t="s">
        <v>6402</v>
      </c>
      <c r="D504" s="30" t="s">
        <v>6493</v>
      </c>
      <c r="E504" s="6" t="s">
        <v>2426</v>
      </c>
      <c r="F504" s="30" t="s">
        <v>137</v>
      </c>
      <c r="G504" s="254" t="s">
        <v>1440</v>
      </c>
      <c r="H504" s="30" t="s">
        <v>6488</v>
      </c>
      <c r="I504" s="20" t="s">
        <v>5327</v>
      </c>
      <c r="J504" s="30" t="s">
        <v>814</v>
      </c>
      <c r="K504" s="254"/>
      <c r="L504" s="254"/>
      <c r="M504" s="30" t="s">
        <v>814</v>
      </c>
      <c r="N504" s="20" t="s">
        <v>6494</v>
      </c>
      <c r="O504" s="6" t="s">
        <v>814</v>
      </c>
      <c r="P504" s="254" t="s">
        <v>5308</v>
      </c>
      <c r="Q504" s="187" t="s">
        <v>814</v>
      </c>
      <c r="R504" s="187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814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550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6495</v>
      </c>
      <c r="B505" s="254" t="s">
        <v>6255</v>
      </c>
      <c r="C505" s="30" t="s">
        <v>6402</v>
      </c>
      <c r="D505" s="30" t="s">
        <v>6496</v>
      </c>
      <c r="E505" s="6" t="s">
        <v>2427</v>
      </c>
      <c r="F505" s="30" t="s">
        <v>137</v>
      </c>
      <c r="G505" s="254" t="s">
        <v>1441</v>
      </c>
      <c r="H505" s="30" t="s">
        <v>6497</v>
      </c>
      <c r="I505" s="20" t="s">
        <v>6498</v>
      </c>
      <c r="J505" s="30" t="s">
        <v>814</v>
      </c>
      <c r="K505" s="254"/>
      <c r="L505" s="254"/>
      <c r="M505" s="30" t="s">
        <v>814</v>
      </c>
      <c r="N505" s="20" t="s">
        <v>6499</v>
      </c>
      <c r="O505" s="6" t="s">
        <v>814</v>
      </c>
      <c r="P505" s="254" t="s">
        <v>5308</v>
      </c>
      <c r="Q505" s="187" t="s">
        <v>814</v>
      </c>
      <c r="R505" s="187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814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551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6500</v>
      </c>
      <c r="B506" s="254" t="s">
        <v>6255</v>
      </c>
      <c r="C506" s="30" t="s">
        <v>6402</v>
      </c>
      <c r="D506" s="30" t="s">
        <v>3400</v>
      </c>
      <c r="E506" s="20" t="s">
        <v>6501</v>
      </c>
      <c r="F506" s="30" t="s">
        <v>137</v>
      </c>
      <c r="G506" s="254" t="s">
        <v>115</v>
      </c>
      <c r="H506" s="30" t="s">
        <v>6502</v>
      </c>
      <c r="I506" s="20" t="s">
        <v>6503</v>
      </c>
      <c r="J506" s="30" t="s">
        <v>814</v>
      </c>
      <c r="K506" s="195" t="n">
        <f aca="false">Har_In!D51</f>
        <v>0.65</v>
      </c>
      <c r="L506" s="195" t="n">
        <f aca="false">Har_In!E51</f>
        <v>1</v>
      </c>
      <c r="M506" s="30" t="s">
        <v>814</v>
      </c>
      <c r="N506" s="6" t="s">
        <v>6504</v>
      </c>
      <c r="O506" s="6" t="s">
        <v>6505</v>
      </c>
      <c r="P506" s="254" t="s">
        <v>5351</v>
      </c>
      <c r="Q506" s="195" t="n">
        <f aca="false">Har_In!C51</f>
        <v>0.75</v>
      </c>
      <c r="R506" s="187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5309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542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6506</v>
      </c>
      <c r="B507" s="254" t="s">
        <v>6255</v>
      </c>
      <c r="C507" s="30" t="s">
        <v>6402</v>
      </c>
      <c r="D507" s="30" t="s">
        <v>6507</v>
      </c>
      <c r="E507" s="20" t="s">
        <v>6501</v>
      </c>
      <c r="F507" s="30" t="s">
        <v>137</v>
      </c>
      <c r="G507" s="254" t="s">
        <v>6264</v>
      </c>
      <c r="H507" s="30" t="s">
        <v>6502</v>
      </c>
      <c r="I507" s="20" t="s">
        <v>6503</v>
      </c>
      <c r="J507" s="30" t="s">
        <v>814</v>
      </c>
      <c r="K507" s="254"/>
      <c r="L507" s="254"/>
      <c r="M507" s="30" t="s">
        <v>6508</v>
      </c>
      <c r="N507" s="6" t="s">
        <v>6509</v>
      </c>
      <c r="O507" s="6" t="s">
        <v>814</v>
      </c>
      <c r="P507" s="254" t="s">
        <v>5308</v>
      </c>
      <c r="Q507" s="187" t="s">
        <v>814</v>
      </c>
      <c r="R507" s="187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814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542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6510</v>
      </c>
      <c r="B508" s="254" t="s">
        <v>6255</v>
      </c>
      <c r="C508" s="30" t="s">
        <v>6402</v>
      </c>
      <c r="D508" s="30" t="s">
        <v>6511</v>
      </c>
      <c r="E508" s="20" t="s">
        <v>2433</v>
      </c>
      <c r="F508" s="30" t="s">
        <v>132</v>
      </c>
      <c r="G508" s="254" t="s">
        <v>5953</v>
      </c>
      <c r="H508" s="30" t="s">
        <v>814</v>
      </c>
      <c r="I508" s="6" t="s">
        <v>814</v>
      </c>
      <c r="J508" s="30" t="s">
        <v>5923</v>
      </c>
      <c r="K508" s="254"/>
      <c r="L508" s="254"/>
      <c r="M508" s="254" t="s">
        <v>6512</v>
      </c>
      <c r="N508" s="6" t="s">
        <v>6513</v>
      </c>
      <c r="O508" s="6" t="s">
        <v>814</v>
      </c>
      <c r="P508" s="254" t="s">
        <v>5351</v>
      </c>
      <c r="Q508" s="187" t="s">
        <v>814</v>
      </c>
      <c r="R508" s="30" t="s">
        <v>814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814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6514</v>
      </c>
      <c r="B509" s="254" t="s">
        <v>6255</v>
      </c>
      <c r="C509" s="30" t="s">
        <v>6402</v>
      </c>
      <c r="D509" s="30" t="s">
        <v>6515</v>
      </c>
      <c r="E509" s="20" t="s">
        <v>2395</v>
      </c>
      <c r="F509" s="254" t="s">
        <v>6049</v>
      </c>
      <c r="G509" s="254" t="s">
        <v>5953</v>
      </c>
      <c r="H509" s="30" t="s">
        <v>814</v>
      </c>
      <c r="I509" s="6" t="s">
        <v>814</v>
      </c>
      <c r="J509" s="30" t="s">
        <v>6411</v>
      </c>
      <c r="K509" s="254"/>
      <c r="L509" s="254"/>
      <c r="M509" s="254" t="s">
        <v>5082</v>
      </c>
      <c r="N509" s="6" t="s">
        <v>6516</v>
      </c>
      <c r="O509" s="6" t="s">
        <v>814</v>
      </c>
      <c r="P509" s="254" t="s">
        <v>5308</v>
      </c>
      <c r="Q509" s="187" t="s">
        <v>814</v>
      </c>
      <c r="R509" s="30" t="s">
        <v>814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814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6517</v>
      </c>
      <c r="B510" s="254" t="s">
        <v>6255</v>
      </c>
      <c r="C510" s="30" t="s">
        <v>24</v>
      </c>
      <c r="D510" s="30" t="s">
        <v>6518</v>
      </c>
      <c r="E510" s="6" t="s">
        <v>812</v>
      </c>
      <c r="F510" s="30" t="s">
        <v>132</v>
      </c>
      <c r="G510" s="254" t="s">
        <v>5953</v>
      </c>
      <c r="H510" s="30" t="s">
        <v>814</v>
      </c>
      <c r="I510" s="6" t="s">
        <v>814</v>
      </c>
      <c r="J510" s="30" t="s">
        <v>5927</v>
      </c>
      <c r="K510" s="254"/>
      <c r="L510" s="254"/>
      <c r="M510" s="254" t="s">
        <v>5082</v>
      </c>
      <c r="N510" s="6" t="s">
        <v>6519</v>
      </c>
      <c r="O510" s="6" t="s">
        <v>814</v>
      </c>
      <c r="P510" s="254" t="s">
        <v>5308</v>
      </c>
      <c r="Q510" s="187" t="s">
        <v>814</v>
      </c>
      <c r="R510" s="30" t="s">
        <v>814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814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6520</v>
      </c>
      <c r="B511" s="254" t="s">
        <v>6255</v>
      </c>
      <c r="C511" s="30" t="s">
        <v>24</v>
      </c>
      <c r="D511" s="30" t="s">
        <v>6521</v>
      </c>
      <c r="E511" s="6" t="s">
        <v>834</v>
      </c>
      <c r="F511" s="30" t="s">
        <v>132</v>
      </c>
      <c r="G511" s="254" t="s">
        <v>5953</v>
      </c>
      <c r="H511" s="30" t="s">
        <v>814</v>
      </c>
      <c r="I511" s="6" t="s">
        <v>814</v>
      </c>
      <c r="J511" s="30" t="s">
        <v>5927</v>
      </c>
      <c r="K511" s="254"/>
      <c r="L511" s="254"/>
      <c r="M511" s="30" t="s">
        <v>6522</v>
      </c>
      <c r="N511" s="6" t="s">
        <v>6523</v>
      </c>
      <c r="O511" s="6" t="s">
        <v>814</v>
      </c>
      <c r="P511" s="254" t="s">
        <v>5308</v>
      </c>
      <c r="Q511" s="187" t="s">
        <v>814</v>
      </c>
      <c r="R511" s="30" t="s">
        <v>814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814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6524</v>
      </c>
      <c r="B512" s="254" t="s">
        <v>6255</v>
      </c>
      <c r="C512" s="30" t="s">
        <v>24</v>
      </c>
      <c r="D512" s="30" t="s">
        <v>6525</v>
      </c>
      <c r="E512" s="6" t="s">
        <v>841</v>
      </c>
      <c r="F512" s="30" t="s">
        <v>137</v>
      </c>
      <c r="G512" s="254" t="s">
        <v>5953</v>
      </c>
      <c r="H512" s="30" t="s">
        <v>5682</v>
      </c>
      <c r="I512" s="20" t="s">
        <v>6526</v>
      </c>
      <c r="J512" s="30" t="s">
        <v>814</v>
      </c>
      <c r="K512" s="254"/>
      <c r="L512" s="254"/>
      <c r="M512" s="30" t="s">
        <v>6522</v>
      </c>
      <c r="N512" s="6" t="s">
        <v>6527</v>
      </c>
      <c r="O512" s="6" t="s">
        <v>6528</v>
      </c>
      <c r="P512" s="254" t="s">
        <v>5308</v>
      </c>
      <c r="Q512" s="187" t="s">
        <v>814</v>
      </c>
      <c r="R512" s="187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814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6529</v>
      </c>
      <c r="B513" s="254" t="s">
        <v>6255</v>
      </c>
      <c r="C513" s="30" t="s">
        <v>24</v>
      </c>
      <c r="D513" s="30" t="s">
        <v>6530</v>
      </c>
      <c r="E513" s="6" t="s">
        <v>848</v>
      </c>
      <c r="F513" s="30" t="s">
        <v>132</v>
      </c>
      <c r="G513" s="254" t="s">
        <v>5953</v>
      </c>
      <c r="H513" s="30" t="s">
        <v>814</v>
      </c>
      <c r="I513" s="6" t="s">
        <v>814</v>
      </c>
      <c r="J513" s="30" t="s">
        <v>5927</v>
      </c>
      <c r="K513" s="254"/>
      <c r="L513" s="254"/>
      <c r="M513" s="30" t="s">
        <v>6522</v>
      </c>
      <c r="N513" s="6" t="s">
        <v>6531</v>
      </c>
      <c r="O513" s="6" t="s">
        <v>814</v>
      </c>
      <c r="P513" s="254" t="s">
        <v>5308</v>
      </c>
      <c r="Q513" s="187" t="s">
        <v>814</v>
      </c>
      <c r="R513" s="30" t="s">
        <v>814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814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6532</v>
      </c>
      <c r="B514" s="254" t="s">
        <v>6255</v>
      </c>
      <c r="C514" s="30" t="s">
        <v>24</v>
      </c>
      <c r="D514" s="30" t="s">
        <v>6533</v>
      </c>
      <c r="E514" s="6" t="s">
        <v>855</v>
      </c>
      <c r="F514" s="30" t="s">
        <v>132</v>
      </c>
      <c r="G514" s="254" t="s">
        <v>5953</v>
      </c>
      <c r="H514" s="30" t="s">
        <v>814</v>
      </c>
      <c r="I514" s="6" t="s">
        <v>814</v>
      </c>
      <c r="J514" s="30" t="s">
        <v>5927</v>
      </c>
      <c r="K514" s="254"/>
      <c r="L514" s="254"/>
      <c r="M514" s="30" t="s">
        <v>6522</v>
      </c>
      <c r="N514" s="6" t="s">
        <v>6534</v>
      </c>
      <c r="O514" s="6" t="s">
        <v>814</v>
      </c>
      <c r="P514" s="254" t="s">
        <v>5308</v>
      </c>
      <c r="Q514" s="187" t="s">
        <v>814</v>
      </c>
      <c r="R514" s="30" t="s">
        <v>814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814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6535</v>
      </c>
      <c r="B515" s="254" t="s">
        <v>6255</v>
      </c>
      <c r="C515" s="30" t="s">
        <v>24</v>
      </c>
      <c r="D515" s="30" t="s">
        <v>6536</v>
      </c>
      <c r="E515" s="6" t="s">
        <v>861</v>
      </c>
      <c r="F515" s="30" t="s">
        <v>137</v>
      </c>
      <c r="G515" s="254" t="s">
        <v>5953</v>
      </c>
      <c r="H515" s="30" t="s">
        <v>6537</v>
      </c>
      <c r="I515" s="20" t="s">
        <v>6538</v>
      </c>
      <c r="J515" s="30" t="s">
        <v>814</v>
      </c>
      <c r="K515" s="254"/>
      <c r="L515" s="254"/>
      <c r="M515" s="30" t="s">
        <v>6522</v>
      </c>
      <c r="N515" s="6" t="s">
        <v>6539</v>
      </c>
      <c r="O515" s="6" t="s">
        <v>6540</v>
      </c>
      <c r="P515" s="254" t="s">
        <v>5308</v>
      </c>
      <c r="Q515" s="187" t="s">
        <v>814</v>
      </c>
      <c r="R515" s="187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814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6541</v>
      </c>
      <c r="B516" s="254" t="s">
        <v>6255</v>
      </c>
      <c r="C516" s="30" t="s">
        <v>24</v>
      </c>
      <c r="D516" s="30" t="s">
        <v>6542</v>
      </c>
      <c r="E516" s="6" t="s">
        <v>867</v>
      </c>
      <c r="F516" s="30" t="s">
        <v>132</v>
      </c>
      <c r="G516" s="254" t="s">
        <v>5953</v>
      </c>
      <c r="H516" s="30" t="s">
        <v>814</v>
      </c>
      <c r="I516" s="6" t="s">
        <v>814</v>
      </c>
      <c r="J516" s="30" t="s">
        <v>5927</v>
      </c>
      <c r="K516" s="254"/>
      <c r="L516" s="254"/>
      <c r="M516" s="30" t="s">
        <v>6522</v>
      </c>
      <c r="N516" s="6" t="s">
        <v>6543</v>
      </c>
      <c r="O516" s="6" t="s">
        <v>814</v>
      </c>
      <c r="P516" s="254" t="s">
        <v>5308</v>
      </c>
      <c r="Q516" s="187" t="s">
        <v>814</v>
      </c>
      <c r="R516" s="30" t="s">
        <v>814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814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6544</v>
      </c>
      <c r="B517" s="254" t="s">
        <v>6255</v>
      </c>
      <c r="C517" s="30" t="s">
        <v>24</v>
      </c>
      <c r="D517" s="30" t="s">
        <v>6545</v>
      </c>
      <c r="E517" s="6" t="s">
        <v>872</v>
      </c>
      <c r="F517" s="30" t="s">
        <v>132</v>
      </c>
      <c r="G517" s="254" t="s">
        <v>5953</v>
      </c>
      <c r="H517" s="30" t="s">
        <v>814</v>
      </c>
      <c r="I517" s="6" t="s">
        <v>814</v>
      </c>
      <c r="J517" s="30" t="s">
        <v>5927</v>
      </c>
      <c r="K517" s="254"/>
      <c r="L517" s="254"/>
      <c r="M517" s="254" t="s">
        <v>5082</v>
      </c>
      <c r="N517" s="6" t="s">
        <v>6546</v>
      </c>
      <c r="O517" s="6" t="s">
        <v>814</v>
      </c>
      <c r="P517" s="254" t="s">
        <v>5308</v>
      </c>
      <c r="Q517" s="187" t="s">
        <v>814</v>
      </c>
      <c r="R517" s="30" t="s">
        <v>814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814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6547</v>
      </c>
      <c r="B518" s="254" t="s">
        <v>6255</v>
      </c>
      <c r="C518" s="30" t="s">
        <v>24</v>
      </c>
      <c r="D518" s="30" t="s">
        <v>6548</v>
      </c>
      <c r="E518" s="6" t="s">
        <v>812</v>
      </c>
      <c r="F518" s="254" t="s">
        <v>5952</v>
      </c>
      <c r="G518" s="254" t="s">
        <v>5953</v>
      </c>
      <c r="H518" s="30" t="s">
        <v>814</v>
      </c>
      <c r="I518" s="6" t="s">
        <v>814</v>
      </c>
      <c r="J518" s="30" t="s">
        <v>5954</v>
      </c>
      <c r="K518" s="254"/>
      <c r="L518" s="254"/>
      <c r="M518" s="30" t="s">
        <v>814</v>
      </c>
      <c r="N518" s="20" t="s">
        <v>6549</v>
      </c>
      <c r="O518" s="6" t="s">
        <v>814</v>
      </c>
      <c r="P518" s="254" t="s">
        <v>5308</v>
      </c>
      <c r="Q518" s="187" t="s">
        <v>814</v>
      </c>
      <c r="R518" s="30" t="s">
        <v>814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814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6550</v>
      </c>
      <c r="B519" s="254" t="s">
        <v>6255</v>
      </c>
      <c r="C519" s="30" t="s">
        <v>24</v>
      </c>
      <c r="D519" s="30" t="s">
        <v>6551</v>
      </c>
      <c r="E519" s="6" t="s">
        <v>812</v>
      </c>
      <c r="F519" s="254" t="s">
        <v>6370</v>
      </c>
      <c r="G519" s="254" t="s">
        <v>5953</v>
      </c>
      <c r="H519" s="30" t="s">
        <v>814</v>
      </c>
      <c r="I519" s="20" t="s">
        <v>6552</v>
      </c>
      <c r="J519" s="30" t="s">
        <v>6553</v>
      </c>
      <c r="K519" s="254"/>
      <c r="L519" s="254"/>
      <c r="M519" s="254" t="s">
        <v>5082</v>
      </c>
      <c r="N519" s="20" t="s">
        <v>6554</v>
      </c>
      <c r="O519" s="6" t="s">
        <v>814</v>
      </c>
      <c r="P519" s="254" t="s">
        <v>5308</v>
      </c>
      <c r="Q519" s="187" t="s">
        <v>814</v>
      </c>
      <c r="R519" s="30" t="s">
        <v>814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814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6555</v>
      </c>
      <c r="B520" s="254" t="s">
        <v>6255</v>
      </c>
      <c r="C520" s="30" t="s">
        <v>24</v>
      </c>
      <c r="D520" s="30" t="s">
        <v>6556</v>
      </c>
      <c r="E520" s="6" t="s">
        <v>867</v>
      </c>
      <c r="F520" s="254" t="s">
        <v>6370</v>
      </c>
      <c r="G520" s="254" t="s">
        <v>5953</v>
      </c>
      <c r="H520" s="30" t="s">
        <v>814</v>
      </c>
      <c r="I520" s="20" t="s">
        <v>6552</v>
      </c>
      <c r="J520" s="30" t="s">
        <v>6553</v>
      </c>
      <c r="K520" s="254"/>
      <c r="L520" s="254"/>
      <c r="M520" s="254" t="s">
        <v>5082</v>
      </c>
      <c r="N520" s="20" t="s">
        <v>6557</v>
      </c>
      <c r="O520" s="6" t="s">
        <v>814</v>
      </c>
      <c r="P520" s="254" t="s">
        <v>5308</v>
      </c>
      <c r="Q520" s="187" t="s">
        <v>814</v>
      </c>
      <c r="R520" s="30" t="s">
        <v>814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814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6558</v>
      </c>
      <c r="B521" s="254" t="s">
        <v>6255</v>
      </c>
      <c r="C521" s="30" t="s">
        <v>24</v>
      </c>
      <c r="D521" s="30" t="s">
        <v>6559</v>
      </c>
      <c r="E521" s="6" t="s">
        <v>812</v>
      </c>
      <c r="F521" s="30" t="s">
        <v>132</v>
      </c>
      <c r="G521" s="254" t="s">
        <v>5953</v>
      </c>
      <c r="H521" s="30" t="s">
        <v>814</v>
      </c>
      <c r="I521" s="6" t="s">
        <v>814</v>
      </c>
      <c r="J521" s="30" t="s">
        <v>6553</v>
      </c>
      <c r="K521" s="254"/>
      <c r="L521" s="254"/>
      <c r="M521" s="30" t="s">
        <v>6560</v>
      </c>
      <c r="N521" s="20" t="s">
        <v>6561</v>
      </c>
      <c r="O521" s="6" t="s">
        <v>814</v>
      </c>
      <c r="P521" s="254" t="s">
        <v>5308</v>
      </c>
      <c r="Q521" s="187" t="s">
        <v>814</v>
      </c>
      <c r="R521" s="30" t="s">
        <v>814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814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6562</v>
      </c>
      <c r="B522" s="254" t="s">
        <v>6255</v>
      </c>
      <c r="C522" s="30" t="s">
        <v>24</v>
      </c>
      <c r="D522" s="30" t="s">
        <v>6563</v>
      </c>
      <c r="E522" s="6" t="s">
        <v>812</v>
      </c>
      <c r="F522" s="30" t="s">
        <v>122</v>
      </c>
      <c r="G522" s="254" t="s">
        <v>5953</v>
      </c>
      <c r="H522" s="30" t="s">
        <v>814</v>
      </c>
      <c r="I522" s="6" t="s">
        <v>814</v>
      </c>
      <c r="J522" s="30" t="s">
        <v>6229</v>
      </c>
      <c r="K522" s="254"/>
      <c r="L522" s="254"/>
      <c r="M522" s="254" t="s">
        <v>5082</v>
      </c>
      <c r="N522" s="20" t="s">
        <v>6564</v>
      </c>
      <c r="O522" s="6" t="s">
        <v>814</v>
      </c>
      <c r="P522" s="254" t="s">
        <v>5308</v>
      </c>
      <c r="Q522" s="187" t="s">
        <v>814</v>
      </c>
      <c r="R522" s="30" t="s">
        <v>814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814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6565</v>
      </c>
      <c r="B523" s="254" t="s">
        <v>6255</v>
      </c>
      <c r="C523" s="30" t="s">
        <v>3354</v>
      </c>
      <c r="D523" s="30" t="s">
        <v>3208</v>
      </c>
      <c r="E523" s="20" t="s">
        <v>6566</v>
      </c>
      <c r="F523" s="30" t="s">
        <v>137</v>
      </c>
      <c r="G523" s="254" t="s">
        <v>5305</v>
      </c>
      <c r="H523" s="30" t="s">
        <v>6567</v>
      </c>
      <c r="I523" s="20" t="s">
        <v>6568</v>
      </c>
      <c r="J523" s="30" t="s">
        <v>814</v>
      </c>
      <c r="K523" s="256" t="n">
        <v>0.18</v>
      </c>
      <c r="L523" s="256" t="n">
        <v>0.35</v>
      </c>
      <c r="M523" s="30" t="s">
        <v>6569</v>
      </c>
      <c r="N523" s="20" t="s">
        <v>6570</v>
      </c>
      <c r="O523" s="6" t="s">
        <v>814</v>
      </c>
      <c r="P523" s="254" t="s">
        <v>1441</v>
      </c>
      <c r="Q523" s="197" t="n">
        <f aca="false">Train_In!C6</f>
        <v>0.25</v>
      </c>
      <c r="R523" s="187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5309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6571</v>
      </c>
      <c r="B524" s="254" t="s">
        <v>6255</v>
      </c>
      <c r="C524" s="30" t="s">
        <v>3354</v>
      </c>
      <c r="D524" s="30" t="s">
        <v>3344</v>
      </c>
      <c r="E524" s="6" t="s">
        <v>1147</v>
      </c>
      <c r="F524" s="30" t="s">
        <v>137</v>
      </c>
      <c r="G524" s="254" t="s">
        <v>5305</v>
      </c>
      <c r="H524" s="30" t="s">
        <v>6572</v>
      </c>
      <c r="I524" s="20" t="s">
        <v>6573</v>
      </c>
      <c r="J524" s="30" t="s">
        <v>814</v>
      </c>
      <c r="K524" s="256" t="n">
        <v>0.8</v>
      </c>
      <c r="L524" s="256" t="n">
        <v>0.95</v>
      </c>
      <c r="M524" s="30" t="s">
        <v>6574</v>
      </c>
      <c r="N524" s="6" t="s">
        <v>6575</v>
      </c>
      <c r="O524" s="6" t="s">
        <v>814</v>
      </c>
      <c r="P524" s="254" t="s">
        <v>1441</v>
      </c>
      <c r="Q524" s="197" t="n">
        <f aca="false">Train_In!C7</f>
        <v>0.9</v>
      </c>
      <c r="R524" s="187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5309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6576</v>
      </c>
      <c r="B525" s="254" t="s">
        <v>6255</v>
      </c>
      <c r="C525" s="30" t="s">
        <v>3354</v>
      </c>
      <c r="D525" s="30" t="s">
        <v>3209</v>
      </c>
      <c r="E525" s="6" t="s">
        <v>1149</v>
      </c>
      <c r="F525" s="30" t="s">
        <v>132</v>
      </c>
      <c r="G525" s="254" t="s">
        <v>5305</v>
      </c>
      <c r="H525" s="30" t="s">
        <v>814</v>
      </c>
      <c r="I525" s="6" t="s">
        <v>814</v>
      </c>
      <c r="J525" s="30" t="s">
        <v>6577</v>
      </c>
      <c r="K525" s="256" t="n">
        <v>0.6</v>
      </c>
      <c r="L525" s="256" t="n">
        <v>1</v>
      </c>
      <c r="M525" s="30" t="s">
        <v>6578</v>
      </c>
      <c r="N525" s="6" t="s">
        <v>6579</v>
      </c>
      <c r="O525" s="6" t="s">
        <v>814</v>
      </c>
      <c r="P525" s="254" t="s">
        <v>1440</v>
      </c>
      <c r="Q525" s="195" t="n">
        <f aca="false">Train_In!C8</f>
        <v>0.8</v>
      </c>
      <c r="R525" s="30" t="s">
        <v>814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5309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6580</v>
      </c>
      <c r="B526" s="254" t="s">
        <v>6255</v>
      </c>
      <c r="C526" s="30" t="s">
        <v>3354</v>
      </c>
      <c r="D526" s="30" t="s">
        <v>3211</v>
      </c>
      <c r="E526" s="6" t="s">
        <v>1151</v>
      </c>
      <c r="F526" s="30" t="s">
        <v>132</v>
      </c>
      <c r="G526" s="254" t="s">
        <v>5305</v>
      </c>
      <c r="H526" s="30" t="s">
        <v>814</v>
      </c>
      <c r="I526" s="6" t="s">
        <v>814</v>
      </c>
      <c r="J526" s="30" t="s">
        <v>6577</v>
      </c>
      <c r="K526" s="256" t="n">
        <v>0.4</v>
      </c>
      <c r="L526" s="256" t="n">
        <v>0.9</v>
      </c>
      <c r="M526" s="30" t="s">
        <v>6581</v>
      </c>
      <c r="N526" s="6" t="s">
        <v>6582</v>
      </c>
      <c r="O526" s="6" t="s">
        <v>814</v>
      </c>
      <c r="P526" s="254" t="s">
        <v>5351</v>
      </c>
      <c r="Q526" s="195" t="n">
        <f aca="false">Train_In!C9</f>
        <v>0.6</v>
      </c>
      <c r="R526" s="30" t="s">
        <v>814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5309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6583</v>
      </c>
      <c r="B527" s="254" t="s">
        <v>6255</v>
      </c>
      <c r="C527" s="30" t="s">
        <v>3354</v>
      </c>
      <c r="D527" s="30" t="s">
        <v>3213</v>
      </c>
      <c r="E527" s="20" t="s">
        <v>6584</v>
      </c>
      <c r="F527" s="30" t="s">
        <v>132</v>
      </c>
      <c r="G527" s="254" t="s">
        <v>5305</v>
      </c>
      <c r="H527" s="30" t="s">
        <v>814</v>
      </c>
      <c r="I527" s="6" t="s">
        <v>814</v>
      </c>
      <c r="J527" s="30" t="s">
        <v>6577</v>
      </c>
      <c r="K527" s="256" t="n">
        <v>0</v>
      </c>
      <c r="L527" s="256" t="n">
        <v>1</v>
      </c>
      <c r="M527" s="30" t="s">
        <v>6585</v>
      </c>
      <c r="N527" s="6" t="s">
        <v>6586</v>
      </c>
      <c r="O527" s="6" t="s">
        <v>814</v>
      </c>
      <c r="P527" s="254" t="s">
        <v>5308</v>
      </c>
      <c r="Q527" s="33" t="n">
        <f aca="false">Train_In!C10</f>
        <v>0</v>
      </c>
      <c r="R527" s="30" t="s">
        <v>814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5309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6587</v>
      </c>
      <c r="B528" s="254" t="s">
        <v>6255</v>
      </c>
      <c r="C528" s="30" t="s">
        <v>3354</v>
      </c>
      <c r="D528" s="30" t="s">
        <v>3215</v>
      </c>
      <c r="E528" s="6" t="s">
        <v>1155</v>
      </c>
      <c r="F528" s="30" t="s">
        <v>137</v>
      </c>
      <c r="G528" s="254" t="s">
        <v>5305</v>
      </c>
      <c r="H528" s="30" t="s">
        <v>6537</v>
      </c>
      <c r="I528" s="20" t="s">
        <v>6588</v>
      </c>
      <c r="J528" s="30" t="s">
        <v>814</v>
      </c>
      <c r="K528" s="197" t="n">
        <f aca="false">Sens_Train!S64</f>
        <v>0.6</v>
      </c>
      <c r="L528" s="197" t="n">
        <f aca="false">Sens_Train!U64</f>
        <v>0.95</v>
      </c>
      <c r="M528" s="30" t="s">
        <v>814</v>
      </c>
      <c r="N528" s="6" t="s">
        <v>6589</v>
      </c>
      <c r="O528" s="6" t="s">
        <v>814</v>
      </c>
      <c r="P528" s="254" t="s">
        <v>5351</v>
      </c>
      <c r="Q528" s="197" t="n">
        <f aca="false">Train_In!C11</f>
        <v>0.85</v>
      </c>
      <c r="R528" s="187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5309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6590</v>
      </c>
      <c r="B529" s="254" t="s">
        <v>6255</v>
      </c>
      <c r="C529" s="30" t="s">
        <v>3354</v>
      </c>
      <c r="D529" s="30" t="s">
        <v>3216</v>
      </c>
      <c r="E529" s="6" t="s">
        <v>1157</v>
      </c>
      <c r="F529" s="30" t="s">
        <v>132</v>
      </c>
      <c r="G529" s="254" t="s">
        <v>5305</v>
      </c>
      <c r="H529" s="30" t="s">
        <v>814</v>
      </c>
      <c r="I529" s="6" t="s">
        <v>814</v>
      </c>
      <c r="J529" s="30" t="s">
        <v>6577</v>
      </c>
      <c r="K529" s="256" t="n">
        <v>8</v>
      </c>
      <c r="L529" s="256" t="n">
        <v>64</v>
      </c>
      <c r="M529" s="30" t="s">
        <v>6591</v>
      </c>
      <c r="N529" s="6" t="s">
        <v>6592</v>
      </c>
      <c r="O529" s="6" t="s">
        <v>6337</v>
      </c>
      <c r="P529" s="254" t="s">
        <v>1440</v>
      </c>
      <c r="Q529" s="33" t="n">
        <f aca="false">Train_In!C12</f>
        <v>16</v>
      </c>
      <c r="R529" s="30" t="s">
        <v>814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5309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6593</v>
      </c>
      <c r="B530" s="254" t="s">
        <v>6255</v>
      </c>
      <c r="C530" s="30" t="s">
        <v>3354</v>
      </c>
      <c r="D530" s="30" t="s">
        <v>3220</v>
      </c>
      <c r="E530" s="20" t="s">
        <v>6594</v>
      </c>
      <c r="F530" s="30" t="s">
        <v>137</v>
      </c>
      <c r="G530" s="254" t="s">
        <v>5305</v>
      </c>
      <c r="H530" s="30" t="s">
        <v>4060</v>
      </c>
      <c r="I530" s="20" t="s">
        <v>6595</v>
      </c>
      <c r="J530" s="30" t="s">
        <v>6596</v>
      </c>
      <c r="K530" s="202" t="n">
        <f aca="false">Sens_Train!AC119</f>
        <v>4.4</v>
      </c>
      <c r="L530" s="202" t="n">
        <f aca="false">Sens_Train!AE119</f>
        <v>10.4</v>
      </c>
      <c r="M530" s="30" t="s">
        <v>814</v>
      </c>
      <c r="N530" s="6" t="s">
        <v>6597</v>
      </c>
      <c r="O530" s="6" t="s">
        <v>814</v>
      </c>
      <c r="P530" s="254" t="s">
        <v>1441</v>
      </c>
      <c r="Q530" s="202" t="n">
        <f aca="false">Train_In!C13</f>
        <v>8</v>
      </c>
      <c r="R530" s="187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5309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668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6598</v>
      </c>
      <c r="B531" s="254" t="s">
        <v>6255</v>
      </c>
      <c r="C531" s="30" t="s">
        <v>3354</v>
      </c>
      <c r="D531" s="30" t="s">
        <v>3250</v>
      </c>
      <c r="E531" s="20" t="s">
        <v>6599</v>
      </c>
      <c r="F531" s="30" t="s">
        <v>132</v>
      </c>
      <c r="G531" s="254" t="s">
        <v>5305</v>
      </c>
      <c r="H531" s="30" t="s">
        <v>814</v>
      </c>
      <c r="I531" s="6" t="s">
        <v>814</v>
      </c>
      <c r="J531" s="30" t="s">
        <v>6577</v>
      </c>
      <c r="K531" s="256" t="n">
        <v>2</v>
      </c>
      <c r="L531" s="256" t="n">
        <v>3</v>
      </c>
      <c r="M531" s="30" t="s">
        <v>6600</v>
      </c>
      <c r="N531" s="20" t="s">
        <v>6601</v>
      </c>
      <c r="O531" s="6" t="s">
        <v>814</v>
      </c>
      <c r="P531" s="254" t="s">
        <v>5308</v>
      </c>
      <c r="Q531" s="33" t="n">
        <f aca="false">Train_In!C15</f>
        <v>3</v>
      </c>
      <c r="R531" s="30" t="s">
        <v>814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5309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6602</v>
      </c>
      <c r="B532" s="254" t="s">
        <v>6255</v>
      </c>
      <c r="C532" s="30" t="s">
        <v>3354</v>
      </c>
      <c r="D532" s="30" t="s">
        <v>3251</v>
      </c>
      <c r="E532" s="20" t="s">
        <v>1166</v>
      </c>
      <c r="F532" s="30" t="s">
        <v>122</v>
      </c>
      <c r="G532" s="254" t="s">
        <v>5305</v>
      </c>
      <c r="H532" s="30" t="s">
        <v>814</v>
      </c>
      <c r="I532" s="6" t="s">
        <v>814</v>
      </c>
      <c r="J532" s="30" t="s">
        <v>6603</v>
      </c>
      <c r="K532" s="254"/>
      <c r="L532" s="254"/>
      <c r="M532" s="254" t="s">
        <v>5082</v>
      </c>
      <c r="N532" s="6" t="s">
        <v>6604</v>
      </c>
      <c r="O532" s="6" t="s">
        <v>814</v>
      </c>
      <c r="P532" s="254" t="s">
        <v>5308</v>
      </c>
      <c r="Q532" s="33" t="n">
        <f aca="false">Train_In!C16</f>
        <v>4</v>
      </c>
      <c r="R532" s="30" t="s">
        <v>814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5309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6605</v>
      </c>
      <c r="B533" s="254" t="s">
        <v>6255</v>
      </c>
      <c r="C533" s="30" t="s">
        <v>3354</v>
      </c>
      <c r="D533" s="30" t="s">
        <v>3252</v>
      </c>
      <c r="E533" s="20" t="s">
        <v>1170</v>
      </c>
      <c r="F533" s="30" t="s">
        <v>122</v>
      </c>
      <c r="G533" s="254" t="s">
        <v>5305</v>
      </c>
      <c r="H533" s="30" t="s">
        <v>814</v>
      </c>
      <c r="I533" s="6" t="s">
        <v>814</v>
      </c>
      <c r="J533" s="30" t="s">
        <v>6603</v>
      </c>
      <c r="K533" s="254"/>
      <c r="L533" s="254"/>
      <c r="M533" s="254" t="s">
        <v>5082</v>
      </c>
      <c r="N533" s="6" t="s">
        <v>6606</v>
      </c>
      <c r="O533" s="6" t="s">
        <v>814</v>
      </c>
      <c r="P533" s="254" t="s">
        <v>5308</v>
      </c>
      <c r="Q533" s="33" t="n">
        <f aca="false">Train_In!C17</f>
        <v>3</v>
      </c>
      <c r="R533" s="30" t="s">
        <v>814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5309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6607</v>
      </c>
      <c r="B534" s="254" t="s">
        <v>6255</v>
      </c>
      <c r="C534" s="30" t="s">
        <v>3354</v>
      </c>
      <c r="D534" s="30" t="s">
        <v>6608</v>
      </c>
      <c r="E534" s="20" t="s">
        <v>6609</v>
      </c>
      <c r="F534" s="30" t="s">
        <v>132</v>
      </c>
      <c r="G534" s="254" t="s">
        <v>5953</v>
      </c>
      <c r="H534" s="30" t="s">
        <v>814</v>
      </c>
      <c r="I534" s="6" t="s">
        <v>814</v>
      </c>
      <c r="J534" s="30" t="s">
        <v>6577</v>
      </c>
      <c r="K534" s="254"/>
      <c r="L534" s="254"/>
      <c r="M534" s="254" t="s">
        <v>6610</v>
      </c>
      <c r="N534" s="20" t="s">
        <v>6611</v>
      </c>
      <c r="O534" s="6" t="s">
        <v>814</v>
      </c>
      <c r="P534" s="254" t="s">
        <v>1441</v>
      </c>
      <c r="Q534" s="187" t="s">
        <v>814</v>
      </c>
      <c r="R534" s="30" t="s">
        <v>814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814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6612</v>
      </c>
      <c r="B535" s="254" t="s">
        <v>6255</v>
      </c>
      <c r="C535" s="30" t="s">
        <v>3354</v>
      </c>
      <c r="D535" s="30" t="s">
        <v>3180</v>
      </c>
      <c r="E535" s="20" t="s">
        <v>6211</v>
      </c>
      <c r="F535" s="30" t="s">
        <v>132</v>
      </c>
      <c r="G535" s="254" t="s">
        <v>5305</v>
      </c>
      <c r="H535" s="30" t="s">
        <v>814</v>
      </c>
      <c r="I535" s="6" t="s">
        <v>814</v>
      </c>
      <c r="J535" s="30" t="s">
        <v>6613</v>
      </c>
      <c r="K535" s="256" t="n">
        <v>30</v>
      </c>
      <c r="L535" s="256" t="n">
        <v>100</v>
      </c>
      <c r="M535" s="30" t="s">
        <v>6614</v>
      </c>
      <c r="N535" s="6" t="s">
        <v>6615</v>
      </c>
      <c r="O535" s="6" t="s">
        <v>814</v>
      </c>
      <c r="P535" s="254" t="s">
        <v>1441</v>
      </c>
      <c r="Q535" s="198" t="n">
        <f aca="false">Train_In!E25</f>
        <v>60</v>
      </c>
      <c r="R535" s="30" t="s">
        <v>814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5309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6616</v>
      </c>
      <c r="B536" s="254" t="s">
        <v>6255</v>
      </c>
      <c r="C536" s="30" t="s">
        <v>3354</v>
      </c>
      <c r="D536" s="30" t="s">
        <v>3181</v>
      </c>
      <c r="E536" s="20" t="s">
        <v>6216</v>
      </c>
      <c r="F536" s="30" t="s">
        <v>132</v>
      </c>
      <c r="G536" s="254" t="s">
        <v>5305</v>
      </c>
      <c r="H536" s="30" t="s">
        <v>6217</v>
      </c>
      <c r="I536" s="6" t="s">
        <v>814</v>
      </c>
      <c r="J536" s="30" t="s">
        <v>814</v>
      </c>
      <c r="K536" s="256" t="n">
        <v>4096</v>
      </c>
      <c r="L536" s="256" t="n">
        <v>16384</v>
      </c>
      <c r="M536" s="30" t="s">
        <v>6617</v>
      </c>
      <c r="N536" s="6" t="s">
        <v>6618</v>
      </c>
      <c r="O536" s="6" t="s">
        <v>814</v>
      </c>
      <c r="P536" s="254" t="s">
        <v>5351</v>
      </c>
      <c r="Q536" s="49" t="n">
        <f aca="false">Train_In!E26</f>
        <v>8192</v>
      </c>
      <c r="R536" s="187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5309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6619</v>
      </c>
      <c r="B537" s="254" t="s">
        <v>6255</v>
      </c>
      <c r="C537" s="30" t="s">
        <v>3354</v>
      </c>
      <c r="D537" s="30" t="s">
        <v>6620</v>
      </c>
      <c r="E537" s="20" t="s">
        <v>6621</v>
      </c>
      <c r="F537" s="30" t="s">
        <v>132</v>
      </c>
      <c r="G537" s="254" t="s">
        <v>5953</v>
      </c>
      <c r="H537" s="30" t="s">
        <v>814</v>
      </c>
      <c r="I537" s="6" t="s">
        <v>814</v>
      </c>
      <c r="J537" s="30" t="s">
        <v>6577</v>
      </c>
      <c r="K537" s="254"/>
      <c r="L537" s="254"/>
      <c r="M537" s="30" t="s">
        <v>6622</v>
      </c>
      <c r="N537" s="20" t="s">
        <v>6623</v>
      </c>
      <c r="O537" s="6" t="s">
        <v>814</v>
      </c>
      <c r="P537" s="254" t="s">
        <v>1440</v>
      </c>
      <c r="Q537" s="187" t="s">
        <v>814</v>
      </c>
      <c r="R537" s="30" t="s">
        <v>814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814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6624</v>
      </c>
      <c r="B538" s="254" t="s">
        <v>6255</v>
      </c>
      <c r="C538" s="30" t="s">
        <v>3354</v>
      </c>
      <c r="D538" s="30" t="s">
        <v>6625</v>
      </c>
      <c r="E538" s="20" t="s">
        <v>1186</v>
      </c>
      <c r="F538" s="30" t="s">
        <v>132</v>
      </c>
      <c r="G538" s="254" t="s">
        <v>5953</v>
      </c>
      <c r="H538" s="30" t="s">
        <v>814</v>
      </c>
      <c r="I538" s="6" t="s">
        <v>814</v>
      </c>
      <c r="J538" s="30" t="s">
        <v>6577</v>
      </c>
      <c r="K538" s="254"/>
      <c r="L538" s="254"/>
      <c r="M538" s="254" t="s">
        <v>5082</v>
      </c>
      <c r="N538" s="20" t="s">
        <v>6626</v>
      </c>
      <c r="O538" s="6" t="s">
        <v>814</v>
      </c>
      <c r="P538" s="254" t="s">
        <v>1440</v>
      </c>
      <c r="Q538" s="187" t="s">
        <v>814</v>
      </c>
      <c r="R538" s="30" t="s">
        <v>814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814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6627</v>
      </c>
      <c r="B539" s="254" t="s">
        <v>6255</v>
      </c>
      <c r="C539" s="30" t="s">
        <v>3354</v>
      </c>
      <c r="D539" s="30" t="s">
        <v>6628</v>
      </c>
      <c r="E539" s="6" t="s">
        <v>1187</v>
      </c>
      <c r="F539" s="30" t="s">
        <v>132</v>
      </c>
      <c r="G539" s="254" t="s">
        <v>5953</v>
      </c>
      <c r="H539" s="30" t="s">
        <v>814</v>
      </c>
      <c r="I539" s="6" t="s">
        <v>814</v>
      </c>
      <c r="J539" s="30" t="s">
        <v>6577</v>
      </c>
      <c r="K539" s="254"/>
      <c r="L539" s="254"/>
      <c r="M539" s="30" t="s">
        <v>6629</v>
      </c>
      <c r="N539" s="6" t="s">
        <v>1187</v>
      </c>
      <c r="O539" s="6" t="s">
        <v>814</v>
      </c>
      <c r="P539" s="254" t="s">
        <v>1440</v>
      </c>
      <c r="Q539" s="187" t="s">
        <v>814</v>
      </c>
      <c r="R539" s="30" t="s">
        <v>814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814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6630</v>
      </c>
      <c r="B540" s="254" t="s">
        <v>6255</v>
      </c>
      <c r="C540" s="30" t="s">
        <v>3354</v>
      </c>
      <c r="D540" s="30" t="s">
        <v>6631</v>
      </c>
      <c r="E540" s="6" t="s">
        <v>1189</v>
      </c>
      <c r="F540" s="30" t="s">
        <v>132</v>
      </c>
      <c r="G540" s="254" t="s">
        <v>5953</v>
      </c>
      <c r="H540" s="30" t="s">
        <v>814</v>
      </c>
      <c r="I540" s="6" t="s">
        <v>814</v>
      </c>
      <c r="J540" s="30" t="s">
        <v>6577</v>
      </c>
      <c r="K540" s="254"/>
      <c r="L540" s="254"/>
      <c r="M540" s="254" t="s">
        <v>5082</v>
      </c>
      <c r="N540" s="6" t="s">
        <v>6632</v>
      </c>
      <c r="O540" s="6" t="s">
        <v>814</v>
      </c>
      <c r="P540" s="254" t="s">
        <v>1440</v>
      </c>
      <c r="Q540" s="187" t="s">
        <v>814</v>
      </c>
      <c r="R540" s="30" t="s">
        <v>814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814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6633</v>
      </c>
      <c r="B541" s="254" t="s">
        <v>6255</v>
      </c>
      <c r="C541" s="30" t="s">
        <v>3354</v>
      </c>
      <c r="D541" s="30" t="s">
        <v>6318</v>
      </c>
      <c r="E541" s="20" t="s">
        <v>6634</v>
      </c>
      <c r="F541" s="30" t="s">
        <v>132</v>
      </c>
      <c r="G541" s="254" t="s">
        <v>5953</v>
      </c>
      <c r="H541" s="30" t="s">
        <v>814</v>
      </c>
      <c r="I541" s="6" t="s">
        <v>814</v>
      </c>
      <c r="J541" s="30" t="s">
        <v>6577</v>
      </c>
      <c r="K541" s="254"/>
      <c r="L541" s="254"/>
      <c r="M541" s="30" t="s">
        <v>6635</v>
      </c>
      <c r="N541" s="20" t="s">
        <v>6636</v>
      </c>
      <c r="O541" s="6" t="s">
        <v>814</v>
      </c>
      <c r="P541" s="254" t="s">
        <v>1440</v>
      </c>
      <c r="Q541" s="187" t="s">
        <v>814</v>
      </c>
      <c r="R541" s="30" t="s">
        <v>814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814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6637</v>
      </c>
      <c r="B542" s="254" t="s">
        <v>6255</v>
      </c>
      <c r="C542" s="30" t="s">
        <v>3354</v>
      </c>
      <c r="D542" s="30" t="s">
        <v>6323</v>
      </c>
      <c r="E542" s="6" t="s">
        <v>1192</v>
      </c>
      <c r="F542" s="30" t="s">
        <v>132</v>
      </c>
      <c r="G542" s="254" t="s">
        <v>5953</v>
      </c>
      <c r="H542" s="30" t="s">
        <v>814</v>
      </c>
      <c r="I542" s="6" t="s">
        <v>814</v>
      </c>
      <c r="J542" s="30" t="s">
        <v>6577</v>
      </c>
      <c r="K542" s="254"/>
      <c r="L542" s="254"/>
      <c r="M542" s="254" t="s">
        <v>6638</v>
      </c>
      <c r="N542" s="6" t="s">
        <v>1192</v>
      </c>
      <c r="O542" s="6" t="s">
        <v>814</v>
      </c>
      <c r="P542" s="254" t="s">
        <v>5351</v>
      </c>
      <c r="Q542" s="187" t="s">
        <v>814</v>
      </c>
      <c r="R542" s="30" t="s">
        <v>814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814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6639</v>
      </c>
      <c r="B543" s="254" t="s">
        <v>6255</v>
      </c>
      <c r="C543" s="30" t="s">
        <v>3354</v>
      </c>
      <c r="D543" s="30" t="s">
        <v>6640</v>
      </c>
      <c r="E543" s="6" t="s">
        <v>1193</v>
      </c>
      <c r="F543" s="30" t="s">
        <v>132</v>
      </c>
      <c r="G543" s="254" t="s">
        <v>5953</v>
      </c>
      <c r="H543" s="30" t="s">
        <v>814</v>
      </c>
      <c r="I543" s="6" t="s">
        <v>814</v>
      </c>
      <c r="J543" s="30" t="s">
        <v>6577</v>
      </c>
      <c r="K543" s="254"/>
      <c r="L543" s="254"/>
      <c r="M543" s="254" t="s">
        <v>6638</v>
      </c>
      <c r="N543" s="6" t="s">
        <v>1193</v>
      </c>
      <c r="O543" s="6" t="s">
        <v>814</v>
      </c>
      <c r="P543" s="254" t="s">
        <v>5351</v>
      </c>
      <c r="Q543" s="187" t="s">
        <v>814</v>
      </c>
      <c r="R543" s="30" t="s">
        <v>814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814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6641</v>
      </c>
      <c r="B544" s="254" t="s">
        <v>6255</v>
      </c>
      <c r="C544" s="30" t="s">
        <v>3354</v>
      </c>
      <c r="D544" s="208" t="s">
        <v>6642</v>
      </c>
      <c r="E544" s="6" t="s">
        <v>1195</v>
      </c>
      <c r="F544" s="30" t="s">
        <v>132</v>
      </c>
      <c r="G544" s="254" t="s">
        <v>5953</v>
      </c>
      <c r="H544" s="30" t="s">
        <v>814</v>
      </c>
      <c r="I544" s="6" t="s">
        <v>814</v>
      </c>
      <c r="J544" s="30" t="s">
        <v>6643</v>
      </c>
      <c r="K544" s="254"/>
      <c r="L544" s="254"/>
      <c r="M544" s="30" t="s">
        <v>6644</v>
      </c>
      <c r="N544" s="6" t="s">
        <v>6645</v>
      </c>
      <c r="O544" s="6" t="s">
        <v>814</v>
      </c>
      <c r="P544" s="254" t="s">
        <v>1441</v>
      </c>
      <c r="Q544" s="187" t="s">
        <v>814</v>
      </c>
      <c r="R544" s="30" t="s">
        <v>814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814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6646</v>
      </c>
      <c r="B545" s="254" t="s">
        <v>6255</v>
      </c>
      <c r="C545" s="30" t="s">
        <v>3354</v>
      </c>
      <c r="D545" s="30" t="s">
        <v>6647</v>
      </c>
      <c r="E545" s="6" t="s">
        <v>1197</v>
      </c>
      <c r="F545" s="30" t="s">
        <v>132</v>
      </c>
      <c r="G545" s="254" t="s">
        <v>5953</v>
      </c>
      <c r="H545" s="30" t="s">
        <v>814</v>
      </c>
      <c r="I545" s="6" t="s">
        <v>814</v>
      </c>
      <c r="J545" s="30" t="s">
        <v>6577</v>
      </c>
      <c r="K545" s="254"/>
      <c r="L545" s="254"/>
      <c r="M545" s="30" t="s">
        <v>6648</v>
      </c>
      <c r="N545" s="6" t="s">
        <v>6649</v>
      </c>
      <c r="O545" s="6" t="s">
        <v>814</v>
      </c>
      <c r="P545" s="254" t="s">
        <v>1440</v>
      </c>
      <c r="Q545" s="187" t="s">
        <v>814</v>
      </c>
      <c r="R545" s="30" t="s">
        <v>814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814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6650</v>
      </c>
      <c r="B546" s="254" t="s">
        <v>6255</v>
      </c>
      <c r="C546" s="30" t="s">
        <v>3354</v>
      </c>
      <c r="D546" s="30" t="s">
        <v>6651</v>
      </c>
      <c r="E546" s="20" t="s">
        <v>6652</v>
      </c>
      <c r="F546" s="30" t="s">
        <v>132</v>
      </c>
      <c r="G546" s="254" t="s">
        <v>5953</v>
      </c>
      <c r="H546" s="30" t="s">
        <v>814</v>
      </c>
      <c r="I546" s="6" t="s">
        <v>814</v>
      </c>
      <c r="J546" s="30" t="s">
        <v>6577</v>
      </c>
      <c r="K546" s="254"/>
      <c r="L546" s="254"/>
      <c r="M546" s="254" t="s">
        <v>5082</v>
      </c>
      <c r="N546" s="20" t="s">
        <v>6653</v>
      </c>
      <c r="O546" s="6" t="s">
        <v>6654</v>
      </c>
      <c r="P546" s="254" t="s">
        <v>5308</v>
      </c>
      <c r="Q546" s="187" t="s">
        <v>814</v>
      </c>
      <c r="R546" s="30" t="s">
        <v>814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814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6655</v>
      </c>
      <c r="B547" s="254" t="s">
        <v>6255</v>
      </c>
      <c r="C547" s="30" t="s">
        <v>3354</v>
      </c>
      <c r="D547" s="30" t="s">
        <v>6656</v>
      </c>
      <c r="E547" s="20" t="s">
        <v>6657</v>
      </c>
      <c r="F547" s="30" t="s">
        <v>132</v>
      </c>
      <c r="G547" s="254" t="s">
        <v>5953</v>
      </c>
      <c r="H547" s="30" t="s">
        <v>814</v>
      </c>
      <c r="I547" s="6" t="s">
        <v>814</v>
      </c>
      <c r="J547" s="30" t="s">
        <v>6577</v>
      </c>
      <c r="K547" s="254"/>
      <c r="L547" s="254"/>
      <c r="M547" s="30" t="s">
        <v>6658</v>
      </c>
      <c r="N547" s="20" t="s">
        <v>6657</v>
      </c>
      <c r="O547" s="6" t="s">
        <v>814</v>
      </c>
      <c r="P547" s="254" t="s">
        <v>1440</v>
      </c>
      <c r="Q547" s="187" t="s">
        <v>814</v>
      </c>
      <c r="R547" s="30" t="s">
        <v>814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814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6659</v>
      </c>
      <c r="B548" s="254" t="s">
        <v>6255</v>
      </c>
      <c r="C548" s="30" t="s">
        <v>3354</v>
      </c>
      <c r="D548" s="30" t="s">
        <v>6660</v>
      </c>
      <c r="E548" s="20" t="s">
        <v>6661</v>
      </c>
      <c r="F548" s="30" t="s">
        <v>132</v>
      </c>
      <c r="G548" s="254" t="s">
        <v>5953</v>
      </c>
      <c r="H548" s="30" t="s">
        <v>814</v>
      </c>
      <c r="I548" s="6" t="s">
        <v>814</v>
      </c>
      <c r="J548" s="30" t="s">
        <v>6577</v>
      </c>
      <c r="K548" s="254"/>
      <c r="L548" s="254"/>
      <c r="M548" s="254" t="s">
        <v>6638</v>
      </c>
      <c r="N548" s="20" t="s">
        <v>6661</v>
      </c>
      <c r="O548" s="6" t="s">
        <v>814</v>
      </c>
      <c r="P548" s="254" t="s">
        <v>1440</v>
      </c>
      <c r="Q548" s="187" t="s">
        <v>814</v>
      </c>
      <c r="R548" s="30" t="s">
        <v>814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814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6662</v>
      </c>
      <c r="B549" s="254" t="s">
        <v>6255</v>
      </c>
      <c r="C549" s="30" t="s">
        <v>3354</v>
      </c>
      <c r="D549" s="30" t="s">
        <v>3237</v>
      </c>
      <c r="E549" s="6" t="s">
        <v>1212</v>
      </c>
      <c r="F549" s="30" t="s">
        <v>5369</v>
      </c>
      <c r="G549" s="254" t="s">
        <v>5305</v>
      </c>
      <c r="H549" s="30" t="s">
        <v>4041</v>
      </c>
      <c r="I549" s="20" t="s">
        <v>6663</v>
      </c>
      <c r="J549" s="30" t="s">
        <v>814</v>
      </c>
      <c r="K549" s="254"/>
      <c r="L549" s="254"/>
      <c r="M549" s="30" t="s">
        <v>814</v>
      </c>
      <c r="N549" s="20" t="s">
        <v>6664</v>
      </c>
      <c r="O549" s="6" t="s">
        <v>814</v>
      </c>
      <c r="P549" s="254" t="s">
        <v>5308</v>
      </c>
      <c r="Q549" s="199" t="n">
        <f aca="false">Train_In!C44</f>
        <v>0.0551801801801802</v>
      </c>
      <c r="R549" s="187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5337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6665</v>
      </c>
      <c r="B550" s="254" t="s">
        <v>6255</v>
      </c>
      <c r="C550" s="30" t="s">
        <v>3354</v>
      </c>
      <c r="D550" s="30" t="s">
        <v>3399</v>
      </c>
      <c r="E550" s="20" t="s">
        <v>1221</v>
      </c>
      <c r="F550" s="30" t="s">
        <v>137</v>
      </c>
      <c r="G550" s="254" t="s">
        <v>115</v>
      </c>
      <c r="H550" s="30" t="s">
        <v>6666</v>
      </c>
      <c r="I550" s="20" t="s">
        <v>6667</v>
      </c>
      <c r="J550" s="30" t="s">
        <v>6613</v>
      </c>
      <c r="K550" s="260" t="n">
        <f aca="false">Train_In!C46</f>
        <v>2E+026</v>
      </c>
      <c r="L550" s="260" t="n">
        <f aca="false">Train_In!C48</f>
        <v>2E+027</v>
      </c>
      <c r="M550" s="30" t="s">
        <v>814</v>
      </c>
      <c r="N550" s="6" t="s">
        <v>6668</v>
      </c>
      <c r="O550" s="6" t="s">
        <v>814</v>
      </c>
      <c r="P550" s="254" t="s">
        <v>5308</v>
      </c>
      <c r="Q550" s="260" t="n">
        <f aca="false">Train_In!C47</f>
        <v>5E+026</v>
      </c>
      <c r="R550" s="187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5309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6669</v>
      </c>
      <c r="B551" s="254" t="s">
        <v>6255</v>
      </c>
      <c r="C551" s="30" t="s">
        <v>3354</v>
      </c>
      <c r="D551" s="30" t="s">
        <v>6670</v>
      </c>
      <c r="E551" s="20" t="s">
        <v>1218</v>
      </c>
      <c r="F551" s="30" t="s">
        <v>137</v>
      </c>
      <c r="G551" s="254" t="s">
        <v>1440</v>
      </c>
      <c r="H551" s="30" t="s">
        <v>6666</v>
      </c>
      <c r="I551" s="20" t="s">
        <v>5327</v>
      </c>
      <c r="J551" s="30" t="s">
        <v>6613</v>
      </c>
      <c r="K551" s="254"/>
      <c r="L551" s="254"/>
      <c r="M551" s="30" t="s">
        <v>814</v>
      </c>
      <c r="N551" s="20" t="s">
        <v>6671</v>
      </c>
      <c r="O551" s="6" t="s">
        <v>814</v>
      </c>
      <c r="P551" s="254" t="s">
        <v>5308</v>
      </c>
      <c r="Q551" s="260" t="n">
        <f aca="false">Train_In!C46</f>
        <v>2E+026</v>
      </c>
      <c r="R551" s="187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5309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6672</v>
      </c>
      <c r="B552" s="254" t="s">
        <v>6255</v>
      </c>
      <c r="C552" s="30" t="s">
        <v>3354</v>
      </c>
      <c r="D552" s="30" t="s">
        <v>6673</v>
      </c>
      <c r="E552" s="20" t="s">
        <v>1222</v>
      </c>
      <c r="F552" s="30" t="s">
        <v>137</v>
      </c>
      <c r="G552" s="254" t="s">
        <v>1441</v>
      </c>
      <c r="H552" s="30" t="s">
        <v>6666</v>
      </c>
      <c r="I552" s="20" t="s">
        <v>5327</v>
      </c>
      <c r="J552" s="30" t="s">
        <v>6613</v>
      </c>
      <c r="K552" s="254"/>
      <c r="L552" s="254"/>
      <c r="M552" s="30" t="s">
        <v>814</v>
      </c>
      <c r="N552" s="20" t="s">
        <v>6674</v>
      </c>
      <c r="O552" s="6" t="s">
        <v>814</v>
      </c>
      <c r="P552" s="254" t="s">
        <v>5308</v>
      </c>
      <c r="Q552" s="260" t="n">
        <f aca="false">Train_In!C48</f>
        <v>2E+027</v>
      </c>
      <c r="R552" s="187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5309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6675</v>
      </c>
      <c r="B553" s="254" t="s">
        <v>6255</v>
      </c>
      <c r="C553" s="30" t="s">
        <v>3371</v>
      </c>
      <c r="D553" s="30" t="s">
        <v>6185</v>
      </c>
      <c r="E553" s="20" t="s">
        <v>498</v>
      </c>
      <c r="F553" s="254" t="s">
        <v>5952</v>
      </c>
      <c r="G553" s="254" t="s">
        <v>5953</v>
      </c>
      <c r="H553" s="30" t="s">
        <v>814</v>
      </c>
      <c r="I553" s="6" t="s">
        <v>814</v>
      </c>
      <c r="J553" s="30" t="s">
        <v>5954</v>
      </c>
      <c r="K553" s="254"/>
      <c r="L553" s="254"/>
      <c r="M553" s="30" t="s">
        <v>814</v>
      </c>
      <c r="N553" s="20" t="s">
        <v>6676</v>
      </c>
      <c r="O553" s="6" t="s">
        <v>814</v>
      </c>
      <c r="P553" s="254" t="s">
        <v>5308</v>
      </c>
      <c r="Q553" s="187" t="s">
        <v>814</v>
      </c>
      <c r="R553" s="30" t="s">
        <v>814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814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6677</v>
      </c>
      <c r="B554" s="254" t="s">
        <v>6255</v>
      </c>
      <c r="C554" s="30" t="s">
        <v>3371</v>
      </c>
      <c r="D554" s="30" t="s">
        <v>6187</v>
      </c>
      <c r="E554" s="20" t="s">
        <v>920</v>
      </c>
      <c r="F554" s="254" t="s">
        <v>5952</v>
      </c>
      <c r="G554" s="254" t="s">
        <v>5953</v>
      </c>
      <c r="H554" s="30" t="s">
        <v>814</v>
      </c>
      <c r="I554" s="6" t="s">
        <v>814</v>
      </c>
      <c r="J554" s="30" t="s">
        <v>5954</v>
      </c>
      <c r="K554" s="254"/>
      <c r="L554" s="254"/>
      <c r="M554" s="30" t="s">
        <v>814</v>
      </c>
      <c r="N554" s="20" t="s">
        <v>6678</v>
      </c>
      <c r="O554" s="6" t="s">
        <v>814</v>
      </c>
      <c r="P554" s="254" t="s">
        <v>5308</v>
      </c>
      <c r="Q554" s="187" t="s">
        <v>814</v>
      </c>
      <c r="R554" s="30" t="s">
        <v>814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814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6679</v>
      </c>
      <c r="B555" s="254" t="s">
        <v>6255</v>
      </c>
      <c r="C555" s="30" t="s">
        <v>3371</v>
      </c>
      <c r="D555" s="30" t="s">
        <v>6680</v>
      </c>
      <c r="E555" s="20" t="s">
        <v>6681</v>
      </c>
      <c r="F555" s="254" t="s">
        <v>6049</v>
      </c>
      <c r="G555" s="254" t="s">
        <v>5953</v>
      </c>
      <c r="H555" s="30" t="s">
        <v>814</v>
      </c>
      <c r="I555" s="6" t="s">
        <v>814</v>
      </c>
      <c r="J555" s="30" t="s">
        <v>6050</v>
      </c>
      <c r="K555" s="254"/>
      <c r="L555" s="254"/>
      <c r="M555" s="30" t="s">
        <v>814</v>
      </c>
      <c r="N555" s="6" t="s">
        <v>6682</v>
      </c>
      <c r="O555" s="6" t="s">
        <v>814</v>
      </c>
      <c r="P555" s="254" t="s">
        <v>5308</v>
      </c>
      <c r="Q555" s="187" t="s">
        <v>814</v>
      </c>
      <c r="R555" s="30" t="s">
        <v>814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814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6683</v>
      </c>
      <c r="B556" s="254" t="s">
        <v>6255</v>
      </c>
      <c r="C556" s="30" t="s">
        <v>3371</v>
      </c>
      <c r="D556" s="30" t="s">
        <v>6684</v>
      </c>
      <c r="E556" s="6" t="s">
        <v>1282</v>
      </c>
      <c r="F556" s="254" t="s">
        <v>6049</v>
      </c>
      <c r="G556" s="254" t="s">
        <v>5953</v>
      </c>
      <c r="H556" s="30" t="s">
        <v>814</v>
      </c>
      <c r="I556" s="6" t="s">
        <v>814</v>
      </c>
      <c r="J556" s="30" t="s">
        <v>6050</v>
      </c>
      <c r="K556" s="254"/>
      <c r="L556" s="254"/>
      <c r="M556" s="30" t="s">
        <v>814</v>
      </c>
      <c r="N556" s="6" t="s">
        <v>6685</v>
      </c>
      <c r="O556" s="6" t="s">
        <v>814</v>
      </c>
      <c r="P556" s="254" t="s">
        <v>5308</v>
      </c>
      <c r="Q556" s="187" t="s">
        <v>814</v>
      </c>
      <c r="R556" s="30" t="s">
        <v>814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814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6686</v>
      </c>
      <c r="B557" s="254" t="s">
        <v>6255</v>
      </c>
      <c r="C557" s="30" t="s">
        <v>3371</v>
      </c>
      <c r="D557" s="30" t="s">
        <v>6687</v>
      </c>
      <c r="E557" s="20" t="s">
        <v>6688</v>
      </c>
      <c r="F557" s="254" t="s">
        <v>6049</v>
      </c>
      <c r="G557" s="254" t="s">
        <v>5953</v>
      </c>
      <c r="H557" s="30" t="s">
        <v>814</v>
      </c>
      <c r="I557" s="6" t="s">
        <v>814</v>
      </c>
      <c r="J557" s="30" t="s">
        <v>6050</v>
      </c>
      <c r="K557" s="254"/>
      <c r="L557" s="254"/>
      <c r="M557" s="30" t="s">
        <v>814</v>
      </c>
      <c r="N557" s="6" t="s">
        <v>6689</v>
      </c>
      <c r="O557" s="6" t="s">
        <v>814</v>
      </c>
      <c r="P557" s="254" t="s">
        <v>5308</v>
      </c>
      <c r="Q557" s="187" t="s">
        <v>814</v>
      </c>
      <c r="R557" s="30" t="s">
        <v>814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814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6690</v>
      </c>
      <c r="B558" s="254" t="s">
        <v>6255</v>
      </c>
      <c r="C558" s="30" t="s">
        <v>3371</v>
      </c>
      <c r="D558" s="30" t="s">
        <v>6691</v>
      </c>
      <c r="E558" s="6" t="s">
        <v>1320</v>
      </c>
      <c r="F558" s="254" t="s">
        <v>6049</v>
      </c>
      <c r="G558" s="254" t="s">
        <v>5953</v>
      </c>
      <c r="H558" s="30" t="s">
        <v>814</v>
      </c>
      <c r="I558" s="6" t="s">
        <v>814</v>
      </c>
      <c r="J558" s="30" t="s">
        <v>6050</v>
      </c>
      <c r="K558" s="254"/>
      <c r="L558" s="254"/>
      <c r="M558" s="30" t="s">
        <v>814</v>
      </c>
      <c r="N558" s="6" t="s">
        <v>6692</v>
      </c>
      <c r="O558" s="6" t="s">
        <v>814</v>
      </c>
      <c r="P558" s="254" t="s">
        <v>5308</v>
      </c>
      <c r="Q558" s="187" t="s">
        <v>814</v>
      </c>
      <c r="R558" s="30" t="s">
        <v>814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814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6693</v>
      </c>
      <c r="B559" s="254" t="s">
        <v>6255</v>
      </c>
      <c r="C559" s="30" t="s">
        <v>3371</v>
      </c>
      <c r="D559" s="30" t="s">
        <v>6694</v>
      </c>
      <c r="E559" s="20" t="s">
        <v>1382</v>
      </c>
      <c r="F559" s="254" t="s">
        <v>6049</v>
      </c>
      <c r="G559" s="254" t="s">
        <v>5953</v>
      </c>
      <c r="H559" s="30" t="s">
        <v>814</v>
      </c>
      <c r="I559" s="6" t="s">
        <v>814</v>
      </c>
      <c r="J559" s="30" t="s">
        <v>6050</v>
      </c>
      <c r="K559" s="254"/>
      <c r="L559" s="254"/>
      <c r="M559" s="30" t="s">
        <v>814</v>
      </c>
      <c r="N559" s="6" t="s">
        <v>6695</v>
      </c>
      <c r="O559" s="6" t="s">
        <v>814</v>
      </c>
      <c r="P559" s="254" t="s">
        <v>5308</v>
      </c>
      <c r="Q559" s="187" t="s">
        <v>814</v>
      </c>
      <c r="R559" s="30" t="s">
        <v>814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814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6696</v>
      </c>
      <c r="B560" s="254" t="s">
        <v>6255</v>
      </c>
      <c r="C560" s="30" t="s">
        <v>3369</v>
      </c>
      <c r="D560" s="30" t="s">
        <v>6697</v>
      </c>
      <c r="E560" s="20" t="s">
        <v>498</v>
      </c>
      <c r="F560" s="254" t="s">
        <v>5952</v>
      </c>
      <c r="G560" s="254" t="s">
        <v>5953</v>
      </c>
      <c r="H560" s="30" t="s">
        <v>814</v>
      </c>
      <c r="I560" s="6" t="s">
        <v>814</v>
      </c>
      <c r="J560" s="30" t="s">
        <v>5954</v>
      </c>
      <c r="K560" s="254"/>
      <c r="L560" s="254"/>
      <c r="M560" s="30" t="s">
        <v>814</v>
      </c>
      <c r="N560" s="20" t="s">
        <v>6676</v>
      </c>
      <c r="O560" s="6" t="s">
        <v>814</v>
      </c>
      <c r="P560" s="254" t="s">
        <v>5308</v>
      </c>
      <c r="Q560" s="187" t="s">
        <v>814</v>
      </c>
      <c r="R560" s="30" t="s">
        <v>814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814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6698</v>
      </c>
      <c r="B561" s="254" t="s">
        <v>6255</v>
      </c>
      <c r="C561" s="30" t="s">
        <v>3369</v>
      </c>
      <c r="D561" s="30" t="s">
        <v>6699</v>
      </c>
      <c r="E561" s="20" t="s">
        <v>920</v>
      </c>
      <c r="F561" s="254" t="s">
        <v>5952</v>
      </c>
      <c r="G561" s="254" t="s">
        <v>5953</v>
      </c>
      <c r="H561" s="30" t="s">
        <v>814</v>
      </c>
      <c r="I561" s="6" t="s">
        <v>814</v>
      </c>
      <c r="J561" s="30" t="s">
        <v>5954</v>
      </c>
      <c r="K561" s="254"/>
      <c r="L561" s="254"/>
      <c r="M561" s="30" t="s">
        <v>814</v>
      </c>
      <c r="N561" s="20" t="s">
        <v>6678</v>
      </c>
      <c r="O561" s="6" t="s">
        <v>814</v>
      </c>
      <c r="P561" s="254" t="s">
        <v>5308</v>
      </c>
      <c r="Q561" s="187" t="s">
        <v>814</v>
      </c>
      <c r="R561" s="30" t="s">
        <v>814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814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6700</v>
      </c>
      <c r="B562" s="254" t="s">
        <v>6255</v>
      </c>
      <c r="C562" s="30" t="s">
        <v>3369</v>
      </c>
      <c r="D562" s="30" t="s">
        <v>6701</v>
      </c>
      <c r="E562" s="20" t="s">
        <v>6702</v>
      </c>
      <c r="F562" s="254" t="s">
        <v>6049</v>
      </c>
      <c r="G562" s="254" t="s">
        <v>5953</v>
      </c>
      <c r="H562" s="30" t="s">
        <v>814</v>
      </c>
      <c r="I562" s="6" t="s">
        <v>814</v>
      </c>
      <c r="J562" s="30" t="s">
        <v>6703</v>
      </c>
      <c r="K562" s="254"/>
      <c r="L562" s="254"/>
      <c r="M562" s="30" t="s">
        <v>814</v>
      </c>
      <c r="N562" s="6" t="s">
        <v>6704</v>
      </c>
      <c r="O562" s="6" t="s">
        <v>814</v>
      </c>
      <c r="P562" s="254" t="s">
        <v>5308</v>
      </c>
      <c r="Q562" s="187" t="s">
        <v>814</v>
      </c>
      <c r="R562" s="30" t="s">
        <v>814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814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6705</v>
      </c>
      <c r="B563" s="254" t="s">
        <v>6255</v>
      </c>
      <c r="C563" s="30" t="s">
        <v>3370</v>
      </c>
      <c r="D563" s="30" t="s">
        <v>6180</v>
      </c>
      <c r="E563" s="20" t="s">
        <v>498</v>
      </c>
      <c r="F563" s="254" t="s">
        <v>5952</v>
      </c>
      <c r="G563" s="254" t="s">
        <v>5953</v>
      </c>
      <c r="H563" s="30" t="s">
        <v>814</v>
      </c>
      <c r="I563" s="6" t="s">
        <v>814</v>
      </c>
      <c r="J563" s="30" t="s">
        <v>5954</v>
      </c>
      <c r="K563" s="254"/>
      <c r="L563" s="254"/>
      <c r="M563" s="30" t="s">
        <v>814</v>
      </c>
      <c r="N563" s="20" t="s">
        <v>6676</v>
      </c>
      <c r="O563" s="6" t="s">
        <v>814</v>
      </c>
      <c r="P563" s="254" t="s">
        <v>5308</v>
      </c>
      <c r="Q563" s="187" t="s">
        <v>814</v>
      </c>
      <c r="R563" s="30" t="s">
        <v>814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814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6706</v>
      </c>
      <c r="B564" s="254" t="s">
        <v>6255</v>
      </c>
      <c r="C564" s="30" t="s">
        <v>3370</v>
      </c>
      <c r="D564" s="30" t="s">
        <v>6183</v>
      </c>
      <c r="E564" s="20" t="s">
        <v>920</v>
      </c>
      <c r="F564" s="254" t="s">
        <v>5952</v>
      </c>
      <c r="G564" s="254" t="s">
        <v>5953</v>
      </c>
      <c r="H564" s="30" t="s">
        <v>814</v>
      </c>
      <c r="I564" s="6" t="s">
        <v>814</v>
      </c>
      <c r="J564" s="30" t="s">
        <v>5954</v>
      </c>
      <c r="K564" s="254"/>
      <c r="L564" s="254"/>
      <c r="M564" s="30" t="s">
        <v>814</v>
      </c>
      <c r="N564" s="20" t="s">
        <v>6678</v>
      </c>
      <c r="O564" s="6" t="s">
        <v>814</v>
      </c>
      <c r="P564" s="254" t="s">
        <v>5308</v>
      </c>
      <c r="Q564" s="187" t="s">
        <v>814</v>
      </c>
      <c r="R564" s="30" t="s">
        <v>814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814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6707</v>
      </c>
      <c r="B565" s="254" t="s">
        <v>6255</v>
      </c>
      <c r="C565" s="30" t="s">
        <v>6246</v>
      </c>
      <c r="D565" s="30" t="s">
        <v>6708</v>
      </c>
      <c r="E565" s="20" t="s">
        <v>6709</v>
      </c>
      <c r="F565" s="254" t="s">
        <v>6049</v>
      </c>
      <c r="G565" s="254" t="s">
        <v>5953</v>
      </c>
      <c r="H565" s="30" t="s">
        <v>814</v>
      </c>
      <c r="I565" s="6" t="s">
        <v>814</v>
      </c>
      <c r="J565" s="30" t="s">
        <v>6050</v>
      </c>
      <c r="K565" s="254"/>
      <c r="L565" s="254"/>
      <c r="M565" s="30" t="s">
        <v>814</v>
      </c>
      <c r="N565" s="6" t="s">
        <v>6710</v>
      </c>
      <c r="O565" s="6" t="s">
        <v>814</v>
      </c>
      <c r="P565" s="254" t="s">
        <v>5308</v>
      </c>
      <c r="Q565" s="187" t="s">
        <v>814</v>
      </c>
      <c r="R565" s="30" t="s">
        <v>814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814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6711</v>
      </c>
      <c r="B566" s="254" t="s">
        <v>6255</v>
      </c>
      <c r="C566" s="30" t="s">
        <v>6246</v>
      </c>
      <c r="D566" s="30" t="s">
        <v>6712</v>
      </c>
      <c r="E566" s="20" t="s">
        <v>6713</v>
      </c>
      <c r="F566" s="254" t="s">
        <v>6049</v>
      </c>
      <c r="G566" s="254" t="s">
        <v>5953</v>
      </c>
      <c r="H566" s="30" t="s">
        <v>814</v>
      </c>
      <c r="I566" s="6" t="s">
        <v>814</v>
      </c>
      <c r="J566" s="30" t="s">
        <v>6050</v>
      </c>
      <c r="K566" s="254"/>
      <c r="L566" s="254"/>
      <c r="M566" s="30" t="s">
        <v>814</v>
      </c>
      <c r="N566" s="6" t="s">
        <v>6714</v>
      </c>
      <c r="O566" s="6" t="s">
        <v>814</v>
      </c>
      <c r="P566" s="254" t="s">
        <v>5308</v>
      </c>
      <c r="Q566" s="187" t="s">
        <v>814</v>
      </c>
      <c r="R566" s="30" t="s">
        <v>814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814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6715</v>
      </c>
      <c r="B567" s="254" t="s">
        <v>6255</v>
      </c>
      <c r="C567" s="30" t="s">
        <v>6246</v>
      </c>
      <c r="D567" s="30" t="s">
        <v>6716</v>
      </c>
      <c r="E567" s="20" t="s">
        <v>6717</v>
      </c>
      <c r="F567" s="254" t="s">
        <v>6049</v>
      </c>
      <c r="G567" s="254" t="s">
        <v>5953</v>
      </c>
      <c r="H567" s="30" t="s">
        <v>814</v>
      </c>
      <c r="I567" s="6" t="s">
        <v>814</v>
      </c>
      <c r="J567" s="30" t="s">
        <v>6050</v>
      </c>
      <c r="K567" s="254"/>
      <c r="L567" s="254"/>
      <c r="M567" s="30" t="s">
        <v>814</v>
      </c>
      <c r="N567" s="6" t="s">
        <v>6718</v>
      </c>
      <c r="O567" s="6" t="s">
        <v>814</v>
      </c>
      <c r="P567" s="254" t="s">
        <v>5308</v>
      </c>
      <c r="Q567" s="187" t="s">
        <v>814</v>
      </c>
      <c r="R567" s="30" t="s">
        <v>814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814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6719</v>
      </c>
      <c r="B568" s="254" t="s">
        <v>6255</v>
      </c>
      <c r="C568" s="30" t="s">
        <v>6246</v>
      </c>
      <c r="D568" s="30" t="s">
        <v>6720</v>
      </c>
      <c r="E568" s="20" t="s">
        <v>6721</v>
      </c>
      <c r="F568" s="254" t="s">
        <v>6049</v>
      </c>
      <c r="G568" s="254" t="s">
        <v>5953</v>
      </c>
      <c r="H568" s="30" t="s">
        <v>814</v>
      </c>
      <c r="I568" s="6" t="s">
        <v>814</v>
      </c>
      <c r="J568" s="30" t="s">
        <v>6050</v>
      </c>
      <c r="K568" s="254"/>
      <c r="L568" s="254"/>
      <c r="M568" s="30" t="s">
        <v>814</v>
      </c>
      <c r="N568" s="6" t="s">
        <v>6722</v>
      </c>
      <c r="O568" s="6" t="s">
        <v>814</v>
      </c>
      <c r="P568" s="254" t="s">
        <v>5308</v>
      </c>
      <c r="Q568" s="187" t="s">
        <v>814</v>
      </c>
      <c r="R568" s="30" t="s">
        <v>814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814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6723</v>
      </c>
      <c r="B569" s="254" t="s">
        <v>6255</v>
      </c>
      <c r="C569" s="30" t="s">
        <v>6246</v>
      </c>
      <c r="D569" s="30" t="s">
        <v>6724</v>
      </c>
      <c r="E569" s="20" t="s">
        <v>6725</v>
      </c>
      <c r="F569" s="254" t="s">
        <v>6049</v>
      </c>
      <c r="G569" s="254" t="s">
        <v>5953</v>
      </c>
      <c r="H569" s="30" t="s">
        <v>814</v>
      </c>
      <c r="I569" s="6" t="s">
        <v>814</v>
      </c>
      <c r="J569" s="30" t="s">
        <v>6050</v>
      </c>
      <c r="K569" s="254"/>
      <c r="L569" s="254"/>
      <c r="M569" s="30" t="s">
        <v>814</v>
      </c>
      <c r="N569" s="6" t="s">
        <v>6726</v>
      </c>
      <c r="O569" s="6" t="s">
        <v>814</v>
      </c>
      <c r="P569" s="254" t="s">
        <v>5308</v>
      </c>
      <c r="Q569" s="187" t="s">
        <v>814</v>
      </c>
      <c r="R569" s="30" t="s">
        <v>814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814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6727</v>
      </c>
      <c r="B570" s="254" t="s">
        <v>6255</v>
      </c>
      <c r="C570" s="30" t="s">
        <v>6246</v>
      </c>
      <c r="D570" s="30" t="s">
        <v>6728</v>
      </c>
      <c r="E570" s="6" t="s">
        <v>2375</v>
      </c>
      <c r="F570" s="254" t="s">
        <v>6049</v>
      </c>
      <c r="G570" s="254" t="s">
        <v>5953</v>
      </c>
      <c r="H570" s="30" t="s">
        <v>814</v>
      </c>
      <c r="I570" s="6" t="s">
        <v>814</v>
      </c>
      <c r="J570" s="30" t="s">
        <v>6050</v>
      </c>
      <c r="K570" s="254"/>
      <c r="L570" s="254"/>
      <c r="M570" s="30" t="s">
        <v>814</v>
      </c>
      <c r="N570" s="6" t="s">
        <v>6729</v>
      </c>
      <c r="O570" s="6" t="s">
        <v>814</v>
      </c>
      <c r="P570" s="254" t="s">
        <v>5308</v>
      </c>
      <c r="Q570" s="33" t="n">
        <f aca="false">Sens_Rev!B17</f>
        <v>7</v>
      </c>
      <c r="R570" s="30" t="s">
        <v>814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5309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6730</v>
      </c>
      <c r="B571" s="254" t="s">
        <v>6255</v>
      </c>
      <c r="C571" s="30" t="s">
        <v>6246</v>
      </c>
      <c r="D571" s="30" t="s">
        <v>6731</v>
      </c>
      <c r="E571" s="20" t="s">
        <v>6732</v>
      </c>
      <c r="F571" s="254" t="s">
        <v>6049</v>
      </c>
      <c r="G571" s="254" t="s">
        <v>5953</v>
      </c>
      <c r="H571" s="30" t="s">
        <v>814</v>
      </c>
      <c r="I571" s="6" t="s">
        <v>814</v>
      </c>
      <c r="J571" s="30" t="s">
        <v>6050</v>
      </c>
      <c r="K571" s="254"/>
      <c r="L571" s="254"/>
      <c r="M571" s="30" t="s">
        <v>814</v>
      </c>
      <c r="N571" s="6" t="s">
        <v>6733</v>
      </c>
      <c r="O571" s="6" t="s">
        <v>814</v>
      </c>
      <c r="P571" s="254" t="s">
        <v>5308</v>
      </c>
      <c r="Q571" s="187" t="s">
        <v>814</v>
      </c>
      <c r="R571" s="30" t="s">
        <v>814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814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6734</v>
      </c>
      <c r="B572" s="254" t="s">
        <v>6255</v>
      </c>
      <c r="C572" s="30" t="s">
        <v>6735</v>
      </c>
      <c r="D572" s="30" t="s">
        <v>6736</v>
      </c>
      <c r="E572" s="20" t="s">
        <v>130</v>
      </c>
      <c r="F572" s="254" t="s">
        <v>6049</v>
      </c>
      <c r="G572" s="254" t="s">
        <v>5953</v>
      </c>
      <c r="H572" s="30" t="s">
        <v>814</v>
      </c>
      <c r="I572" s="6" t="s">
        <v>814</v>
      </c>
      <c r="J572" s="30" t="s">
        <v>6050</v>
      </c>
      <c r="K572" s="254"/>
      <c r="L572" s="254"/>
      <c r="M572" s="30" t="s">
        <v>814</v>
      </c>
      <c r="N572" s="20" t="s">
        <v>6737</v>
      </c>
      <c r="O572" s="6" t="s">
        <v>814</v>
      </c>
      <c r="P572" s="30" t="s">
        <v>814</v>
      </c>
      <c r="Q572" s="187" t="s">
        <v>814</v>
      </c>
      <c r="R572" s="30" t="s">
        <v>814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814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6738</v>
      </c>
      <c r="B573" s="254" t="s">
        <v>6255</v>
      </c>
      <c r="C573" s="30" t="s">
        <v>6735</v>
      </c>
      <c r="D573" s="30" t="s">
        <v>6739</v>
      </c>
      <c r="E573" s="6" t="s">
        <v>1113</v>
      </c>
      <c r="F573" s="254" t="s">
        <v>6049</v>
      </c>
      <c r="G573" s="254" t="s">
        <v>5953</v>
      </c>
      <c r="H573" s="30" t="s">
        <v>814</v>
      </c>
      <c r="I573" s="6" t="s">
        <v>814</v>
      </c>
      <c r="J573" s="30" t="s">
        <v>6050</v>
      </c>
      <c r="K573" s="254"/>
      <c r="L573" s="254"/>
      <c r="M573" s="30" t="s">
        <v>814</v>
      </c>
      <c r="N573" s="6" t="s">
        <v>6740</v>
      </c>
      <c r="O573" s="6" t="s">
        <v>814</v>
      </c>
      <c r="P573" s="254" t="s">
        <v>5308</v>
      </c>
      <c r="Q573" s="33" t="n">
        <f aca="false">Sensitivity!N37</f>
        <v>7</v>
      </c>
      <c r="R573" s="30" t="s">
        <v>814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5309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6741</v>
      </c>
      <c r="B574" s="254" t="s">
        <v>6742</v>
      </c>
      <c r="C574" s="30" t="s">
        <v>3244</v>
      </c>
      <c r="D574" s="30" t="s">
        <v>6743</v>
      </c>
      <c r="E574" s="20" t="s">
        <v>6744</v>
      </c>
      <c r="F574" s="30" t="s">
        <v>132</v>
      </c>
      <c r="G574" s="254" t="s">
        <v>5953</v>
      </c>
      <c r="H574" s="30" t="s">
        <v>5705</v>
      </c>
      <c r="I574" s="246" t="s">
        <v>6745</v>
      </c>
      <c r="J574" s="30" t="s">
        <v>5746</v>
      </c>
      <c r="K574" s="254" t="n">
        <v>4</v>
      </c>
      <c r="L574" s="254" t="n">
        <v>130</v>
      </c>
      <c r="M574" s="30" t="s">
        <v>6746</v>
      </c>
      <c r="N574" s="6" t="s">
        <v>6747</v>
      </c>
      <c r="O574" s="6" t="s">
        <v>814</v>
      </c>
      <c r="P574" s="30" t="s">
        <v>814</v>
      </c>
      <c r="Q574" s="187" t="s">
        <v>814</v>
      </c>
      <c r="R574" s="187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814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6748</v>
      </c>
      <c r="B575" s="254" t="s">
        <v>6742</v>
      </c>
      <c r="C575" s="30" t="s">
        <v>3244</v>
      </c>
      <c r="D575" s="30" t="s">
        <v>3199</v>
      </c>
      <c r="E575" s="6" t="s">
        <v>368</v>
      </c>
      <c r="F575" s="30" t="s">
        <v>137</v>
      </c>
      <c r="G575" s="254" t="s">
        <v>5305</v>
      </c>
      <c r="H575" s="30" t="s">
        <v>6079</v>
      </c>
      <c r="I575" s="20" t="s">
        <v>6749</v>
      </c>
      <c r="J575" s="30" t="s">
        <v>814</v>
      </c>
      <c r="K575" s="254"/>
      <c r="L575" s="254"/>
      <c r="M575" s="254" t="s">
        <v>5082</v>
      </c>
      <c r="N575" s="6" t="s">
        <v>6750</v>
      </c>
      <c r="O575" s="6" t="s">
        <v>814</v>
      </c>
      <c r="P575" s="254" t="s">
        <v>1440</v>
      </c>
      <c r="Q575" s="49" t="n">
        <f aca="false">Arch!E35</f>
        <v>576</v>
      </c>
      <c r="R575" s="187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5309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6751</v>
      </c>
      <c r="B576" s="254" t="s">
        <v>6742</v>
      </c>
      <c r="C576" s="30" t="s">
        <v>3244</v>
      </c>
      <c r="D576" s="30" t="s">
        <v>3247</v>
      </c>
      <c r="E576" s="6" t="s">
        <v>371</v>
      </c>
      <c r="F576" s="30" t="s">
        <v>132</v>
      </c>
      <c r="G576" s="254" t="s">
        <v>5305</v>
      </c>
      <c r="H576" s="30" t="s">
        <v>814</v>
      </c>
      <c r="I576" s="6" t="s">
        <v>814</v>
      </c>
      <c r="J576" s="30" t="s">
        <v>5771</v>
      </c>
      <c r="K576" s="256" t="n">
        <v>0.15</v>
      </c>
      <c r="L576" s="256" t="n">
        <v>0.5</v>
      </c>
      <c r="M576" s="30" t="s">
        <v>6752</v>
      </c>
      <c r="N576" s="6" t="s">
        <v>6753</v>
      </c>
      <c r="O576" s="6" t="s">
        <v>814</v>
      </c>
      <c r="P576" s="254" t="s">
        <v>5308</v>
      </c>
      <c r="Q576" s="197" t="n">
        <f aca="false">Arch!E36</f>
        <v>0.26</v>
      </c>
      <c r="R576" s="30" t="s">
        <v>814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5309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6754</v>
      </c>
      <c r="B577" s="254" t="s">
        <v>6742</v>
      </c>
      <c r="C577" s="30" t="s">
        <v>3244</v>
      </c>
      <c r="D577" s="30" t="s">
        <v>3202</v>
      </c>
      <c r="E577" s="6" t="s">
        <v>373</v>
      </c>
      <c r="F577" s="30" t="s">
        <v>132</v>
      </c>
      <c r="G577" s="254" t="s">
        <v>5305</v>
      </c>
      <c r="H577" s="30" t="s">
        <v>814</v>
      </c>
      <c r="I577" s="6" t="s">
        <v>814</v>
      </c>
      <c r="J577" s="30" t="s">
        <v>5771</v>
      </c>
      <c r="K577" s="254"/>
      <c r="L577" s="254"/>
      <c r="M577" s="254" t="s">
        <v>5082</v>
      </c>
      <c r="N577" s="6" t="s">
        <v>6755</v>
      </c>
      <c r="O577" s="6" t="s">
        <v>814</v>
      </c>
      <c r="P577" s="254" t="s">
        <v>5308</v>
      </c>
      <c r="Q577" s="49" t="n">
        <f aca="false">Arch!E37</f>
        <v>8</v>
      </c>
      <c r="R577" s="30" t="s">
        <v>814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5309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6756</v>
      </c>
      <c r="B578" s="254" t="s">
        <v>6742</v>
      </c>
      <c r="C578" s="30" t="s">
        <v>3244</v>
      </c>
      <c r="D578" s="30" t="s">
        <v>3368</v>
      </c>
      <c r="E578" s="6" t="s">
        <v>376</v>
      </c>
      <c r="F578" s="254" t="s">
        <v>377</v>
      </c>
      <c r="G578" s="254" t="s">
        <v>5305</v>
      </c>
      <c r="H578" s="30" t="s">
        <v>5603</v>
      </c>
      <c r="I578" s="20" t="s">
        <v>5335</v>
      </c>
      <c r="J578" s="30" t="s">
        <v>814</v>
      </c>
      <c r="K578" s="254"/>
      <c r="L578" s="254"/>
      <c r="M578" s="30" t="s">
        <v>814</v>
      </c>
      <c r="N578" s="6" t="s">
        <v>6757</v>
      </c>
      <c r="O578" s="6" t="s">
        <v>814</v>
      </c>
      <c r="P578" s="254" t="s">
        <v>1440</v>
      </c>
      <c r="Q578" s="49" t="n">
        <f aca="false">Arch!C38</f>
        <v>1</v>
      </c>
      <c r="R578" s="187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5337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6758</v>
      </c>
      <c r="B579" s="254" t="s">
        <v>6759</v>
      </c>
      <c r="C579" s="30" t="s">
        <v>3385</v>
      </c>
      <c r="D579" s="30" t="s">
        <v>3264</v>
      </c>
      <c r="E579" s="20" t="s">
        <v>2681</v>
      </c>
      <c r="F579" s="30" t="s">
        <v>122</v>
      </c>
      <c r="G579" s="254" t="s">
        <v>5305</v>
      </c>
      <c r="H579" s="30" t="s">
        <v>814</v>
      </c>
      <c r="I579" s="6" t="s">
        <v>814</v>
      </c>
      <c r="J579" s="30" t="s">
        <v>6760</v>
      </c>
      <c r="K579" s="254"/>
      <c r="L579" s="254"/>
      <c r="M579" s="254" t="s">
        <v>5082</v>
      </c>
      <c r="N579" s="6" t="s">
        <v>6761</v>
      </c>
      <c r="O579" s="6" t="s">
        <v>814</v>
      </c>
      <c r="P579" s="254" t="s">
        <v>5308</v>
      </c>
      <c r="Q579" s="187" t="str">
        <f aca="false">Alloc_In!C5</f>
        <v>OpenAI</v>
      </c>
      <c r="R579" s="30" t="s">
        <v>814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5309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6762</v>
      </c>
      <c r="B580" s="254" t="s">
        <v>6759</v>
      </c>
      <c r="C580" s="30" t="s">
        <v>3385</v>
      </c>
      <c r="D580" s="30" t="s">
        <v>3208</v>
      </c>
      <c r="E580" s="20" t="s">
        <v>6763</v>
      </c>
      <c r="F580" s="30" t="s">
        <v>132</v>
      </c>
      <c r="G580" s="254" t="s">
        <v>115</v>
      </c>
      <c r="H580" s="30" t="s">
        <v>814</v>
      </c>
      <c r="I580" s="6" t="s">
        <v>814</v>
      </c>
      <c r="J580" s="30" t="s">
        <v>6764</v>
      </c>
      <c r="K580" s="202" t="n">
        <f aca="false">Alloc_In!D6</f>
        <v>1</v>
      </c>
      <c r="L580" s="202" t="n">
        <f aca="false">Alloc_In!E6</f>
        <v>2</v>
      </c>
      <c r="M580" s="30" t="s">
        <v>814</v>
      </c>
      <c r="N580" s="6" t="s">
        <v>6765</v>
      </c>
      <c r="O580" s="6" t="s">
        <v>814</v>
      </c>
      <c r="P580" s="254" t="s">
        <v>1441</v>
      </c>
      <c r="Q580" s="202" t="n">
        <f aca="false">Alloc_In!C6</f>
        <v>1</v>
      </c>
      <c r="R580" s="30" t="s">
        <v>814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5309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6766</v>
      </c>
      <c r="B581" s="254" t="s">
        <v>6759</v>
      </c>
      <c r="C581" s="30" t="s">
        <v>3385</v>
      </c>
      <c r="D581" s="30" t="s">
        <v>6767</v>
      </c>
      <c r="E581" s="20" t="s">
        <v>6763</v>
      </c>
      <c r="F581" s="30" t="s">
        <v>132</v>
      </c>
      <c r="G581" s="254" t="s">
        <v>6264</v>
      </c>
      <c r="H581" s="30" t="s">
        <v>814</v>
      </c>
      <c r="I581" s="6" t="s">
        <v>814</v>
      </c>
      <c r="J581" s="30" t="s">
        <v>6764</v>
      </c>
      <c r="K581" s="254"/>
      <c r="L581" s="254"/>
      <c r="M581" s="30" t="s">
        <v>6768</v>
      </c>
      <c r="N581" s="6" t="s">
        <v>6769</v>
      </c>
      <c r="O581" s="6" t="s">
        <v>814</v>
      </c>
      <c r="P581" s="30" t="s">
        <v>814</v>
      </c>
      <c r="Q581" s="187" t="s">
        <v>814</v>
      </c>
      <c r="R581" s="30" t="s">
        <v>814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814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6770</v>
      </c>
      <c r="B582" s="254" t="s">
        <v>6759</v>
      </c>
      <c r="C582" s="30" t="s">
        <v>3385</v>
      </c>
      <c r="D582" s="30" t="s">
        <v>3344</v>
      </c>
      <c r="E582" s="20" t="s">
        <v>6771</v>
      </c>
      <c r="F582" s="30" t="s">
        <v>132</v>
      </c>
      <c r="G582" s="254" t="s">
        <v>115</v>
      </c>
      <c r="H582" s="30" t="s">
        <v>814</v>
      </c>
      <c r="I582" s="6" t="s">
        <v>814</v>
      </c>
      <c r="J582" s="30" t="s">
        <v>6772</v>
      </c>
      <c r="K582" s="202" t="n">
        <f aca="false">Alloc_In!D7</f>
        <v>0</v>
      </c>
      <c r="L582" s="202" t="n">
        <f aca="false">Alloc_In!E7</f>
        <v>6</v>
      </c>
      <c r="M582" s="30" t="s">
        <v>6773</v>
      </c>
      <c r="N582" s="6" t="s">
        <v>6774</v>
      </c>
      <c r="O582" s="6" t="s">
        <v>814</v>
      </c>
      <c r="P582" s="254" t="s">
        <v>1441</v>
      </c>
      <c r="Q582" s="202" t="n">
        <f aca="false">Alloc_In!C7</f>
        <v>2</v>
      </c>
      <c r="R582" s="30" t="s">
        <v>814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5309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6775</v>
      </c>
      <c r="B583" s="254" t="s">
        <v>6759</v>
      </c>
      <c r="C583" s="30" t="s">
        <v>3385</v>
      </c>
      <c r="D583" s="30" t="s">
        <v>6776</v>
      </c>
      <c r="E583" s="20" t="s">
        <v>6771</v>
      </c>
      <c r="F583" s="30" t="s">
        <v>132</v>
      </c>
      <c r="G583" s="254" t="s">
        <v>6264</v>
      </c>
      <c r="H583" s="30" t="s">
        <v>814</v>
      </c>
      <c r="I583" s="6" t="s">
        <v>814</v>
      </c>
      <c r="J583" s="30" t="s">
        <v>6772</v>
      </c>
      <c r="K583" s="254"/>
      <c r="L583" s="254"/>
      <c r="M583" s="30" t="s">
        <v>6777</v>
      </c>
      <c r="N583" s="6" t="s">
        <v>6778</v>
      </c>
      <c r="O583" s="6" t="s">
        <v>814</v>
      </c>
      <c r="P583" s="30" t="s">
        <v>814</v>
      </c>
      <c r="Q583" s="187" t="s">
        <v>814</v>
      </c>
      <c r="R583" s="30" t="s">
        <v>814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814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6779</v>
      </c>
      <c r="B584" s="254" t="s">
        <v>6759</v>
      </c>
      <c r="C584" s="30" t="s">
        <v>3385</v>
      </c>
      <c r="D584" s="30" t="s">
        <v>3209</v>
      </c>
      <c r="E584" s="20" t="s">
        <v>6780</v>
      </c>
      <c r="F584" s="30" t="s">
        <v>132</v>
      </c>
      <c r="G584" s="254" t="s">
        <v>115</v>
      </c>
      <c r="H584" s="30" t="s">
        <v>814</v>
      </c>
      <c r="I584" s="6" t="s">
        <v>814</v>
      </c>
      <c r="J584" s="30" t="s">
        <v>6781</v>
      </c>
      <c r="K584" s="202" t="n">
        <f aca="false">Alloc_In!D8</f>
        <v>0.5</v>
      </c>
      <c r="L584" s="202" t="n">
        <f aca="false">Alloc_In!E8</f>
        <v>7</v>
      </c>
      <c r="M584" s="30" t="s">
        <v>814</v>
      </c>
      <c r="N584" s="6" t="s">
        <v>6782</v>
      </c>
      <c r="O584" s="6" t="s">
        <v>814</v>
      </c>
      <c r="P584" s="254" t="s">
        <v>1441</v>
      </c>
      <c r="Q584" s="202" t="n">
        <f aca="false">Alloc_In!C8</f>
        <v>1</v>
      </c>
      <c r="R584" s="30" t="s">
        <v>814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5309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6783</v>
      </c>
      <c r="B585" s="254" t="s">
        <v>6759</v>
      </c>
      <c r="C585" s="30" t="s">
        <v>3385</v>
      </c>
      <c r="D585" s="30" t="s">
        <v>6784</v>
      </c>
      <c r="E585" s="20" t="s">
        <v>6780</v>
      </c>
      <c r="F585" s="30" t="s">
        <v>132</v>
      </c>
      <c r="G585" s="254" t="s">
        <v>6264</v>
      </c>
      <c r="H585" s="30" t="s">
        <v>814</v>
      </c>
      <c r="I585" s="6" t="s">
        <v>814</v>
      </c>
      <c r="J585" s="30" t="s">
        <v>6781</v>
      </c>
      <c r="K585" s="254"/>
      <c r="L585" s="254"/>
      <c r="M585" s="30" t="s">
        <v>6785</v>
      </c>
      <c r="N585" s="6" t="s">
        <v>6786</v>
      </c>
      <c r="O585" s="6" t="s">
        <v>814</v>
      </c>
      <c r="P585" s="30" t="s">
        <v>814</v>
      </c>
      <c r="Q585" s="187" t="s">
        <v>814</v>
      </c>
      <c r="R585" s="30" t="s">
        <v>814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814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6787</v>
      </c>
      <c r="B586" s="254" t="s">
        <v>6759</v>
      </c>
      <c r="C586" s="30" t="s">
        <v>3385</v>
      </c>
      <c r="D586" s="30" t="s">
        <v>3220</v>
      </c>
      <c r="E586" s="20" t="s">
        <v>6788</v>
      </c>
      <c r="F586" s="30" t="s">
        <v>132</v>
      </c>
      <c r="G586" s="254" t="s">
        <v>115</v>
      </c>
      <c r="H586" s="30" t="s">
        <v>814</v>
      </c>
      <c r="I586" s="6" t="s">
        <v>814</v>
      </c>
      <c r="J586" s="30" t="s">
        <v>6789</v>
      </c>
      <c r="K586" s="197" t="n">
        <f aca="false">Alloc_In!D13</f>
        <v>0</v>
      </c>
      <c r="L586" s="197" t="n">
        <f aca="false">Alloc_In!E13</f>
        <v>1</v>
      </c>
      <c r="M586" s="30" t="s">
        <v>814</v>
      </c>
      <c r="N586" s="6" t="s">
        <v>6790</v>
      </c>
      <c r="O586" s="6" t="s">
        <v>814</v>
      </c>
      <c r="P586" s="254" t="s">
        <v>5308</v>
      </c>
      <c r="Q586" s="197" t="n">
        <f aca="false">Alloc_In!C13</f>
        <v>0</v>
      </c>
      <c r="R586" s="30" t="s">
        <v>814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5309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6791</v>
      </c>
      <c r="B587" s="254" t="s">
        <v>6759</v>
      </c>
      <c r="C587" s="30" t="s">
        <v>3385</v>
      </c>
      <c r="D587" s="30" t="s">
        <v>6273</v>
      </c>
      <c r="E587" s="20" t="s">
        <v>6788</v>
      </c>
      <c r="F587" s="30" t="s">
        <v>132</v>
      </c>
      <c r="G587" s="254" t="s">
        <v>6264</v>
      </c>
      <c r="H587" s="30" t="s">
        <v>814</v>
      </c>
      <c r="I587" s="6" t="s">
        <v>814</v>
      </c>
      <c r="J587" s="30" t="s">
        <v>6789</v>
      </c>
      <c r="K587" s="254"/>
      <c r="L587" s="254"/>
      <c r="M587" s="30" t="s">
        <v>6274</v>
      </c>
      <c r="N587" s="6" t="s">
        <v>6790</v>
      </c>
      <c r="O587" s="6" t="s">
        <v>814</v>
      </c>
      <c r="P587" s="30" t="s">
        <v>814</v>
      </c>
      <c r="Q587" s="187" t="s">
        <v>814</v>
      </c>
      <c r="R587" s="30" t="s">
        <v>814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814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6792</v>
      </c>
      <c r="B588" s="254" t="s">
        <v>6759</v>
      </c>
      <c r="C588" s="30" t="s">
        <v>3385</v>
      </c>
      <c r="D588" s="30" t="s">
        <v>3249</v>
      </c>
      <c r="E588" s="6" t="s">
        <v>2705</v>
      </c>
      <c r="F588" s="30" t="s">
        <v>132</v>
      </c>
      <c r="G588" s="254" t="s">
        <v>115</v>
      </c>
      <c r="H588" s="30" t="s">
        <v>6793</v>
      </c>
      <c r="I588" s="20" t="s">
        <v>6794</v>
      </c>
      <c r="J588" s="30" t="s">
        <v>814</v>
      </c>
      <c r="K588" s="202" t="n">
        <f aca="false">Alloc_In!D14</f>
        <v>0.6</v>
      </c>
      <c r="L588" s="202" t="n">
        <f aca="false">Alloc_In!E14</f>
        <v>0.9</v>
      </c>
      <c r="M588" s="30" t="s">
        <v>814</v>
      </c>
      <c r="N588" s="6" t="s">
        <v>6795</v>
      </c>
      <c r="O588" s="6" t="s">
        <v>814</v>
      </c>
      <c r="P588" s="254" t="s">
        <v>5351</v>
      </c>
      <c r="Q588" s="202" t="n">
        <f aca="false">Alloc_In!C14</f>
        <v>0.75</v>
      </c>
      <c r="R588" s="187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5309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677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6796</v>
      </c>
      <c r="B589" s="254" t="s">
        <v>6759</v>
      </c>
      <c r="C589" s="30" t="s">
        <v>3385</v>
      </c>
      <c r="D589" s="30" t="s">
        <v>6280</v>
      </c>
      <c r="E589" s="6" t="s">
        <v>2705</v>
      </c>
      <c r="F589" s="30" t="s">
        <v>132</v>
      </c>
      <c r="G589" s="254" t="s">
        <v>6264</v>
      </c>
      <c r="H589" s="30" t="s">
        <v>814</v>
      </c>
      <c r="I589" s="6" t="s">
        <v>814</v>
      </c>
      <c r="J589" s="30" t="s">
        <v>6797</v>
      </c>
      <c r="K589" s="254"/>
      <c r="L589" s="254"/>
      <c r="M589" s="30" t="s">
        <v>6281</v>
      </c>
      <c r="N589" s="6" t="s">
        <v>6798</v>
      </c>
      <c r="O589" s="6" t="s">
        <v>814</v>
      </c>
      <c r="P589" s="30" t="s">
        <v>814</v>
      </c>
      <c r="Q589" s="187" t="s">
        <v>814</v>
      </c>
      <c r="R589" s="30" t="s">
        <v>814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814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6799</v>
      </c>
      <c r="B590" s="254" t="s">
        <v>6759</v>
      </c>
      <c r="C590" s="30" t="s">
        <v>3385</v>
      </c>
      <c r="D590" s="30" t="s">
        <v>3250</v>
      </c>
      <c r="E590" s="20" t="s">
        <v>6800</v>
      </c>
      <c r="F590" s="30" t="s">
        <v>132</v>
      </c>
      <c r="G590" s="254" t="s">
        <v>115</v>
      </c>
      <c r="H590" s="30" t="s">
        <v>6801</v>
      </c>
      <c r="I590" s="20" t="s">
        <v>6802</v>
      </c>
      <c r="J590" s="30" t="s">
        <v>814</v>
      </c>
      <c r="K590" s="49" t="n">
        <f aca="false">Alloc_In!D15</f>
        <v>2000</v>
      </c>
      <c r="L590" s="49" t="n">
        <f aca="false">Alloc_In!E15</f>
        <v>11000</v>
      </c>
      <c r="M590" s="30" t="s">
        <v>6803</v>
      </c>
      <c r="N590" s="6" t="s">
        <v>6804</v>
      </c>
      <c r="O590" s="6" t="s">
        <v>814</v>
      </c>
      <c r="P590" s="254" t="s">
        <v>1441</v>
      </c>
      <c r="Q590" s="49" t="n">
        <f aca="false">Alloc_In!C15</f>
        <v>4000</v>
      </c>
      <c r="R590" s="187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5309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679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6805</v>
      </c>
      <c r="B591" s="254" t="s">
        <v>6759</v>
      </c>
      <c r="C591" s="30" t="s">
        <v>3385</v>
      </c>
      <c r="D591" s="30" t="s">
        <v>6286</v>
      </c>
      <c r="E591" s="20" t="s">
        <v>6800</v>
      </c>
      <c r="F591" s="30" t="s">
        <v>132</v>
      </c>
      <c r="G591" s="254" t="s">
        <v>6264</v>
      </c>
      <c r="H591" s="30" t="s">
        <v>814</v>
      </c>
      <c r="I591" s="6" t="s">
        <v>814</v>
      </c>
      <c r="J591" s="30" t="s">
        <v>6806</v>
      </c>
      <c r="K591" s="254"/>
      <c r="L591" s="254"/>
      <c r="M591" s="30" t="s">
        <v>6287</v>
      </c>
      <c r="N591" s="6" t="s">
        <v>6807</v>
      </c>
      <c r="O591" s="6" t="s">
        <v>814</v>
      </c>
      <c r="P591" s="30" t="s">
        <v>814</v>
      </c>
      <c r="Q591" s="187" t="s">
        <v>814</v>
      </c>
      <c r="R591" s="30" t="s">
        <v>814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814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6808</v>
      </c>
      <c r="B592" s="254" t="s">
        <v>6759</v>
      </c>
      <c r="C592" s="30" t="s">
        <v>3385</v>
      </c>
      <c r="D592" s="30" t="s">
        <v>3251</v>
      </c>
      <c r="E592" s="6" t="s">
        <v>2709</v>
      </c>
      <c r="F592" s="30" t="s">
        <v>132</v>
      </c>
      <c r="G592" s="254" t="s">
        <v>115</v>
      </c>
      <c r="H592" s="30" t="s">
        <v>4174</v>
      </c>
      <c r="I592" s="20" t="s">
        <v>6809</v>
      </c>
      <c r="J592" s="30" t="s">
        <v>814</v>
      </c>
      <c r="K592" s="197" t="n">
        <f aca="false">Alloc_In!D16</f>
        <v>0.4</v>
      </c>
      <c r="L592" s="197" t="n">
        <f aca="false">Alloc_In!E16</f>
        <v>0.8</v>
      </c>
      <c r="M592" s="30" t="s">
        <v>814</v>
      </c>
      <c r="N592" s="20" t="s">
        <v>6810</v>
      </c>
      <c r="O592" s="6" t="s">
        <v>814</v>
      </c>
      <c r="P592" s="254" t="s">
        <v>1440</v>
      </c>
      <c r="Q592" s="197" t="n">
        <f aca="false">Alloc_In!C16</f>
        <v>0.6</v>
      </c>
      <c r="R592" s="187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5309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672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6811</v>
      </c>
      <c r="B593" s="254" t="s">
        <v>6759</v>
      </c>
      <c r="C593" s="30" t="s">
        <v>3385</v>
      </c>
      <c r="D593" s="30" t="s">
        <v>6812</v>
      </c>
      <c r="E593" s="6" t="s">
        <v>2709</v>
      </c>
      <c r="F593" s="30" t="s">
        <v>132</v>
      </c>
      <c r="G593" s="254" t="s">
        <v>6264</v>
      </c>
      <c r="H593" s="30" t="s">
        <v>814</v>
      </c>
      <c r="I593" s="6" t="s">
        <v>814</v>
      </c>
      <c r="J593" s="30" t="s">
        <v>6813</v>
      </c>
      <c r="K593" s="254"/>
      <c r="L593" s="254"/>
      <c r="M593" s="30" t="s">
        <v>6814</v>
      </c>
      <c r="N593" s="20" t="s">
        <v>6815</v>
      </c>
      <c r="O593" s="6" t="s">
        <v>814</v>
      </c>
      <c r="P593" s="30" t="s">
        <v>814</v>
      </c>
      <c r="Q593" s="187" t="s">
        <v>814</v>
      </c>
      <c r="R593" s="30" t="s">
        <v>814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814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6816</v>
      </c>
      <c r="B594" s="254" t="s">
        <v>6759</v>
      </c>
      <c r="C594" s="30" t="s">
        <v>3385</v>
      </c>
      <c r="D594" s="30" t="s">
        <v>6817</v>
      </c>
      <c r="E594" s="20" t="s">
        <v>6818</v>
      </c>
      <c r="F594" s="30" t="s">
        <v>180</v>
      </c>
      <c r="G594" s="254" t="s">
        <v>5953</v>
      </c>
      <c r="H594" s="30" t="s">
        <v>814</v>
      </c>
      <c r="I594" s="6" t="s">
        <v>814</v>
      </c>
      <c r="J594" s="30" t="s">
        <v>6819</v>
      </c>
      <c r="K594" s="254"/>
      <c r="L594" s="254"/>
      <c r="M594" s="254" t="s">
        <v>6820</v>
      </c>
      <c r="N594" s="6" t="s">
        <v>6821</v>
      </c>
      <c r="O594" s="6" t="s">
        <v>814</v>
      </c>
      <c r="P594" s="30" t="s">
        <v>814</v>
      </c>
      <c r="Q594" s="187" t="s">
        <v>814</v>
      </c>
      <c r="R594" s="30" t="s">
        <v>814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814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6822</v>
      </c>
      <c r="B595" s="254" t="s">
        <v>6759</v>
      </c>
      <c r="C595" s="30" t="s">
        <v>3385</v>
      </c>
      <c r="D595" s="30" t="s">
        <v>6823</v>
      </c>
      <c r="E595" s="20" t="s">
        <v>6818</v>
      </c>
      <c r="F595" s="30" t="s">
        <v>180</v>
      </c>
      <c r="G595" s="254" t="s">
        <v>6264</v>
      </c>
      <c r="H595" s="30" t="s">
        <v>814</v>
      </c>
      <c r="I595" s="6" t="s">
        <v>814</v>
      </c>
      <c r="J595" s="30" t="s">
        <v>5529</v>
      </c>
      <c r="K595" s="254"/>
      <c r="L595" s="254"/>
      <c r="M595" s="30" t="s">
        <v>6824</v>
      </c>
      <c r="N595" s="6" t="s">
        <v>6825</v>
      </c>
      <c r="O595" s="6" t="s">
        <v>814</v>
      </c>
      <c r="P595" s="30" t="s">
        <v>814</v>
      </c>
      <c r="Q595" s="187" t="s">
        <v>814</v>
      </c>
      <c r="R595" s="30" t="s">
        <v>814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814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6826</v>
      </c>
      <c r="B596" s="254" t="s">
        <v>6827</v>
      </c>
      <c r="C596" s="30" t="s">
        <v>3248</v>
      </c>
      <c r="D596" s="30" t="s">
        <v>3262</v>
      </c>
      <c r="E596" s="20" t="s">
        <v>6828</v>
      </c>
      <c r="F596" s="254" t="s">
        <v>132</v>
      </c>
      <c r="G596" s="254" t="s">
        <v>5305</v>
      </c>
      <c r="H596" s="30" t="s">
        <v>814</v>
      </c>
      <c r="I596" s="6" t="s">
        <v>814</v>
      </c>
      <c r="J596" s="30" t="s">
        <v>5103</v>
      </c>
      <c r="K596" s="256" t="n">
        <v>0.7</v>
      </c>
      <c r="L596" s="256" t="n">
        <v>1</v>
      </c>
      <c r="M596" s="254" t="s">
        <v>6829</v>
      </c>
      <c r="N596" s="6" t="s">
        <v>6830</v>
      </c>
      <c r="O596" s="6" t="s">
        <v>814</v>
      </c>
      <c r="P596" s="254" t="s">
        <v>1441</v>
      </c>
      <c r="Q596" s="195" t="n">
        <f aca="false">Serving!C28</f>
        <v>0.85</v>
      </c>
      <c r="R596" s="30" t="s">
        <v>814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5309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6831</v>
      </c>
      <c r="B597" s="254" t="s">
        <v>6832</v>
      </c>
      <c r="C597" s="30" t="s">
        <v>3377</v>
      </c>
      <c r="D597" s="30" t="s">
        <v>3406</v>
      </c>
      <c r="E597" s="20" t="s">
        <v>6833</v>
      </c>
      <c r="F597" s="254" t="s">
        <v>6049</v>
      </c>
      <c r="G597" s="254" t="s">
        <v>5305</v>
      </c>
      <c r="H597" s="30" t="s">
        <v>814</v>
      </c>
      <c r="I597" s="6" t="s">
        <v>814</v>
      </c>
      <c r="J597" s="30" t="s">
        <v>5107</v>
      </c>
      <c r="K597" s="256" t="n">
        <v>0.3</v>
      </c>
      <c r="L597" s="256" t="n">
        <v>1</v>
      </c>
      <c r="M597" s="254" t="s">
        <v>6834</v>
      </c>
      <c r="N597" s="6" t="s">
        <v>6835</v>
      </c>
      <c r="O597" s="6" t="s">
        <v>814</v>
      </c>
      <c r="P597" s="254" t="s">
        <v>1441</v>
      </c>
      <c r="Q597" s="195" t="n">
        <f aca="false">Cap_In!C63</f>
        <v>1</v>
      </c>
      <c r="R597" s="30" t="s">
        <v>814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5309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6836</v>
      </c>
      <c r="B598" s="254" t="s">
        <v>6832</v>
      </c>
      <c r="C598" s="30" t="s">
        <v>3377</v>
      </c>
      <c r="D598" s="30" t="s">
        <v>3407</v>
      </c>
      <c r="E598" s="20" t="s">
        <v>6837</v>
      </c>
      <c r="F598" s="254" t="s">
        <v>6049</v>
      </c>
      <c r="G598" s="254" t="s">
        <v>5305</v>
      </c>
      <c r="H598" s="30" t="s">
        <v>814</v>
      </c>
      <c r="I598" s="6" t="s">
        <v>814</v>
      </c>
      <c r="J598" s="30" t="s">
        <v>5107</v>
      </c>
      <c r="K598" s="256" t="n">
        <v>0.3</v>
      </c>
      <c r="L598" s="256" t="n">
        <v>1</v>
      </c>
      <c r="M598" s="254" t="s">
        <v>6834</v>
      </c>
      <c r="N598" s="6" t="s">
        <v>6838</v>
      </c>
      <c r="O598" s="6" t="s">
        <v>814</v>
      </c>
      <c r="P598" s="254" t="s">
        <v>1441</v>
      </c>
      <c r="Q598" s="195" t="n">
        <f aca="false">Cap_In!C64</f>
        <v>1</v>
      </c>
      <c r="R598" s="30" t="s">
        <v>814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5309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6839</v>
      </c>
      <c r="B599" s="254" t="s">
        <v>6840</v>
      </c>
      <c r="C599" s="30" t="s">
        <v>3263</v>
      </c>
      <c r="D599" s="30" t="s">
        <v>3282</v>
      </c>
      <c r="E599" s="20" t="s">
        <v>6841</v>
      </c>
      <c r="F599" s="30" t="s">
        <v>180</v>
      </c>
      <c r="G599" s="254" t="s">
        <v>5305</v>
      </c>
      <c r="H599" s="30" t="s">
        <v>6842</v>
      </c>
      <c r="I599" s="20" t="s">
        <v>6843</v>
      </c>
      <c r="J599" s="30" t="s">
        <v>6844</v>
      </c>
      <c r="K599" s="256" t="n">
        <v>0.7</v>
      </c>
      <c r="L599" s="256" t="n">
        <v>1</v>
      </c>
      <c r="M599" s="254" t="s">
        <v>6845</v>
      </c>
      <c r="N599" s="6" t="s">
        <v>6846</v>
      </c>
      <c r="O599" s="6" t="s">
        <v>814</v>
      </c>
      <c r="P599" s="254" t="s">
        <v>5351</v>
      </c>
      <c r="Q599" s="195" t="n">
        <f aca="false">Calib!F156</f>
        <v>0.75</v>
      </c>
      <c r="R599" s="187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5309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6847</v>
      </c>
      <c r="B600" s="208" t="s">
        <v>6848</v>
      </c>
      <c r="C600" s="30" t="s">
        <v>3385</v>
      </c>
      <c r="D600" s="30" t="s">
        <v>3257</v>
      </c>
      <c r="E600" s="246" t="s">
        <v>6849</v>
      </c>
      <c r="F600" s="30" t="s">
        <v>180</v>
      </c>
      <c r="G600" s="208" t="s">
        <v>115</v>
      </c>
      <c r="H600" s="30" t="s">
        <v>814</v>
      </c>
      <c r="I600" s="6" t="s">
        <v>814</v>
      </c>
      <c r="J600" s="30" t="s">
        <v>6850</v>
      </c>
      <c r="K600" s="195" t="n">
        <f aca="false">Alloc_In!D23</f>
        <v>0.73</v>
      </c>
      <c r="L600" s="195" t="n">
        <f aca="false">Alloc_In!E23</f>
        <v>1.17</v>
      </c>
      <c r="M600" s="30" t="s">
        <v>6851</v>
      </c>
      <c r="N600" s="6" t="s">
        <v>6852</v>
      </c>
      <c r="O600" s="6" t="s">
        <v>814</v>
      </c>
      <c r="P600" s="208" t="s">
        <v>5351</v>
      </c>
      <c r="Q600" s="195" t="n">
        <f aca="false">Alloc_In!C23</f>
        <v>0.85</v>
      </c>
      <c r="R600" s="30" t="s">
        <v>814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5309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6853</v>
      </c>
      <c r="B601" s="208" t="s">
        <v>6848</v>
      </c>
      <c r="C601" s="30" t="s">
        <v>3385</v>
      </c>
      <c r="D601" s="30" t="s">
        <v>6854</v>
      </c>
      <c r="E601" s="246" t="s">
        <v>6849</v>
      </c>
      <c r="F601" s="30" t="s">
        <v>180</v>
      </c>
      <c r="G601" s="208" t="s">
        <v>6264</v>
      </c>
      <c r="H601" s="30" t="s">
        <v>814</v>
      </c>
      <c r="I601" s="6" t="s">
        <v>814</v>
      </c>
      <c r="J601" s="30" t="s">
        <v>6850</v>
      </c>
      <c r="K601" s="208"/>
      <c r="L601" s="208"/>
      <c r="M601" s="30" t="s">
        <v>6855</v>
      </c>
      <c r="N601" s="6" t="s">
        <v>6856</v>
      </c>
      <c r="O601" s="6" t="s">
        <v>814</v>
      </c>
      <c r="P601" s="30" t="s">
        <v>814</v>
      </c>
      <c r="Q601" s="187" t="s">
        <v>814</v>
      </c>
      <c r="R601" s="30" t="s">
        <v>814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814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6857</v>
      </c>
      <c r="B602" s="208" t="s">
        <v>6848</v>
      </c>
      <c r="C602" s="30" t="s">
        <v>3385</v>
      </c>
      <c r="D602" s="30" t="s">
        <v>3260</v>
      </c>
      <c r="E602" s="246" t="s">
        <v>2716</v>
      </c>
      <c r="F602" s="30" t="s">
        <v>132</v>
      </c>
      <c r="G602" s="208" t="s">
        <v>115</v>
      </c>
      <c r="H602" s="30" t="s">
        <v>814</v>
      </c>
      <c r="I602" s="6" t="s">
        <v>814</v>
      </c>
      <c r="J602" s="30" t="s">
        <v>6850</v>
      </c>
      <c r="K602" s="195" t="n">
        <f aca="false">Alloc_In!D24</f>
        <v>0.3</v>
      </c>
      <c r="L602" s="195" t="n">
        <f aca="false">Alloc_In!E24</f>
        <v>0.65</v>
      </c>
      <c r="M602" s="30" t="s">
        <v>6858</v>
      </c>
      <c r="N602" s="6" t="s">
        <v>6859</v>
      </c>
      <c r="O602" s="6" t="s">
        <v>814</v>
      </c>
      <c r="P602" s="208" t="s">
        <v>5351</v>
      </c>
      <c r="Q602" s="195" t="n">
        <f aca="false">Alloc_In!C24</f>
        <v>0.41</v>
      </c>
      <c r="R602" s="30" t="s">
        <v>814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5309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6860</v>
      </c>
      <c r="B603" s="208" t="s">
        <v>6848</v>
      </c>
      <c r="C603" s="30" t="s">
        <v>3385</v>
      </c>
      <c r="D603" s="30" t="s">
        <v>6861</v>
      </c>
      <c r="E603" s="246" t="s">
        <v>2716</v>
      </c>
      <c r="F603" s="30" t="s">
        <v>132</v>
      </c>
      <c r="G603" s="208" t="s">
        <v>6264</v>
      </c>
      <c r="H603" s="30" t="s">
        <v>814</v>
      </c>
      <c r="I603" s="6" t="s">
        <v>814</v>
      </c>
      <c r="J603" s="30" t="s">
        <v>6850</v>
      </c>
      <c r="K603" s="208"/>
      <c r="L603" s="208"/>
      <c r="M603" s="30" t="s">
        <v>6862</v>
      </c>
      <c r="N603" s="6" t="s">
        <v>6863</v>
      </c>
      <c r="O603" s="6" t="s">
        <v>814</v>
      </c>
      <c r="P603" s="30" t="s">
        <v>814</v>
      </c>
      <c r="Q603" s="187" t="s">
        <v>814</v>
      </c>
      <c r="R603" s="30" t="s">
        <v>814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814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6864</v>
      </c>
      <c r="B604" s="208" t="s">
        <v>6848</v>
      </c>
      <c r="C604" s="30" t="s">
        <v>3385</v>
      </c>
      <c r="D604" s="30" t="s">
        <v>3397</v>
      </c>
      <c r="E604" s="246" t="s">
        <v>6865</v>
      </c>
      <c r="F604" s="30" t="s">
        <v>122</v>
      </c>
      <c r="G604" s="208" t="s">
        <v>5305</v>
      </c>
      <c r="H604" s="30" t="s">
        <v>814</v>
      </c>
      <c r="I604" s="6" t="s">
        <v>814</v>
      </c>
      <c r="J604" s="30" t="s">
        <v>6850</v>
      </c>
      <c r="K604" s="208"/>
      <c r="L604" s="208"/>
      <c r="M604" s="208" t="s">
        <v>6866</v>
      </c>
      <c r="N604" s="6" t="s">
        <v>6867</v>
      </c>
      <c r="O604" s="6" t="s">
        <v>814</v>
      </c>
      <c r="P604" s="208" t="s">
        <v>5308</v>
      </c>
      <c r="Q604" s="49" t="n">
        <f aca="false">Alloc_In!C25</f>
        <v>2000</v>
      </c>
      <c r="R604" s="30" t="s">
        <v>814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5309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6868</v>
      </c>
      <c r="B605" s="208" t="s">
        <v>6869</v>
      </c>
      <c r="C605" s="30" t="s">
        <v>3143</v>
      </c>
      <c r="D605" s="30" t="s">
        <v>3247</v>
      </c>
      <c r="E605" s="6" t="s">
        <v>196</v>
      </c>
      <c r="F605" s="208" t="s">
        <v>377</v>
      </c>
      <c r="G605" s="208" t="s">
        <v>5305</v>
      </c>
      <c r="H605" s="30" t="s">
        <v>6870</v>
      </c>
      <c r="I605" s="246" t="s">
        <v>5335</v>
      </c>
      <c r="J605" s="30" t="s">
        <v>6871</v>
      </c>
      <c r="K605" s="208"/>
      <c r="L605" s="208"/>
      <c r="M605" s="208" t="s">
        <v>6872</v>
      </c>
      <c r="N605" s="246" t="s">
        <v>6873</v>
      </c>
      <c r="O605" s="6" t="s">
        <v>814</v>
      </c>
      <c r="P605" s="208" t="s">
        <v>1440</v>
      </c>
      <c r="Q605" s="33" t="n">
        <f aca="false">Inputs!E36</f>
        <v>3</v>
      </c>
      <c r="R605" s="187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5337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6874</v>
      </c>
      <c r="B606" s="208" t="s">
        <v>6869</v>
      </c>
      <c r="C606" s="30" t="s">
        <v>3143</v>
      </c>
      <c r="D606" s="30" t="s">
        <v>3202</v>
      </c>
      <c r="E606" s="6" t="s">
        <v>198</v>
      </c>
      <c r="F606" s="30" t="s">
        <v>137</v>
      </c>
      <c r="G606" s="208" t="s">
        <v>115</v>
      </c>
      <c r="H606" s="30" t="s">
        <v>6870</v>
      </c>
      <c r="I606" s="246" t="s">
        <v>6875</v>
      </c>
      <c r="J606" s="30" t="s">
        <v>5370</v>
      </c>
      <c r="K606" s="261" t="n">
        <f aca="false">Inputs!$D$37</f>
        <v>0.0025</v>
      </c>
      <c r="L606" s="261" t="n">
        <f aca="false">Inputs!$F$37</f>
        <v>0.01</v>
      </c>
      <c r="M606" s="30" t="s">
        <v>6876</v>
      </c>
      <c r="N606" s="6" t="s">
        <v>199</v>
      </c>
      <c r="O606" s="6" t="s">
        <v>814</v>
      </c>
      <c r="P606" s="208" t="s">
        <v>1440</v>
      </c>
      <c r="Q606" s="261" t="n">
        <f aca="false">Inputs!E37</f>
        <v>0.005</v>
      </c>
      <c r="R606" s="187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5309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6877</v>
      </c>
      <c r="B607" s="208" t="s">
        <v>6869</v>
      </c>
      <c r="C607" s="30" t="s">
        <v>3143</v>
      </c>
      <c r="D607" s="30" t="s">
        <v>3201</v>
      </c>
      <c r="E607" s="6" t="s">
        <v>198</v>
      </c>
      <c r="F607" s="30" t="s">
        <v>137</v>
      </c>
      <c r="G607" s="208" t="s">
        <v>1440</v>
      </c>
      <c r="H607" s="30" t="s">
        <v>6870</v>
      </c>
      <c r="I607" s="246" t="s">
        <v>6875</v>
      </c>
      <c r="J607" s="30" t="s">
        <v>5370</v>
      </c>
      <c r="K607" s="208"/>
      <c r="L607" s="208"/>
      <c r="M607" s="30" t="s">
        <v>6878</v>
      </c>
      <c r="N607" s="6" t="s">
        <v>199</v>
      </c>
      <c r="O607" s="6" t="s">
        <v>814</v>
      </c>
      <c r="P607" s="208" t="s">
        <v>1440</v>
      </c>
      <c r="Q607" s="261" t="n">
        <f aca="false">Inputs!D37</f>
        <v>0.0025</v>
      </c>
      <c r="R607" s="187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5309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6879</v>
      </c>
      <c r="B608" s="208" t="s">
        <v>6869</v>
      </c>
      <c r="C608" s="30" t="s">
        <v>3143</v>
      </c>
      <c r="D608" s="30" t="s">
        <v>3203</v>
      </c>
      <c r="E608" s="6" t="s">
        <v>198</v>
      </c>
      <c r="F608" s="30" t="s">
        <v>137</v>
      </c>
      <c r="G608" s="208" t="s">
        <v>1441</v>
      </c>
      <c r="H608" s="30" t="s">
        <v>6870</v>
      </c>
      <c r="I608" s="246" t="s">
        <v>6875</v>
      </c>
      <c r="J608" s="30" t="s">
        <v>5370</v>
      </c>
      <c r="K608" s="208"/>
      <c r="L608" s="208"/>
      <c r="M608" s="30" t="s">
        <v>6880</v>
      </c>
      <c r="N608" s="6" t="s">
        <v>199</v>
      </c>
      <c r="O608" s="6" t="s">
        <v>814</v>
      </c>
      <c r="P608" s="208" t="s">
        <v>1440</v>
      </c>
      <c r="Q608" s="261" t="n">
        <f aca="false">Inputs!F37</f>
        <v>0.01</v>
      </c>
      <c r="R608" s="187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5309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6881</v>
      </c>
      <c r="B609" s="208" t="s">
        <v>6869</v>
      </c>
      <c r="C609" s="30" t="s">
        <v>3143</v>
      </c>
      <c r="D609" s="30" t="s">
        <v>3205</v>
      </c>
      <c r="E609" s="6" t="s">
        <v>200</v>
      </c>
      <c r="F609" s="30" t="s">
        <v>137</v>
      </c>
      <c r="G609" s="208" t="s">
        <v>115</v>
      </c>
      <c r="H609" s="30" t="s">
        <v>6882</v>
      </c>
      <c r="I609" s="246" t="s">
        <v>6883</v>
      </c>
      <c r="J609" s="30" t="s">
        <v>5370</v>
      </c>
      <c r="K609" s="261" t="n">
        <f aca="false">Inputs!$D$38</f>
        <v>0.02</v>
      </c>
      <c r="L609" s="261" t="n">
        <f aca="false">Inputs!$F$38</f>
        <v>0.05</v>
      </c>
      <c r="M609" s="30" t="s">
        <v>6884</v>
      </c>
      <c r="N609" s="6" t="s">
        <v>201</v>
      </c>
      <c r="O609" s="6" t="s">
        <v>814</v>
      </c>
      <c r="P609" s="208" t="s">
        <v>1440</v>
      </c>
      <c r="Q609" s="261" t="n">
        <f aca="false">Inputs!E38</f>
        <v>0.03</v>
      </c>
      <c r="R609" s="187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5309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6885</v>
      </c>
      <c r="B610" s="208" t="s">
        <v>6869</v>
      </c>
      <c r="C610" s="30" t="s">
        <v>3143</v>
      </c>
      <c r="D610" s="30" t="s">
        <v>3204</v>
      </c>
      <c r="E610" s="6" t="s">
        <v>200</v>
      </c>
      <c r="F610" s="30" t="s">
        <v>137</v>
      </c>
      <c r="G610" s="208" t="s">
        <v>1440</v>
      </c>
      <c r="H610" s="30" t="s">
        <v>6882</v>
      </c>
      <c r="I610" s="246" t="s">
        <v>6883</v>
      </c>
      <c r="J610" s="30" t="s">
        <v>5370</v>
      </c>
      <c r="K610" s="208"/>
      <c r="L610" s="208"/>
      <c r="M610" s="30" t="s">
        <v>6886</v>
      </c>
      <c r="N610" s="6" t="s">
        <v>201</v>
      </c>
      <c r="O610" s="6" t="s">
        <v>814</v>
      </c>
      <c r="P610" s="208" t="s">
        <v>1440</v>
      </c>
      <c r="Q610" s="261" t="n">
        <f aca="false">Inputs!D38</f>
        <v>0.02</v>
      </c>
      <c r="R610" s="187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5309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6887</v>
      </c>
      <c r="B611" s="208" t="s">
        <v>6869</v>
      </c>
      <c r="C611" s="30" t="s">
        <v>3143</v>
      </c>
      <c r="D611" s="30" t="s">
        <v>3206</v>
      </c>
      <c r="E611" s="6" t="s">
        <v>200</v>
      </c>
      <c r="F611" s="30" t="s">
        <v>137</v>
      </c>
      <c r="G611" s="208" t="s">
        <v>1441</v>
      </c>
      <c r="H611" s="30" t="s">
        <v>6882</v>
      </c>
      <c r="I611" s="246" t="s">
        <v>6883</v>
      </c>
      <c r="J611" s="30" t="s">
        <v>5370</v>
      </c>
      <c r="K611" s="208"/>
      <c r="L611" s="208"/>
      <c r="M611" s="30" t="s">
        <v>6888</v>
      </c>
      <c r="N611" s="6" t="s">
        <v>201</v>
      </c>
      <c r="O611" s="6" t="s">
        <v>814</v>
      </c>
      <c r="P611" s="208" t="s">
        <v>1440</v>
      </c>
      <c r="Q611" s="261" t="n">
        <f aca="false">Inputs!F38</f>
        <v>0.05</v>
      </c>
      <c r="R611" s="187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5309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6889</v>
      </c>
      <c r="B612" s="208" t="s">
        <v>6890</v>
      </c>
      <c r="C612" s="30" t="s">
        <v>3377</v>
      </c>
      <c r="D612" s="30" t="s">
        <v>6891</v>
      </c>
      <c r="E612" s="246" t="s">
        <v>6892</v>
      </c>
      <c r="F612" s="30" t="s">
        <v>132</v>
      </c>
      <c r="G612" s="208" t="s">
        <v>1441</v>
      </c>
      <c r="H612" s="30" t="s">
        <v>6893</v>
      </c>
      <c r="I612" s="246" t="s">
        <v>6894</v>
      </c>
      <c r="J612" s="30" t="s">
        <v>6895</v>
      </c>
      <c r="K612" s="208"/>
      <c r="L612" s="208"/>
      <c r="M612" s="30" t="s">
        <v>6896</v>
      </c>
      <c r="N612" s="6" t="s">
        <v>6897</v>
      </c>
      <c r="O612" s="6" t="s">
        <v>814</v>
      </c>
      <c r="P612" s="208" t="s">
        <v>5308</v>
      </c>
      <c r="Q612" s="199" t="n">
        <f aca="false">Cap_In!E70</f>
        <v>0.82</v>
      </c>
      <c r="R612" s="187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5309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706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6898</v>
      </c>
      <c r="B613" s="208" t="s">
        <v>6890</v>
      </c>
      <c r="C613" s="30" t="s">
        <v>3377</v>
      </c>
      <c r="D613" s="30" t="s">
        <v>6053</v>
      </c>
      <c r="E613" s="246" t="s">
        <v>1645</v>
      </c>
      <c r="F613" s="30" t="s">
        <v>132</v>
      </c>
      <c r="G613" s="208" t="s">
        <v>5305</v>
      </c>
      <c r="H613" s="30" t="s">
        <v>814</v>
      </c>
      <c r="I613" s="6" t="s">
        <v>814</v>
      </c>
      <c r="J613" s="30" t="s">
        <v>6895</v>
      </c>
      <c r="K613" s="208"/>
      <c r="L613" s="208"/>
      <c r="M613" s="208" t="s">
        <v>6899</v>
      </c>
      <c r="N613" s="6" t="s">
        <v>6900</v>
      </c>
      <c r="O613" s="6" t="s">
        <v>814</v>
      </c>
      <c r="P613" s="208" t="s">
        <v>5308</v>
      </c>
      <c r="Q613" s="33" t="n">
        <f aca="false">Cap_In!C100</f>
        <v>21</v>
      </c>
      <c r="R613" s="30" t="s">
        <v>814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5309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6901</v>
      </c>
      <c r="B614" s="208" t="s">
        <v>6890</v>
      </c>
      <c r="C614" s="30" t="s">
        <v>3377</v>
      </c>
      <c r="D614" s="30" t="s">
        <v>6059</v>
      </c>
      <c r="E614" s="246" t="s">
        <v>6902</v>
      </c>
      <c r="F614" s="30" t="s">
        <v>132</v>
      </c>
      <c r="G614" s="208" t="s">
        <v>5305</v>
      </c>
      <c r="H614" s="30" t="s">
        <v>814</v>
      </c>
      <c r="I614" s="6" t="s">
        <v>814</v>
      </c>
      <c r="J614" s="30" t="s">
        <v>6895</v>
      </c>
      <c r="K614" s="208"/>
      <c r="L614" s="208"/>
      <c r="M614" s="208" t="s">
        <v>6903</v>
      </c>
      <c r="N614" s="6" t="s">
        <v>6904</v>
      </c>
      <c r="O614" s="6" t="s">
        <v>814</v>
      </c>
      <c r="P614" s="208" t="s">
        <v>5308</v>
      </c>
      <c r="Q614" s="49" t="n">
        <f aca="false">Cap_In!C102</f>
        <v>200</v>
      </c>
      <c r="R614" s="30" t="s">
        <v>814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5309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6905</v>
      </c>
      <c r="B615" s="208" t="s">
        <v>6890</v>
      </c>
      <c r="C615" s="30" t="s">
        <v>3377</v>
      </c>
      <c r="D615" s="30" t="s">
        <v>6065</v>
      </c>
      <c r="E615" s="246" t="s">
        <v>6906</v>
      </c>
      <c r="F615" s="30" t="s">
        <v>132</v>
      </c>
      <c r="G615" s="208" t="s">
        <v>5305</v>
      </c>
      <c r="H615" s="30" t="s">
        <v>814</v>
      </c>
      <c r="I615" s="6" t="s">
        <v>814</v>
      </c>
      <c r="J615" s="30" t="s">
        <v>6895</v>
      </c>
      <c r="K615" s="208"/>
      <c r="L615" s="208"/>
      <c r="M615" s="208" t="s">
        <v>6907</v>
      </c>
      <c r="N615" s="6" t="s">
        <v>6908</v>
      </c>
      <c r="O615" s="6" t="s">
        <v>814</v>
      </c>
      <c r="P615" s="208" t="s">
        <v>5308</v>
      </c>
      <c r="Q615" s="199" t="n">
        <f aca="false">Cap_In!C104</f>
        <v>0.995</v>
      </c>
      <c r="R615" s="30" t="s">
        <v>814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5309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6909</v>
      </c>
      <c r="B616" s="208" t="s">
        <v>6910</v>
      </c>
      <c r="C616" s="30" t="s">
        <v>3377</v>
      </c>
      <c r="D616" s="30" t="s">
        <v>6911</v>
      </c>
      <c r="E616" s="246" t="s">
        <v>6912</v>
      </c>
      <c r="F616" s="30" t="s">
        <v>132</v>
      </c>
      <c r="G616" s="208" t="s">
        <v>115</v>
      </c>
      <c r="H616" s="30" t="s">
        <v>6913</v>
      </c>
      <c r="I616" s="246" t="s">
        <v>6914</v>
      </c>
      <c r="J616" s="30" t="s">
        <v>6915</v>
      </c>
      <c r="K616" s="199" t="n">
        <f aca="false">Cap_In!E127</f>
        <v>0.05</v>
      </c>
      <c r="L616" s="199" t="n">
        <f aca="false">Cap_In!D127</f>
        <v>0.2</v>
      </c>
      <c r="M616" s="30" t="s">
        <v>6916</v>
      </c>
      <c r="N616" s="6" t="s">
        <v>6917</v>
      </c>
      <c r="O616" s="6" t="s">
        <v>814</v>
      </c>
      <c r="P616" s="208" t="s">
        <v>5308</v>
      </c>
      <c r="Q616" s="199" t="n">
        <f aca="false">Cap_In!C127</f>
        <v>0.1</v>
      </c>
      <c r="R616" s="187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5309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718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6918</v>
      </c>
      <c r="B617" s="208" t="s">
        <v>6910</v>
      </c>
      <c r="C617" s="30" t="s">
        <v>3377</v>
      </c>
      <c r="D617" s="30" t="s">
        <v>6919</v>
      </c>
      <c r="E617" s="246" t="s">
        <v>6912</v>
      </c>
      <c r="F617" s="30" t="s">
        <v>132</v>
      </c>
      <c r="G617" s="208" t="s">
        <v>6264</v>
      </c>
      <c r="H617" s="30" t="s">
        <v>814</v>
      </c>
      <c r="I617" s="6" t="s">
        <v>814</v>
      </c>
      <c r="J617" s="30" t="s">
        <v>6915</v>
      </c>
      <c r="K617" s="208"/>
      <c r="L617" s="208"/>
      <c r="M617" s="30" t="s">
        <v>6920</v>
      </c>
      <c r="N617" s="6" t="s">
        <v>6917</v>
      </c>
      <c r="O617" s="6" t="s">
        <v>814</v>
      </c>
      <c r="P617" s="208" t="s">
        <v>5308</v>
      </c>
      <c r="Q617" s="187" t="s">
        <v>814</v>
      </c>
      <c r="R617" s="30" t="s">
        <v>814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814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6921</v>
      </c>
      <c r="B618" s="208" t="s">
        <v>6922</v>
      </c>
      <c r="C618" s="30" t="s">
        <v>3377</v>
      </c>
      <c r="D618" s="30" t="s">
        <v>6923</v>
      </c>
      <c r="E618" s="6" t="s">
        <v>1723</v>
      </c>
      <c r="F618" s="30" t="s">
        <v>132</v>
      </c>
      <c r="G618" s="208" t="s">
        <v>115</v>
      </c>
      <c r="H618" s="30" t="s">
        <v>6924</v>
      </c>
      <c r="I618" s="246" t="s">
        <v>6925</v>
      </c>
      <c r="J618" s="30" t="s">
        <v>6926</v>
      </c>
      <c r="K618" s="199" t="n">
        <f aca="false">Cap_In!D131</f>
        <v>0.05</v>
      </c>
      <c r="L618" s="199" t="n">
        <f aca="false">Cap_In!E131</f>
        <v>0.15</v>
      </c>
      <c r="M618" s="30" t="s">
        <v>6927</v>
      </c>
      <c r="N618" s="6" t="s">
        <v>6928</v>
      </c>
      <c r="O618" s="6" t="s">
        <v>814</v>
      </c>
      <c r="P618" s="208" t="s">
        <v>5308</v>
      </c>
      <c r="Q618" s="199" t="n">
        <f aca="false">Cap_In!C131</f>
        <v>0.1</v>
      </c>
      <c r="R618" s="187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5309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738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6929</v>
      </c>
      <c r="B619" s="208" t="s">
        <v>6922</v>
      </c>
      <c r="C619" s="30" t="s">
        <v>3377</v>
      </c>
      <c r="D619" s="30" t="s">
        <v>6930</v>
      </c>
      <c r="E619" s="6" t="s">
        <v>1723</v>
      </c>
      <c r="F619" s="30" t="s">
        <v>132</v>
      </c>
      <c r="G619" s="208" t="s">
        <v>6264</v>
      </c>
      <c r="H619" s="30" t="s">
        <v>814</v>
      </c>
      <c r="I619" s="6" t="s">
        <v>814</v>
      </c>
      <c r="J619" s="30" t="s">
        <v>6926</v>
      </c>
      <c r="K619" s="208"/>
      <c r="L619" s="208"/>
      <c r="M619" s="30" t="s">
        <v>6931</v>
      </c>
      <c r="N619" s="6" t="s">
        <v>6928</v>
      </c>
      <c r="O619" s="6" t="s">
        <v>814</v>
      </c>
      <c r="P619" s="208" t="s">
        <v>5308</v>
      </c>
      <c r="Q619" s="187" t="s">
        <v>814</v>
      </c>
      <c r="R619" s="30" t="s">
        <v>814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814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6932</v>
      </c>
      <c r="B620" s="208" t="s">
        <v>6922</v>
      </c>
      <c r="C620" s="30" t="s">
        <v>3377</v>
      </c>
      <c r="D620" s="30" t="s">
        <v>6933</v>
      </c>
      <c r="E620" s="246" t="s">
        <v>6934</v>
      </c>
      <c r="F620" s="30" t="s">
        <v>132</v>
      </c>
      <c r="G620" s="208" t="s">
        <v>115</v>
      </c>
      <c r="H620" s="30" t="s">
        <v>814</v>
      </c>
      <c r="I620" s="6" t="s">
        <v>814</v>
      </c>
      <c r="J620" s="30" t="s">
        <v>6935</v>
      </c>
      <c r="K620" s="199" t="n">
        <f aca="false">Cap_In!E132</f>
        <v>0.6</v>
      </c>
      <c r="L620" s="199" t="n">
        <f aca="false">Cap_In!D132</f>
        <v>0.9</v>
      </c>
      <c r="M620" s="30" t="s">
        <v>6936</v>
      </c>
      <c r="N620" s="6" t="s">
        <v>6937</v>
      </c>
      <c r="O620" s="6" t="s">
        <v>814</v>
      </c>
      <c r="P620" s="208" t="s">
        <v>5308</v>
      </c>
      <c r="Q620" s="199" t="n">
        <f aca="false">Cap_In!C132</f>
        <v>0.75</v>
      </c>
      <c r="R620" s="30" t="s">
        <v>814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5309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6938</v>
      </c>
      <c r="B621" s="208" t="s">
        <v>6922</v>
      </c>
      <c r="C621" s="30" t="s">
        <v>3377</v>
      </c>
      <c r="D621" s="30" t="s">
        <v>6939</v>
      </c>
      <c r="E621" s="246" t="s">
        <v>6934</v>
      </c>
      <c r="F621" s="30" t="s">
        <v>132</v>
      </c>
      <c r="G621" s="208" t="s">
        <v>6264</v>
      </c>
      <c r="H621" s="30" t="s">
        <v>814</v>
      </c>
      <c r="I621" s="6" t="s">
        <v>814</v>
      </c>
      <c r="J621" s="30" t="s">
        <v>6935</v>
      </c>
      <c r="K621" s="208"/>
      <c r="L621" s="208"/>
      <c r="M621" s="30" t="s">
        <v>6940</v>
      </c>
      <c r="N621" s="6" t="s">
        <v>6937</v>
      </c>
      <c r="O621" s="6" t="s">
        <v>814</v>
      </c>
      <c r="P621" s="208" t="s">
        <v>5308</v>
      </c>
      <c r="Q621" s="187" t="s">
        <v>814</v>
      </c>
      <c r="R621" s="30" t="s">
        <v>814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814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6941</v>
      </c>
      <c r="B622" s="208" t="s">
        <v>6922</v>
      </c>
      <c r="C622" s="30" t="s">
        <v>3377</v>
      </c>
      <c r="D622" s="30" t="s">
        <v>6942</v>
      </c>
      <c r="E622" s="6" t="s">
        <v>1727</v>
      </c>
      <c r="F622" s="30" t="s">
        <v>132</v>
      </c>
      <c r="G622" s="208" t="s">
        <v>115</v>
      </c>
      <c r="H622" s="30" t="s">
        <v>814</v>
      </c>
      <c r="I622" s="6" t="s">
        <v>814</v>
      </c>
      <c r="J622" s="30" t="s">
        <v>6926</v>
      </c>
      <c r="K622" s="46" t="n">
        <f aca="false">Cap_In!D133</f>
        <v>0</v>
      </c>
      <c r="L622" s="46" t="n">
        <f aca="false">Cap_In!E133</f>
        <v>1</v>
      </c>
      <c r="M622" s="30" t="s">
        <v>6943</v>
      </c>
      <c r="N622" s="6" t="s">
        <v>6944</v>
      </c>
      <c r="O622" s="6" t="s">
        <v>814</v>
      </c>
      <c r="P622" s="208" t="s">
        <v>5308</v>
      </c>
      <c r="Q622" s="46" t="n">
        <f aca="false">Cap_In!C133</f>
        <v>0.5</v>
      </c>
      <c r="R622" s="30" t="s">
        <v>814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5309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6945</v>
      </c>
      <c r="B623" s="208" t="s">
        <v>6922</v>
      </c>
      <c r="C623" s="30" t="s">
        <v>3377</v>
      </c>
      <c r="D623" s="30" t="s">
        <v>6946</v>
      </c>
      <c r="E623" s="6" t="s">
        <v>1727</v>
      </c>
      <c r="F623" s="30" t="s">
        <v>132</v>
      </c>
      <c r="G623" s="208" t="s">
        <v>6264</v>
      </c>
      <c r="H623" s="30" t="s">
        <v>814</v>
      </c>
      <c r="I623" s="6" t="s">
        <v>814</v>
      </c>
      <c r="J623" s="30" t="s">
        <v>6926</v>
      </c>
      <c r="K623" s="208"/>
      <c r="L623" s="208"/>
      <c r="M623" s="30" t="s">
        <v>6947</v>
      </c>
      <c r="N623" s="6" t="s">
        <v>6944</v>
      </c>
      <c r="O623" s="6" t="s">
        <v>814</v>
      </c>
      <c r="P623" s="208" t="s">
        <v>5308</v>
      </c>
      <c r="Q623" s="187" t="s">
        <v>814</v>
      </c>
      <c r="R623" s="30" t="s">
        <v>814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814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6948</v>
      </c>
      <c r="B624" s="208" t="s">
        <v>6922</v>
      </c>
      <c r="C624" s="30" t="s">
        <v>3377</v>
      </c>
      <c r="D624" s="30" t="s">
        <v>6949</v>
      </c>
      <c r="E624" s="246" t="s">
        <v>6950</v>
      </c>
      <c r="F624" s="30" t="s">
        <v>132</v>
      </c>
      <c r="G624" s="208" t="s">
        <v>5305</v>
      </c>
      <c r="H624" s="30" t="s">
        <v>814</v>
      </c>
      <c r="I624" s="6" t="s">
        <v>814</v>
      </c>
      <c r="J624" s="30" t="s">
        <v>6951</v>
      </c>
      <c r="K624" s="208"/>
      <c r="L624" s="208"/>
      <c r="M624" s="208" t="s">
        <v>6952</v>
      </c>
      <c r="N624" s="6" t="s">
        <v>6953</v>
      </c>
      <c r="O624" s="6" t="s">
        <v>814</v>
      </c>
      <c r="P624" s="208" t="s">
        <v>5308</v>
      </c>
      <c r="Q624" s="49" t="n">
        <f aca="false">Cap_In!C154</f>
        <v>20</v>
      </c>
      <c r="R624" s="30" t="s">
        <v>814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5309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6954</v>
      </c>
      <c r="B625" s="208" t="s">
        <v>6922</v>
      </c>
      <c r="C625" s="30" t="s">
        <v>3377</v>
      </c>
      <c r="D625" s="30" t="s">
        <v>6955</v>
      </c>
      <c r="E625" s="246" t="s">
        <v>6956</v>
      </c>
      <c r="F625" s="30" t="s">
        <v>132</v>
      </c>
      <c r="G625" s="208" t="s">
        <v>5305</v>
      </c>
      <c r="H625" s="30" t="s">
        <v>814</v>
      </c>
      <c r="I625" s="6" t="s">
        <v>814</v>
      </c>
      <c r="J625" s="30" t="s">
        <v>6951</v>
      </c>
      <c r="K625" s="208"/>
      <c r="L625" s="208"/>
      <c r="M625" s="208" t="s">
        <v>6957</v>
      </c>
      <c r="N625" s="6" t="s">
        <v>6953</v>
      </c>
      <c r="O625" s="6" t="s">
        <v>814</v>
      </c>
      <c r="P625" s="208" t="s">
        <v>5308</v>
      </c>
      <c r="Q625" s="49" t="n">
        <f aca="false">Cap_In!C155</f>
        <v>700</v>
      </c>
      <c r="R625" s="30" t="s">
        <v>814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5309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6958</v>
      </c>
      <c r="B626" s="208" t="s">
        <v>6922</v>
      </c>
      <c r="C626" s="30" t="s">
        <v>3377</v>
      </c>
      <c r="D626" s="30" t="s">
        <v>3279</v>
      </c>
      <c r="E626" s="246" t="s">
        <v>6959</v>
      </c>
      <c r="F626" s="30" t="s">
        <v>132</v>
      </c>
      <c r="G626" s="208" t="s">
        <v>5305</v>
      </c>
      <c r="H626" s="30" t="s">
        <v>814</v>
      </c>
      <c r="I626" s="6" t="s">
        <v>814</v>
      </c>
      <c r="J626" s="30" t="s">
        <v>6951</v>
      </c>
      <c r="K626" s="208"/>
      <c r="L626" s="208"/>
      <c r="M626" s="208" t="s">
        <v>6960</v>
      </c>
      <c r="N626" s="6" t="s">
        <v>6953</v>
      </c>
      <c r="O626" s="6" t="s">
        <v>814</v>
      </c>
      <c r="P626" s="208" t="s">
        <v>5308</v>
      </c>
      <c r="Q626" s="49" t="n">
        <f aca="false">Cap_In!C156</f>
        <v>200</v>
      </c>
      <c r="R626" s="30" t="s">
        <v>814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5309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6961</v>
      </c>
      <c r="B627" s="208" t="s">
        <v>6922</v>
      </c>
      <c r="C627" s="30" t="s">
        <v>3377</v>
      </c>
      <c r="D627" s="30" t="s">
        <v>6962</v>
      </c>
      <c r="E627" s="246" t="s">
        <v>6963</v>
      </c>
      <c r="F627" s="30" t="s">
        <v>132</v>
      </c>
      <c r="G627" s="208" t="s">
        <v>5305</v>
      </c>
      <c r="H627" s="30" t="s">
        <v>814</v>
      </c>
      <c r="I627" s="6" t="s">
        <v>814</v>
      </c>
      <c r="J627" s="30" t="s">
        <v>6951</v>
      </c>
      <c r="K627" s="208"/>
      <c r="L627" s="208"/>
      <c r="M627" s="208" t="s">
        <v>6964</v>
      </c>
      <c r="N627" s="6" t="s">
        <v>6953</v>
      </c>
      <c r="O627" s="6" t="s">
        <v>814</v>
      </c>
      <c r="P627" s="208" t="s">
        <v>5308</v>
      </c>
      <c r="Q627" s="49" t="n">
        <f aca="false">Cap_In!C157</f>
        <v>14000</v>
      </c>
      <c r="R627" s="30" t="s">
        <v>814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5309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6965</v>
      </c>
      <c r="B628" s="208" t="s">
        <v>6922</v>
      </c>
      <c r="C628" s="30" t="s">
        <v>3377</v>
      </c>
      <c r="D628" s="30" t="s">
        <v>6966</v>
      </c>
      <c r="E628" s="246" t="s">
        <v>6967</v>
      </c>
      <c r="F628" s="30" t="s">
        <v>132</v>
      </c>
      <c r="G628" s="208" t="s">
        <v>5305</v>
      </c>
      <c r="H628" s="30" t="s">
        <v>6968</v>
      </c>
      <c r="I628" s="246" t="s">
        <v>6969</v>
      </c>
      <c r="J628" s="30" t="s">
        <v>6926</v>
      </c>
      <c r="K628" s="208"/>
      <c r="L628" s="208"/>
      <c r="M628" s="208" t="s">
        <v>6970</v>
      </c>
      <c r="N628" s="6" t="s">
        <v>6971</v>
      </c>
      <c r="O628" s="6" t="s">
        <v>814</v>
      </c>
      <c r="P628" s="208" t="s">
        <v>5308</v>
      </c>
      <c r="Q628" s="46" t="n">
        <f aca="false">Cap_In!F185</f>
        <v>36</v>
      </c>
      <c r="R628" s="187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5309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709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6972</v>
      </c>
      <c r="B629" s="208" t="s">
        <v>6922</v>
      </c>
      <c r="C629" s="30" t="s">
        <v>3377</v>
      </c>
      <c r="D629" s="30" t="s">
        <v>6973</v>
      </c>
      <c r="E629" s="246" t="s">
        <v>6974</v>
      </c>
      <c r="F629" s="30" t="s">
        <v>132</v>
      </c>
      <c r="G629" s="208" t="s">
        <v>5305</v>
      </c>
      <c r="H629" s="30" t="s">
        <v>6975</v>
      </c>
      <c r="I629" s="246" t="s">
        <v>6976</v>
      </c>
      <c r="J629" s="30" t="s">
        <v>6926</v>
      </c>
      <c r="K629" s="208"/>
      <c r="L629" s="208"/>
      <c r="M629" s="208" t="s">
        <v>6977</v>
      </c>
      <c r="N629" s="6" t="s">
        <v>6978</v>
      </c>
      <c r="O629" s="6" t="s">
        <v>814</v>
      </c>
      <c r="P629" s="208" t="s">
        <v>5308</v>
      </c>
      <c r="Q629" s="187" t="s">
        <v>814</v>
      </c>
      <c r="R629" s="187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814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690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6979</v>
      </c>
      <c r="B630" s="208" t="s">
        <v>6922</v>
      </c>
      <c r="C630" s="30" t="s">
        <v>3377</v>
      </c>
      <c r="D630" s="30" t="s">
        <v>6980</v>
      </c>
      <c r="E630" s="246" t="s">
        <v>6981</v>
      </c>
      <c r="F630" s="30" t="s">
        <v>132</v>
      </c>
      <c r="G630" s="208" t="s">
        <v>5305</v>
      </c>
      <c r="H630" s="30" t="s">
        <v>6924</v>
      </c>
      <c r="I630" s="246" t="s">
        <v>6982</v>
      </c>
      <c r="J630" s="30" t="s">
        <v>6926</v>
      </c>
      <c r="K630" s="208"/>
      <c r="L630" s="208"/>
      <c r="M630" s="208" t="s">
        <v>6983</v>
      </c>
      <c r="N630" s="6" t="s">
        <v>6984</v>
      </c>
      <c r="O630" s="6" t="s">
        <v>814</v>
      </c>
      <c r="P630" s="208" t="s">
        <v>5308</v>
      </c>
      <c r="Q630" s="187" t="s">
        <v>814</v>
      </c>
      <c r="R630" s="187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814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738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6985</v>
      </c>
      <c r="B631" s="208" t="s">
        <v>6922</v>
      </c>
      <c r="C631" s="30" t="s">
        <v>3377</v>
      </c>
      <c r="D631" s="30" t="s">
        <v>6986</v>
      </c>
      <c r="E631" s="6" t="s">
        <v>1872</v>
      </c>
      <c r="F631" s="30" t="s">
        <v>132</v>
      </c>
      <c r="G631" s="208" t="s">
        <v>5305</v>
      </c>
      <c r="H631" s="30" t="s">
        <v>6987</v>
      </c>
      <c r="I631" s="246" t="s">
        <v>6988</v>
      </c>
      <c r="J631" s="30" t="s">
        <v>6926</v>
      </c>
      <c r="K631" s="208"/>
      <c r="L631" s="208"/>
      <c r="M631" s="208" t="s">
        <v>6989</v>
      </c>
      <c r="N631" s="6" t="s">
        <v>6990</v>
      </c>
      <c r="O631" s="6" t="s">
        <v>814</v>
      </c>
      <c r="P631" s="208" t="s">
        <v>5308</v>
      </c>
      <c r="Q631" s="217" t="n">
        <f aca="false">Cap_In!F195</f>
        <v>1.3</v>
      </c>
      <c r="R631" s="187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5309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678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6991</v>
      </c>
      <c r="B632" s="208" t="s">
        <v>6922</v>
      </c>
      <c r="C632" s="30" t="s">
        <v>3377</v>
      </c>
      <c r="D632" s="30" t="s">
        <v>6992</v>
      </c>
      <c r="E632" s="6" t="s">
        <v>1877</v>
      </c>
      <c r="F632" s="30" t="s">
        <v>132</v>
      </c>
      <c r="G632" s="208" t="s">
        <v>5305</v>
      </c>
      <c r="H632" s="30" t="s">
        <v>6801</v>
      </c>
      <c r="I632" s="6" t="s">
        <v>6993</v>
      </c>
      <c r="J632" s="30" t="s">
        <v>6926</v>
      </c>
      <c r="K632" s="208"/>
      <c r="L632" s="208"/>
      <c r="M632" s="208" t="s">
        <v>6994</v>
      </c>
      <c r="N632" s="6" t="s">
        <v>6995</v>
      </c>
      <c r="O632" s="6" t="s">
        <v>814</v>
      </c>
      <c r="P632" s="208" t="s">
        <v>5308</v>
      </c>
      <c r="Q632" s="187" t="s">
        <v>814</v>
      </c>
      <c r="R632" s="187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814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679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6996</v>
      </c>
      <c r="B633" s="208" t="s">
        <v>6922</v>
      </c>
      <c r="C633" s="30" t="s">
        <v>3377</v>
      </c>
      <c r="D633" s="30" t="s">
        <v>6997</v>
      </c>
      <c r="E633" s="246" t="s">
        <v>6998</v>
      </c>
      <c r="F633" s="208" t="s">
        <v>6999</v>
      </c>
      <c r="G633" s="208" t="s">
        <v>5305</v>
      </c>
      <c r="H633" s="30" t="s">
        <v>814</v>
      </c>
      <c r="I633" s="6" t="s">
        <v>814</v>
      </c>
      <c r="J633" s="30" t="s">
        <v>6926</v>
      </c>
      <c r="K633" s="208"/>
      <c r="L633" s="208"/>
      <c r="M633" s="208" t="s">
        <v>7000</v>
      </c>
      <c r="N633" s="6" t="s">
        <v>7001</v>
      </c>
      <c r="O633" s="6" t="s">
        <v>814</v>
      </c>
      <c r="P633" s="208" t="s">
        <v>5308</v>
      </c>
      <c r="Q633" s="187" t="s">
        <v>814</v>
      </c>
      <c r="R633" s="30" t="s">
        <v>814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814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7002</v>
      </c>
      <c r="B634" s="208" t="s">
        <v>6922</v>
      </c>
      <c r="C634" s="30" t="s">
        <v>3377</v>
      </c>
      <c r="D634" s="30" t="s">
        <v>7003</v>
      </c>
      <c r="E634" s="6" t="s">
        <v>1913</v>
      </c>
      <c r="F634" s="30" t="s">
        <v>132</v>
      </c>
      <c r="G634" s="208" t="s">
        <v>5305</v>
      </c>
      <c r="H634" s="30" t="s">
        <v>814</v>
      </c>
      <c r="I634" s="6" t="s">
        <v>814</v>
      </c>
      <c r="J634" s="30" t="s">
        <v>6926</v>
      </c>
      <c r="K634" s="208"/>
      <c r="L634" s="208"/>
      <c r="M634" s="208" t="s">
        <v>7004</v>
      </c>
      <c r="N634" s="6" t="s">
        <v>7005</v>
      </c>
      <c r="O634" s="6" t="s">
        <v>814</v>
      </c>
      <c r="P634" s="208" t="s">
        <v>5308</v>
      </c>
      <c r="Q634" s="199" t="n">
        <f aca="false">Cap_In!D211</f>
        <v>0.25</v>
      </c>
      <c r="R634" s="30" t="s">
        <v>814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5309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7006</v>
      </c>
      <c r="B635" s="208" t="s">
        <v>6922</v>
      </c>
      <c r="C635" s="30" t="s">
        <v>3377</v>
      </c>
      <c r="D635" s="30" t="s">
        <v>7007</v>
      </c>
      <c r="E635" s="6" t="s">
        <v>1916</v>
      </c>
      <c r="F635" s="30" t="s">
        <v>132</v>
      </c>
      <c r="G635" s="208" t="s">
        <v>5305</v>
      </c>
      <c r="H635" s="30" t="s">
        <v>814</v>
      </c>
      <c r="I635" s="6" t="s">
        <v>814</v>
      </c>
      <c r="J635" s="30" t="s">
        <v>6926</v>
      </c>
      <c r="K635" s="208"/>
      <c r="L635" s="208"/>
      <c r="M635" s="208" t="s">
        <v>7008</v>
      </c>
      <c r="N635" s="6" t="s">
        <v>7005</v>
      </c>
      <c r="O635" s="6" t="s">
        <v>814</v>
      </c>
      <c r="P635" s="208" t="s">
        <v>5308</v>
      </c>
      <c r="Q635" s="199" t="n">
        <f aca="false">Cap_In!D212</f>
        <v>0.45</v>
      </c>
      <c r="R635" s="30" t="s">
        <v>814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5309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7009</v>
      </c>
      <c r="B636" s="208" t="s">
        <v>6922</v>
      </c>
      <c r="C636" s="30" t="s">
        <v>3377</v>
      </c>
      <c r="D636" s="30" t="s">
        <v>7010</v>
      </c>
      <c r="E636" s="6" t="s">
        <v>1919</v>
      </c>
      <c r="F636" s="30" t="s">
        <v>132</v>
      </c>
      <c r="G636" s="208" t="s">
        <v>5305</v>
      </c>
      <c r="H636" s="30" t="s">
        <v>814</v>
      </c>
      <c r="I636" s="6" t="s">
        <v>814</v>
      </c>
      <c r="J636" s="30" t="s">
        <v>6926</v>
      </c>
      <c r="K636" s="208"/>
      <c r="L636" s="208"/>
      <c r="M636" s="208" t="s">
        <v>7004</v>
      </c>
      <c r="N636" s="6" t="s">
        <v>7005</v>
      </c>
      <c r="O636" s="6" t="s">
        <v>814</v>
      </c>
      <c r="P636" s="208" t="s">
        <v>5308</v>
      </c>
      <c r="Q636" s="199" t="n">
        <f aca="false">Cap_In!D213</f>
        <v>0.25</v>
      </c>
      <c r="R636" s="30" t="s">
        <v>814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5309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7011</v>
      </c>
      <c r="B637" s="208" t="s">
        <v>6922</v>
      </c>
      <c r="C637" s="30" t="s">
        <v>3377</v>
      </c>
      <c r="D637" s="30" t="s">
        <v>7012</v>
      </c>
      <c r="E637" s="6" t="s">
        <v>1922</v>
      </c>
      <c r="F637" s="30" t="s">
        <v>132</v>
      </c>
      <c r="G637" s="208" t="s">
        <v>5305</v>
      </c>
      <c r="H637" s="30" t="s">
        <v>814</v>
      </c>
      <c r="I637" s="6" t="s">
        <v>814</v>
      </c>
      <c r="J637" s="30" t="s">
        <v>6926</v>
      </c>
      <c r="K637" s="208"/>
      <c r="L637" s="208"/>
      <c r="M637" s="208" t="s">
        <v>7013</v>
      </c>
      <c r="N637" s="6" t="s">
        <v>7005</v>
      </c>
      <c r="O637" s="6" t="s">
        <v>814</v>
      </c>
      <c r="P637" s="208" t="s">
        <v>5308</v>
      </c>
      <c r="Q637" s="199" t="n">
        <f aca="false">Cap_In!D214</f>
        <v>0.05</v>
      </c>
      <c r="R637" s="30" t="s">
        <v>814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5309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7014</v>
      </c>
      <c r="B638" s="208" t="s">
        <v>7015</v>
      </c>
      <c r="C638" s="30" t="s">
        <v>3377</v>
      </c>
      <c r="D638" s="30" t="s">
        <v>7016</v>
      </c>
      <c r="E638" s="246" t="s">
        <v>7017</v>
      </c>
      <c r="F638" s="30" t="s">
        <v>132</v>
      </c>
      <c r="G638" s="208" t="s">
        <v>115</v>
      </c>
      <c r="H638" s="30" t="s">
        <v>814</v>
      </c>
      <c r="I638" s="6" t="s">
        <v>814</v>
      </c>
      <c r="J638" s="30" t="s">
        <v>7018</v>
      </c>
      <c r="K638" s="199" t="n">
        <f aca="false">Cap_In!D226</f>
        <v>-0.25</v>
      </c>
      <c r="L638" s="199" t="n">
        <f aca="false">Cap_In!E226</f>
        <v>0.05</v>
      </c>
      <c r="M638" s="30" t="s">
        <v>7019</v>
      </c>
      <c r="N638" s="6" t="s">
        <v>7020</v>
      </c>
      <c r="O638" s="6" t="s">
        <v>814</v>
      </c>
      <c r="P638" s="208" t="s">
        <v>5308</v>
      </c>
      <c r="Q638" s="199" t="n">
        <f aca="false">Cap_In!C226</f>
        <v>-0.1</v>
      </c>
      <c r="R638" s="30" t="s">
        <v>814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5309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7021</v>
      </c>
      <c r="B639" s="208" t="s">
        <v>7015</v>
      </c>
      <c r="C639" s="30" t="s">
        <v>3377</v>
      </c>
      <c r="D639" s="30" t="s">
        <v>7022</v>
      </c>
      <c r="E639" s="246" t="s">
        <v>7017</v>
      </c>
      <c r="F639" s="30" t="s">
        <v>132</v>
      </c>
      <c r="G639" s="208" t="s">
        <v>6264</v>
      </c>
      <c r="H639" s="30" t="s">
        <v>814</v>
      </c>
      <c r="I639" s="6" t="s">
        <v>814</v>
      </c>
      <c r="J639" s="30" t="s">
        <v>7018</v>
      </c>
      <c r="K639" s="208"/>
      <c r="L639" s="208"/>
      <c r="M639" s="30" t="s">
        <v>7023</v>
      </c>
      <c r="N639" s="6" t="s">
        <v>7020</v>
      </c>
      <c r="O639" s="6" t="s">
        <v>814</v>
      </c>
      <c r="P639" s="208" t="s">
        <v>5308</v>
      </c>
      <c r="Q639" s="187" t="s">
        <v>814</v>
      </c>
      <c r="R639" s="30" t="s">
        <v>814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814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7024</v>
      </c>
      <c r="B640" s="208" t="s">
        <v>7015</v>
      </c>
      <c r="C640" s="30" t="s">
        <v>3377</v>
      </c>
      <c r="D640" s="30" t="s">
        <v>7025</v>
      </c>
      <c r="E640" s="246" t="s">
        <v>7026</v>
      </c>
      <c r="F640" s="30" t="s">
        <v>132</v>
      </c>
      <c r="G640" s="208" t="s">
        <v>115</v>
      </c>
      <c r="H640" s="30" t="s">
        <v>814</v>
      </c>
      <c r="I640" s="6" t="s">
        <v>814</v>
      </c>
      <c r="J640" s="30" t="s">
        <v>7018</v>
      </c>
      <c r="K640" s="33" t="n">
        <f aca="false">Cap_In!D227</f>
        <v>3</v>
      </c>
      <c r="L640" s="33" t="n">
        <f aca="false">Cap_In!E227</f>
        <v>5</v>
      </c>
      <c r="M640" s="30" t="s">
        <v>7027</v>
      </c>
      <c r="N640" s="6" t="s">
        <v>7028</v>
      </c>
      <c r="O640" s="6" t="s">
        <v>814</v>
      </c>
      <c r="P640" s="208" t="s">
        <v>5308</v>
      </c>
      <c r="Q640" s="33" t="n">
        <f aca="false">Cap_In!C227</f>
        <v>4</v>
      </c>
      <c r="R640" s="30" t="s">
        <v>814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5309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7029</v>
      </c>
      <c r="B641" s="208" t="s">
        <v>7015</v>
      </c>
      <c r="C641" s="30" t="s">
        <v>3377</v>
      </c>
      <c r="D641" s="30" t="s">
        <v>7030</v>
      </c>
      <c r="E641" s="246" t="s">
        <v>7026</v>
      </c>
      <c r="F641" s="30" t="s">
        <v>132</v>
      </c>
      <c r="G641" s="208" t="s">
        <v>6264</v>
      </c>
      <c r="H641" s="30" t="s">
        <v>814</v>
      </c>
      <c r="I641" s="6" t="s">
        <v>814</v>
      </c>
      <c r="J641" s="30" t="s">
        <v>7018</v>
      </c>
      <c r="K641" s="208"/>
      <c r="L641" s="208"/>
      <c r="M641" s="30" t="s">
        <v>7031</v>
      </c>
      <c r="N641" s="6" t="s">
        <v>7028</v>
      </c>
      <c r="O641" s="6" t="s">
        <v>814</v>
      </c>
      <c r="P641" s="208" t="s">
        <v>5308</v>
      </c>
      <c r="Q641" s="187" t="s">
        <v>814</v>
      </c>
      <c r="R641" s="30" t="s">
        <v>814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814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7032</v>
      </c>
      <c r="B642" s="208" t="s">
        <v>7015</v>
      </c>
      <c r="C642" s="30" t="s">
        <v>3377</v>
      </c>
      <c r="D642" s="30" t="s">
        <v>7033</v>
      </c>
      <c r="E642" s="246" t="s">
        <v>7034</v>
      </c>
      <c r="F642" s="30" t="s">
        <v>132</v>
      </c>
      <c r="G642" s="208" t="s">
        <v>115</v>
      </c>
      <c r="H642" s="30" t="s">
        <v>814</v>
      </c>
      <c r="I642" s="6" t="s">
        <v>814</v>
      </c>
      <c r="J642" s="30" t="s">
        <v>7018</v>
      </c>
      <c r="K642" s="217" t="n">
        <f aca="false">Cap_In!D228</f>
        <v>0.05</v>
      </c>
      <c r="L642" s="217" t="n">
        <f aca="false">Cap_In!E228</f>
        <v>1</v>
      </c>
      <c r="M642" s="30" t="s">
        <v>7035</v>
      </c>
      <c r="N642" s="6" t="s">
        <v>7036</v>
      </c>
      <c r="O642" s="6" t="s">
        <v>814</v>
      </c>
      <c r="P642" s="208" t="s">
        <v>5308</v>
      </c>
      <c r="Q642" s="217" t="n">
        <f aca="false">Cap_In!C228</f>
        <v>0.5</v>
      </c>
      <c r="R642" s="30" t="s">
        <v>814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5309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7037</v>
      </c>
      <c r="B643" s="208" t="s">
        <v>7015</v>
      </c>
      <c r="C643" s="30" t="s">
        <v>3377</v>
      </c>
      <c r="D643" s="30" t="s">
        <v>7038</v>
      </c>
      <c r="E643" s="246" t="s">
        <v>7034</v>
      </c>
      <c r="F643" s="30" t="s">
        <v>132</v>
      </c>
      <c r="G643" s="208" t="s">
        <v>1441</v>
      </c>
      <c r="H643" s="30" t="s">
        <v>814</v>
      </c>
      <c r="I643" s="6" t="s">
        <v>814</v>
      </c>
      <c r="J643" s="30" t="s">
        <v>7018</v>
      </c>
      <c r="K643" s="208"/>
      <c r="L643" s="208"/>
      <c r="M643" s="30" t="s">
        <v>7039</v>
      </c>
      <c r="N643" s="6" t="s">
        <v>7036</v>
      </c>
      <c r="O643" s="6" t="s">
        <v>814</v>
      </c>
      <c r="P643" s="208" t="s">
        <v>5308</v>
      </c>
      <c r="Q643" s="217" t="n">
        <f aca="false">Cap_In!E228</f>
        <v>1</v>
      </c>
      <c r="R643" s="30" t="s">
        <v>814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5309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7040</v>
      </c>
      <c r="B644" s="208" t="s">
        <v>7041</v>
      </c>
      <c r="C644" s="30" t="s">
        <v>3377</v>
      </c>
      <c r="D644" s="30" t="s">
        <v>7042</v>
      </c>
      <c r="E644" s="246" t="s">
        <v>7043</v>
      </c>
      <c r="F644" s="30" t="s">
        <v>132</v>
      </c>
      <c r="G644" s="208" t="s">
        <v>5305</v>
      </c>
      <c r="H644" s="30" t="s">
        <v>7044</v>
      </c>
      <c r="I644" s="246" t="s">
        <v>7045</v>
      </c>
      <c r="J644" s="30" t="s">
        <v>7046</v>
      </c>
      <c r="K644" s="256" t="n">
        <v>0</v>
      </c>
      <c r="L644" s="256" t="n">
        <v>0.2</v>
      </c>
      <c r="M644" s="208" t="s">
        <v>7047</v>
      </c>
      <c r="N644" s="6" t="s">
        <v>7048</v>
      </c>
      <c r="O644" s="6" t="s">
        <v>814</v>
      </c>
      <c r="P644" s="208" t="s">
        <v>5308</v>
      </c>
      <c r="Q644" s="46" t="n">
        <f aca="false">Cap_In!D186</f>
        <v>0</v>
      </c>
      <c r="R644" s="187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5309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739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7049</v>
      </c>
      <c r="B645" s="208" t="s">
        <v>7041</v>
      </c>
      <c r="C645" s="30" t="s">
        <v>3377</v>
      </c>
      <c r="D645" s="30" t="s">
        <v>7050</v>
      </c>
      <c r="E645" s="246" t="s">
        <v>7043</v>
      </c>
      <c r="F645" s="30" t="s">
        <v>132</v>
      </c>
      <c r="G645" s="208" t="s">
        <v>5305</v>
      </c>
      <c r="H645" s="30" t="s">
        <v>7044</v>
      </c>
      <c r="I645" s="246" t="s">
        <v>7045</v>
      </c>
      <c r="J645" s="30" t="s">
        <v>7046</v>
      </c>
      <c r="K645" s="256" t="n">
        <v>0.3</v>
      </c>
      <c r="L645" s="256" t="n">
        <v>0.8</v>
      </c>
      <c r="M645" s="208" t="s">
        <v>7051</v>
      </c>
      <c r="N645" s="6" t="s">
        <v>7048</v>
      </c>
      <c r="O645" s="6" t="s">
        <v>814</v>
      </c>
      <c r="P645" s="208" t="s">
        <v>5308</v>
      </c>
      <c r="Q645" s="46" t="n">
        <f aca="false">Cap_In!E186</f>
        <v>0.5</v>
      </c>
      <c r="R645" s="187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5309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739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7052</v>
      </c>
      <c r="B646" s="208" t="s">
        <v>7041</v>
      </c>
      <c r="C646" s="30" t="s">
        <v>3377</v>
      </c>
      <c r="D646" s="30" t="s">
        <v>7053</v>
      </c>
      <c r="E646" s="246" t="s">
        <v>7043</v>
      </c>
      <c r="F646" s="30" t="s">
        <v>132</v>
      </c>
      <c r="G646" s="208" t="s">
        <v>5305</v>
      </c>
      <c r="H646" s="30" t="s">
        <v>7044</v>
      </c>
      <c r="I646" s="246" t="s">
        <v>7045</v>
      </c>
      <c r="J646" s="30" t="s">
        <v>7046</v>
      </c>
      <c r="K646" s="256" t="n">
        <v>0.5</v>
      </c>
      <c r="L646" s="256" t="n">
        <v>1.5</v>
      </c>
      <c r="M646" s="208" t="s">
        <v>7054</v>
      </c>
      <c r="N646" s="6" t="s">
        <v>7048</v>
      </c>
      <c r="O646" s="6" t="s">
        <v>814</v>
      </c>
      <c r="P646" s="208" t="s">
        <v>5308</v>
      </c>
      <c r="Q646" s="46" t="n">
        <f aca="false">Cap_In!F186</f>
        <v>1</v>
      </c>
      <c r="R646" s="187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5309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739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7055</v>
      </c>
      <c r="B647" s="208" t="s">
        <v>7041</v>
      </c>
      <c r="C647" s="30" t="s">
        <v>3377</v>
      </c>
      <c r="D647" s="30" t="s">
        <v>7056</v>
      </c>
      <c r="E647" s="6" t="s">
        <v>1888</v>
      </c>
      <c r="F647" s="30" t="s">
        <v>132</v>
      </c>
      <c r="G647" s="208" t="s">
        <v>5305</v>
      </c>
      <c r="H647" s="30" t="s">
        <v>814</v>
      </c>
      <c r="I647" s="6" t="s">
        <v>814</v>
      </c>
      <c r="J647" s="30" t="s">
        <v>7046</v>
      </c>
      <c r="K647" s="256" t="n">
        <v>0.5</v>
      </c>
      <c r="L647" s="256" t="n">
        <v>0.8</v>
      </c>
      <c r="M647" s="208" t="s">
        <v>7057</v>
      </c>
      <c r="N647" s="6" t="s">
        <v>7058</v>
      </c>
      <c r="O647" s="6" t="s">
        <v>814</v>
      </c>
      <c r="P647" s="208" t="s">
        <v>5308</v>
      </c>
      <c r="Q647" s="199" t="n">
        <f aca="false">Cap_In!D200</f>
        <v>0.65</v>
      </c>
      <c r="R647" s="30" t="s">
        <v>814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5309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7059</v>
      </c>
      <c r="B648" s="208" t="s">
        <v>7060</v>
      </c>
      <c r="C648" s="30" t="s">
        <v>3385</v>
      </c>
      <c r="D648" s="30" t="s">
        <v>3398</v>
      </c>
      <c r="E648" s="246" t="s">
        <v>7061</v>
      </c>
      <c r="F648" s="30" t="s">
        <v>180</v>
      </c>
      <c r="G648" s="208" t="s">
        <v>115</v>
      </c>
      <c r="H648" s="30" t="s">
        <v>814</v>
      </c>
      <c r="I648" s="6" t="s">
        <v>814</v>
      </c>
      <c r="J648" s="30" t="s">
        <v>7062</v>
      </c>
      <c r="K648" s="195" t="n">
        <f aca="false">Alloc_In!D26</f>
        <v>0.65</v>
      </c>
      <c r="L648" s="195" t="n">
        <f aca="false">Alloc_In!E26</f>
        <v>1.2</v>
      </c>
      <c r="M648" s="30" t="s">
        <v>7063</v>
      </c>
      <c r="N648" s="6" t="s">
        <v>7064</v>
      </c>
      <c r="O648" s="6" t="s">
        <v>814</v>
      </c>
      <c r="P648" s="208" t="s">
        <v>5351</v>
      </c>
      <c r="Q648" s="195" t="n">
        <f aca="false">Alloc_In!C26</f>
        <v>1</v>
      </c>
      <c r="R648" s="30" t="s">
        <v>814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5309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7065</v>
      </c>
      <c r="B649" s="208" t="s">
        <v>7060</v>
      </c>
      <c r="C649" s="30" t="s">
        <v>3385</v>
      </c>
      <c r="D649" s="30" t="s">
        <v>7066</v>
      </c>
      <c r="E649" s="246" t="s">
        <v>7061</v>
      </c>
      <c r="F649" s="30" t="s">
        <v>180</v>
      </c>
      <c r="G649" s="208" t="s">
        <v>6264</v>
      </c>
      <c r="H649" s="30" t="s">
        <v>814</v>
      </c>
      <c r="I649" s="6" t="s">
        <v>814</v>
      </c>
      <c r="J649" s="30" t="s">
        <v>7062</v>
      </c>
      <c r="K649" s="208"/>
      <c r="L649" s="208"/>
      <c r="M649" s="30" t="s">
        <v>7067</v>
      </c>
      <c r="N649" s="6" t="s">
        <v>7064</v>
      </c>
      <c r="O649" s="6" t="s">
        <v>814</v>
      </c>
      <c r="P649" s="30" t="s">
        <v>814</v>
      </c>
      <c r="Q649" s="187" t="s">
        <v>814</v>
      </c>
      <c r="R649" s="30" t="s">
        <v>814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814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7068</v>
      </c>
      <c r="B650" s="208" t="s">
        <v>7069</v>
      </c>
      <c r="C650" s="30" t="s">
        <v>3377</v>
      </c>
      <c r="D650" s="30" t="s">
        <v>7070</v>
      </c>
      <c r="E650" s="6" t="s">
        <v>2025</v>
      </c>
      <c r="F650" s="30" t="s">
        <v>180</v>
      </c>
      <c r="G650" s="208" t="s">
        <v>5305</v>
      </c>
      <c r="H650" s="30" t="s">
        <v>814</v>
      </c>
      <c r="I650" s="6" t="s">
        <v>814</v>
      </c>
      <c r="J650" s="30" t="s">
        <v>7062</v>
      </c>
      <c r="K650" s="256" t="n">
        <v>2.722</v>
      </c>
      <c r="L650" s="256" t="n">
        <v>2.722</v>
      </c>
      <c r="M650" s="208" t="s">
        <v>7071</v>
      </c>
      <c r="N650" s="6" t="s">
        <v>7072</v>
      </c>
      <c r="O650" s="6" t="s">
        <v>814</v>
      </c>
      <c r="P650" s="208" t="s">
        <v>5308</v>
      </c>
      <c r="Q650" s="196" t="n">
        <f aca="false">Cap_In!C258</f>
        <v>2.722</v>
      </c>
      <c r="R650" s="30" t="s">
        <v>814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5309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7073</v>
      </c>
      <c r="B651" s="208" t="s">
        <v>7069</v>
      </c>
      <c r="C651" s="30" t="s">
        <v>3377</v>
      </c>
      <c r="D651" s="30" t="s">
        <v>7074</v>
      </c>
      <c r="E651" s="6" t="s">
        <v>2025</v>
      </c>
      <c r="F651" s="30" t="s">
        <v>180</v>
      </c>
      <c r="G651" s="208" t="s">
        <v>5305</v>
      </c>
      <c r="H651" s="30" t="s">
        <v>814</v>
      </c>
      <c r="I651" s="6" t="s">
        <v>814</v>
      </c>
      <c r="J651" s="30" t="s">
        <v>7062</v>
      </c>
      <c r="K651" s="256" t="n">
        <v>7</v>
      </c>
      <c r="L651" s="256" t="n">
        <v>7</v>
      </c>
      <c r="M651" s="208" t="s">
        <v>7075</v>
      </c>
      <c r="N651" s="6" t="s">
        <v>7072</v>
      </c>
      <c r="O651" s="6" t="s">
        <v>814</v>
      </c>
      <c r="P651" s="208" t="s">
        <v>5308</v>
      </c>
      <c r="Q651" s="33" t="n">
        <f aca="false">Cap_In!D258</f>
        <v>7</v>
      </c>
      <c r="R651" s="30" t="s">
        <v>814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5309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7076</v>
      </c>
      <c r="B652" s="208" t="s">
        <v>7069</v>
      </c>
      <c r="C652" s="30" t="s">
        <v>3377</v>
      </c>
      <c r="D652" s="30" t="s">
        <v>7077</v>
      </c>
      <c r="E652" s="6" t="s">
        <v>2028</v>
      </c>
      <c r="F652" s="30" t="s">
        <v>180</v>
      </c>
      <c r="G652" s="208" t="s">
        <v>5305</v>
      </c>
      <c r="H652" s="30" t="s">
        <v>814</v>
      </c>
      <c r="I652" s="6" t="s">
        <v>814</v>
      </c>
      <c r="J652" s="30" t="s">
        <v>7062</v>
      </c>
      <c r="K652" s="256" t="n">
        <v>1.672</v>
      </c>
      <c r="L652" s="256" t="n">
        <v>1.672</v>
      </c>
      <c r="M652" s="208" t="s">
        <v>7071</v>
      </c>
      <c r="N652" s="6" t="s">
        <v>7078</v>
      </c>
      <c r="O652" s="6" t="s">
        <v>814</v>
      </c>
      <c r="P652" s="208" t="s">
        <v>5308</v>
      </c>
      <c r="Q652" s="196" t="n">
        <f aca="false">Cap_In!C259</f>
        <v>1.672</v>
      </c>
      <c r="R652" s="30" t="s">
        <v>814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5309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7079</v>
      </c>
      <c r="B653" s="208" t="s">
        <v>7069</v>
      </c>
      <c r="C653" s="30" t="s">
        <v>3377</v>
      </c>
      <c r="D653" s="30" t="s">
        <v>7080</v>
      </c>
      <c r="E653" s="6" t="s">
        <v>2028</v>
      </c>
      <c r="F653" s="30" t="s">
        <v>180</v>
      </c>
      <c r="G653" s="208" t="s">
        <v>5305</v>
      </c>
      <c r="H653" s="30" t="s">
        <v>814</v>
      </c>
      <c r="I653" s="6" t="s">
        <v>814</v>
      </c>
      <c r="J653" s="30" t="s">
        <v>7062</v>
      </c>
      <c r="K653" s="256" t="n">
        <v>4</v>
      </c>
      <c r="L653" s="256" t="n">
        <v>4</v>
      </c>
      <c r="M653" s="208" t="s">
        <v>7081</v>
      </c>
      <c r="N653" s="6" t="s">
        <v>7078</v>
      </c>
      <c r="O653" s="6" t="s">
        <v>814</v>
      </c>
      <c r="P653" s="208" t="s">
        <v>5308</v>
      </c>
      <c r="Q653" s="33" t="n">
        <f aca="false">Cap_In!D259</f>
        <v>4</v>
      </c>
      <c r="R653" s="30" t="s">
        <v>814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5309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7082</v>
      </c>
      <c r="B654" s="208" t="s">
        <v>7069</v>
      </c>
      <c r="C654" s="30" t="s">
        <v>3377</v>
      </c>
      <c r="D654" s="30" t="s">
        <v>7083</v>
      </c>
      <c r="E654" s="6" t="s">
        <v>2030</v>
      </c>
      <c r="F654" s="30" t="s">
        <v>180</v>
      </c>
      <c r="G654" s="208" t="s">
        <v>5305</v>
      </c>
      <c r="H654" s="30" t="s">
        <v>814</v>
      </c>
      <c r="I654" s="6" t="s">
        <v>814</v>
      </c>
      <c r="J654" s="30" t="s">
        <v>7062</v>
      </c>
      <c r="K654" s="256" t="n">
        <v>2.341</v>
      </c>
      <c r="L654" s="256" t="n">
        <v>2.341</v>
      </c>
      <c r="M654" s="208" t="s">
        <v>7071</v>
      </c>
      <c r="N654" s="6" t="s">
        <v>7084</v>
      </c>
      <c r="O654" s="6" t="s">
        <v>814</v>
      </c>
      <c r="P654" s="208" t="s">
        <v>5308</v>
      </c>
      <c r="Q654" s="196" t="n">
        <f aca="false">Cap_In!C260</f>
        <v>2.341</v>
      </c>
      <c r="R654" s="30" t="s">
        <v>814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5309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7085</v>
      </c>
      <c r="B655" s="208" t="s">
        <v>7069</v>
      </c>
      <c r="C655" s="30" t="s">
        <v>3377</v>
      </c>
      <c r="D655" s="30" t="s">
        <v>7086</v>
      </c>
      <c r="E655" s="6" t="s">
        <v>2030</v>
      </c>
      <c r="F655" s="30" t="s">
        <v>180</v>
      </c>
      <c r="G655" s="208" t="s">
        <v>5305</v>
      </c>
      <c r="H655" s="30" t="s">
        <v>814</v>
      </c>
      <c r="I655" s="6" t="s">
        <v>814</v>
      </c>
      <c r="J655" s="30" t="s">
        <v>7062</v>
      </c>
      <c r="K655" s="256" t="n">
        <v>1</v>
      </c>
      <c r="L655" s="256" t="n">
        <v>1</v>
      </c>
      <c r="M655" s="208" t="s">
        <v>7087</v>
      </c>
      <c r="N655" s="6" t="s">
        <v>7084</v>
      </c>
      <c r="O655" s="6" t="s">
        <v>814</v>
      </c>
      <c r="P655" s="208" t="s">
        <v>5308</v>
      </c>
      <c r="Q655" s="33" t="n">
        <f aca="false">Cap_In!D260</f>
        <v>1</v>
      </c>
      <c r="R655" s="30" t="s">
        <v>814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5309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7088</v>
      </c>
      <c r="B656" s="208" t="s">
        <v>7089</v>
      </c>
      <c r="C656" s="30" t="s">
        <v>3354</v>
      </c>
      <c r="D656" s="30" t="s">
        <v>3246</v>
      </c>
      <c r="E656" s="6" t="s">
        <v>7090</v>
      </c>
      <c r="F656" s="30" t="s">
        <v>132</v>
      </c>
      <c r="G656" s="208" t="s">
        <v>5305</v>
      </c>
      <c r="H656" s="30" t="s">
        <v>814</v>
      </c>
      <c r="I656" s="6" t="s">
        <v>814</v>
      </c>
      <c r="J656" s="30" t="s">
        <v>6411</v>
      </c>
      <c r="K656" s="256" t="n">
        <v>0.787</v>
      </c>
      <c r="L656" s="256" t="n">
        <v>2.36</v>
      </c>
      <c r="M656" s="30" t="s">
        <v>7091</v>
      </c>
      <c r="N656" s="6" t="s">
        <v>7092</v>
      </c>
      <c r="O656" s="6" t="s">
        <v>814</v>
      </c>
      <c r="P656" s="208" t="s">
        <v>1441</v>
      </c>
      <c r="Q656" s="51" t="n">
        <f aca="false">Train_In!C34</f>
        <v>2.36</v>
      </c>
      <c r="R656" s="30" t="s">
        <v>814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5309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7093</v>
      </c>
      <c r="B657" s="208" t="s">
        <v>7089</v>
      </c>
      <c r="C657" s="30" t="s">
        <v>3354</v>
      </c>
      <c r="D657" s="30" t="s">
        <v>3195</v>
      </c>
      <c r="E657" s="6" t="s">
        <v>7094</v>
      </c>
      <c r="F657" s="30" t="s">
        <v>132</v>
      </c>
      <c r="G657" s="208" t="s">
        <v>5305</v>
      </c>
      <c r="H657" s="30" t="s">
        <v>814</v>
      </c>
      <c r="I657" s="6" t="s">
        <v>814</v>
      </c>
      <c r="J657" s="30" t="s">
        <v>6411</v>
      </c>
      <c r="K657" s="256" t="n">
        <v>0.787</v>
      </c>
      <c r="L657" s="256" t="n">
        <v>2.36</v>
      </c>
      <c r="M657" s="30" t="s">
        <v>7091</v>
      </c>
      <c r="N657" s="6" t="s">
        <v>7092</v>
      </c>
      <c r="O657" s="6" t="s">
        <v>814</v>
      </c>
      <c r="P657" s="208" t="s">
        <v>1441</v>
      </c>
      <c r="Q657" s="51" t="n">
        <f aca="false">Train_In!D34</f>
        <v>2.36</v>
      </c>
      <c r="R657" s="30" t="s">
        <v>814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5309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7095</v>
      </c>
      <c r="B658" s="208" t="s">
        <v>7089</v>
      </c>
      <c r="C658" s="30" t="s">
        <v>3354</v>
      </c>
      <c r="D658" s="30" t="s">
        <v>3196</v>
      </c>
      <c r="E658" s="6" t="s">
        <v>7096</v>
      </c>
      <c r="F658" s="30" t="s">
        <v>132</v>
      </c>
      <c r="G658" s="208" t="s">
        <v>5305</v>
      </c>
      <c r="H658" s="30" t="s">
        <v>814</v>
      </c>
      <c r="I658" s="6" t="s">
        <v>814</v>
      </c>
      <c r="J658" s="30" t="s">
        <v>6411</v>
      </c>
      <c r="K658" s="256" t="n">
        <v>0.96</v>
      </c>
      <c r="L658" s="256" t="n">
        <v>19.2</v>
      </c>
      <c r="M658" s="30" t="s">
        <v>7097</v>
      </c>
      <c r="N658" s="6" t="s">
        <v>7098</v>
      </c>
      <c r="O658" s="6" t="s">
        <v>814</v>
      </c>
      <c r="P658" s="208" t="s">
        <v>1441</v>
      </c>
      <c r="Q658" s="51" t="n">
        <f aca="false">Train_In!E34</f>
        <v>9.6</v>
      </c>
      <c r="R658" s="30" t="s">
        <v>814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5309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7099</v>
      </c>
      <c r="B659" s="208" t="s">
        <v>7089</v>
      </c>
      <c r="C659" s="30" t="s">
        <v>6402</v>
      </c>
      <c r="D659" s="30" t="s">
        <v>6530</v>
      </c>
      <c r="E659" s="246" t="s">
        <v>7100</v>
      </c>
      <c r="F659" s="30" t="s">
        <v>132</v>
      </c>
      <c r="G659" s="208" t="s">
        <v>5953</v>
      </c>
      <c r="H659" s="30" t="s">
        <v>814</v>
      </c>
      <c r="I659" s="6" t="s">
        <v>814</v>
      </c>
      <c r="J659" s="30" t="s">
        <v>6411</v>
      </c>
      <c r="K659" s="256" t="n">
        <v>0.7</v>
      </c>
      <c r="L659" s="256" t="n">
        <v>1.7</v>
      </c>
      <c r="M659" s="30" t="s">
        <v>7101</v>
      </c>
      <c r="N659" s="6" t="s">
        <v>7102</v>
      </c>
      <c r="O659" s="6" t="s">
        <v>814</v>
      </c>
      <c r="P659" s="208" t="s">
        <v>5308</v>
      </c>
      <c r="Q659" s="187" t="s">
        <v>814</v>
      </c>
      <c r="R659" s="30" t="s">
        <v>814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814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7103</v>
      </c>
      <c r="B660" s="208" t="s">
        <v>7104</v>
      </c>
      <c r="C660" s="30" t="s">
        <v>3207</v>
      </c>
      <c r="D660" s="30" t="s">
        <v>7105</v>
      </c>
      <c r="E660" s="246" t="s">
        <v>7106</v>
      </c>
      <c r="F660" s="30" t="s">
        <v>132</v>
      </c>
      <c r="G660" s="208" t="s">
        <v>5305</v>
      </c>
      <c r="H660" s="30" t="s">
        <v>814</v>
      </c>
      <c r="I660" s="6" t="s">
        <v>814</v>
      </c>
      <c r="J660" s="30" t="s">
        <v>7107</v>
      </c>
      <c r="K660" s="208"/>
      <c r="L660" s="208"/>
      <c r="M660" s="208" t="s">
        <v>7108</v>
      </c>
      <c r="N660" s="6" t="s">
        <v>7109</v>
      </c>
      <c r="O660" s="6" t="s">
        <v>814</v>
      </c>
      <c r="P660" s="208" t="s">
        <v>1441</v>
      </c>
      <c r="Q660" s="187" t="s">
        <v>814</v>
      </c>
      <c r="R660" s="30" t="s">
        <v>814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814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7110</v>
      </c>
      <c r="B661" s="208" t="s">
        <v>7104</v>
      </c>
      <c r="C661" s="30" t="s">
        <v>3207</v>
      </c>
      <c r="D661" s="30" t="s">
        <v>7111</v>
      </c>
      <c r="E661" s="246" t="s">
        <v>7112</v>
      </c>
      <c r="F661" s="30" t="s">
        <v>132</v>
      </c>
      <c r="G661" s="208" t="s">
        <v>1440</v>
      </c>
      <c r="H661" s="30" t="s">
        <v>814</v>
      </c>
      <c r="I661" s="6" t="s">
        <v>814</v>
      </c>
      <c r="J661" s="30" t="s">
        <v>7107</v>
      </c>
      <c r="K661" s="208"/>
      <c r="L661" s="208"/>
      <c r="M661" s="208" t="s">
        <v>7113</v>
      </c>
      <c r="N661" s="6" t="s">
        <v>7114</v>
      </c>
      <c r="O661" s="6" t="s">
        <v>814</v>
      </c>
      <c r="P661" s="208" t="s">
        <v>1441</v>
      </c>
      <c r="Q661" s="187" t="s">
        <v>814</v>
      </c>
      <c r="R661" s="30" t="s">
        <v>814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814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7115</v>
      </c>
      <c r="B662" s="208" t="s">
        <v>7104</v>
      </c>
      <c r="C662" s="30" t="s">
        <v>3207</v>
      </c>
      <c r="D662" s="30" t="s">
        <v>7116</v>
      </c>
      <c r="E662" s="246" t="s">
        <v>7117</v>
      </c>
      <c r="F662" s="30" t="s">
        <v>132</v>
      </c>
      <c r="G662" s="208" t="s">
        <v>1441</v>
      </c>
      <c r="H662" s="30" t="s">
        <v>814</v>
      </c>
      <c r="I662" s="6" t="s">
        <v>814</v>
      </c>
      <c r="J662" s="30" t="s">
        <v>7107</v>
      </c>
      <c r="K662" s="208"/>
      <c r="L662" s="208"/>
      <c r="M662" s="208" t="s">
        <v>7118</v>
      </c>
      <c r="N662" s="6" t="s">
        <v>7114</v>
      </c>
      <c r="O662" s="6" t="s">
        <v>814</v>
      </c>
      <c r="P662" s="208" t="s">
        <v>1441</v>
      </c>
      <c r="Q662" s="187" t="s">
        <v>814</v>
      </c>
      <c r="R662" s="30" t="s">
        <v>814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814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7119</v>
      </c>
      <c r="B663" s="208" t="s">
        <v>7120</v>
      </c>
      <c r="C663" s="30" t="s">
        <v>3377</v>
      </c>
      <c r="D663" s="30" t="s">
        <v>7121</v>
      </c>
      <c r="E663" s="246" t="s">
        <v>7122</v>
      </c>
      <c r="F663" s="30" t="s">
        <v>132</v>
      </c>
      <c r="G663" s="208" t="s">
        <v>115</v>
      </c>
      <c r="H663" s="30" t="s">
        <v>814</v>
      </c>
      <c r="I663" s="6" t="s">
        <v>814</v>
      </c>
      <c r="J663" s="30" t="s">
        <v>7123</v>
      </c>
      <c r="K663" s="195" t="n">
        <f aca="false">Cap_In!D272</f>
        <v>1.88</v>
      </c>
      <c r="L663" s="195" t="n">
        <f aca="false">Cap_In!E272</f>
        <v>2.17</v>
      </c>
      <c r="M663" s="30" t="s">
        <v>7124</v>
      </c>
      <c r="N663" s="246" t="s">
        <v>7125</v>
      </c>
      <c r="O663" s="6" t="s">
        <v>814</v>
      </c>
      <c r="P663" s="208" t="s">
        <v>5351</v>
      </c>
      <c r="Q663" s="195" t="n">
        <f aca="false">Cap_In!C272</f>
        <v>1.88</v>
      </c>
      <c r="R663" s="30" t="s">
        <v>814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5309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7126</v>
      </c>
      <c r="B664" s="208" t="s">
        <v>7120</v>
      </c>
      <c r="C664" s="30" t="s">
        <v>3377</v>
      </c>
      <c r="D664" s="30" t="s">
        <v>7127</v>
      </c>
      <c r="E664" s="246" t="s">
        <v>7122</v>
      </c>
      <c r="F664" s="30" t="s">
        <v>132</v>
      </c>
      <c r="G664" s="208" t="s">
        <v>6264</v>
      </c>
      <c r="H664" s="30" t="s">
        <v>814</v>
      </c>
      <c r="I664" s="6" t="s">
        <v>814</v>
      </c>
      <c r="J664" s="30" t="s">
        <v>7123</v>
      </c>
      <c r="K664" s="208"/>
      <c r="L664" s="208"/>
      <c r="M664" s="30" t="s">
        <v>7128</v>
      </c>
      <c r="N664" s="246" t="s">
        <v>7125</v>
      </c>
      <c r="O664" s="6" t="s">
        <v>814</v>
      </c>
      <c r="P664" s="30" t="s">
        <v>814</v>
      </c>
      <c r="Q664" s="187" t="s">
        <v>814</v>
      </c>
      <c r="R664" s="30" t="s">
        <v>814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814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7129</v>
      </c>
      <c r="B665" s="208" t="s">
        <v>7120</v>
      </c>
      <c r="C665" s="30" t="s">
        <v>3377</v>
      </c>
      <c r="D665" s="30" t="s">
        <v>7130</v>
      </c>
      <c r="E665" s="246" t="s">
        <v>7131</v>
      </c>
      <c r="F665" s="30" t="s">
        <v>132</v>
      </c>
      <c r="G665" s="208" t="s">
        <v>115</v>
      </c>
      <c r="H665" s="30" t="s">
        <v>814</v>
      </c>
      <c r="I665" s="6" t="s">
        <v>814</v>
      </c>
      <c r="J665" s="30" t="s">
        <v>7123</v>
      </c>
      <c r="K665" s="195" t="n">
        <f aca="false">Cap_In!D273</f>
        <v>0.41</v>
      </c>
      <c r="L665" s="195" t="n">
        <f aca="false">Cap_In!E273</f>
        <v>0.54</v>
      </c>
      <c r="M665" s="30" t="s">
        <v>7132</v>
      </c>
      <c r="N665" s="246" t="s">
        <v>7133</v>
      </c>
      <c r="O665" s="6" t="s">
        <v>814</v>
      </c>
      <c r="P665" s="208" t="s">
        <v>5351</v>
      </c>
      <c r="Q665" s="195" t="n">
        <f aca="false">Cap_In!C273</f>
        <v>0.41</v>
      </c>
      <c r="R665" s="30" t="s">
        <v>814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5309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7134</v>
      </c>
      <c r="B666" s="208" t="s">
        <v>7120</v>
      </c>
      <c r="C666" s="30" t="s">
        <v>3377</v>
      </c>
      <c r="D666" s="30" t="s">
        <v>7135</v>
      </c>
      <c r="E666" s="246" t="s">
        <v>7131</v>
      </c>
      <c r="F666" s="30" t="s">
        <v>132</v>
      </c>
      <c r="G666" s="208" t="s">
        <v>6264</v>
      </c>
      <c r="H666" s="30" t="s">
        <v>814</v>
      </c>
      <c r="I666" s="6" t="s">
        <v>814</v>
      </c>
      <c r="J666" s="30" t="s">
        <v>7123</v>
      </c>
      <c r="K666" s="208"/>
      <c r="L666" s="208"/>
      <c r="M666" s="30" t="s">
        <v>7136</v>
      </c>
      <c r="N666" s="246" t="s">
        <v>7133</v>
      </c>
      <c r="O666" s="6" t="s">
        <v>814</v>
      </c>
      <c r="P666" s="30" t="s">
        <v>814</v>
      </c>
      <c r="Q666" s="187" t="s">
        <v>814</v>
      </c>
      <c r="R666" s="30" t="s">
        <v>814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814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7137</v>
      </c>
      <c r="B667" s="208" t="s">
        <v>7120</v>
      </c>
      <c r="C667" s="30" t="s">
        <v>3377</v>
      </c>
      <c r="D667" s="30" t="s">
        <v>7138</v>
      </c>
      <c r="E667" s="246" t="s">
        <v>7139</v>
      </c>
      <c r="F667" s="30" t="s">
        <v>132</v>
      </c>
      <c r="G667" s="208" t="s">
        <v>115</v>
      </c>
      <c r="H667" s="30" t="s">
        <v>814</v>
      </c>
      <c r="I667" s="6" t="s">
        <v>814</v>
      </c>
      <c r="J667" s="30" t="s">
        <v>7123</v>
      </c>
      <c r="K667" s="195" t="n">
        <f aca="false">Cap_In!D274</f>
        <v>1.11</v>
      </c>
      <c r="L667" s="195" t="n">
        <f aca="false">Cap_In!E274</f>
        <v>1.24</v>
      </c>
      <c r="M667" s="30" t="s">
        <v>7140</v>
      </c>
      <c r="N667" s="246" t="s">
        <v>7141</v>
      </c>
      <c r="O667" s="6" t="s">
        <v>814</v>
      </c>
      <c r="P667" s="208" t="s">
        <v>5351</v>
      </c>
      <c r="Q667" s="195" t="n">
        <f aca="false">Cap_In!C274</f>
        <v>1.18</v>
      </c>
      <c r="R667" s="30" t="s">
        <v>814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5309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7142</v>
      </c>
      <c r="B668" s="208" t="s">
        <v>7120</v>
      </c>
      <c r="C668" s="30" t="s">
        <v>3377</v>
      </c>
      <c r="D668" s="30" t="s">
        <v>7143</v>
      </c>
      <c r="E668" s="246" t="s">
        <v>7139</v>
      </c>
      <c r="F668" s="30" t="s">
        <v>132</v>
      </c>
      <c r="G668" s="208" t="s">
        <v>6264</v>
      </c>
      <c r="H668" s="30" t="s">
        <v>814</v>
      </c>
      <c r="I668" s="6" t="s">
        <v>814</v>
      </c>
      <c r="J668" s="30" t="s">
        <v>7123</v>
      </c>
      <c r="K668" s="208"/>
      <c r="L668" s="208"/>
      <c r="M668" s="30" t="s">
        <v>7144</v>
      </c>
      <c r="N668" s="246" t="s">
        <v>7141</v>
      </c>
      <c r="O668" s="6" t="s">
        <v>814</v>
      </c>
      <c r="P668" s="30" t="s">
        <v>814</v>
      </c>
      <c r="Q668" s="187" t="s">
        <v>814</v>
      </c>
      <c r="R668" s="30" t="s">
        <v>814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814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7145</v>
      </c>
      <c r="B669" s="208" t="s">
        <v>7146</v>
      </c>
      <c r="C669" s="30" t="s">
        <v>3377</v>
      </c>
      <c r="D669" s="30" t="s">
        <v>7147</v>
      </c>
      <c r="E669" s="6" t="s">
        <v>2056</v>
      </c>
      <c r="F669" s="30" t="s">
        <v>180</v>
      </c>
      <c r="G669" s="208" t="s">
        <v>115</v>
      </c>
      <c r="H669" s="30" t="s">
        <v>814</v>
      </c>
      <c r="I669" s="6" t="s">
        <v>814</v>
      </c>
      <c r="J669" s="30" t="s">
        <v>7148</v>
      </c>
      <c r="K669" s="53" t="n">
        <f aca="false">Cap_In!D278</f>
        <v>0.0669</v>
      </c>
      <c r="L669" s="53" t="n">
        <f aca="false">Cap_In!E278</f>
        <v>0.3026</v>
      </c>
      <c r="M669" s="30" t="s">
        <v>7149</v>
      </c>
      <c r="N669" s="6" t="s">
        <v>7150</v>
      </c>
      <c r="O669" s="6" t="s">
        <v>814</v>
      </c>
      <c r="P669" s="208" t="s">
        <v>5351</v>
      </c>
      <c r="Q669" s="53" t="n">
        <f aca="false">Cap_In!C278</f>
        <v>0.1035</v>
      </c>
      <c r="R669" s="30" t="s">
        <v>814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5309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7151</v>
      </c>
      <c r="B670" s="208" t="s">
        <v>7146</v>
      </c>
      <c r="C670" s="30" t="s">
        <v>3377</v>
      </c>
      <c r="D670" s="30" t="s">
        <v>7152</v>
      </c>
      <c r="E670" s="6" t="s">
        <v>2056</v>
      </c>
      <c r="F670" s="30" t="s">
        <v>180</v>
      </c>
      <c r="G670" s="208" t="s">
        <v>6264</v>
      </c>
      <c r="H670" s="30" t="s">
        <v>814</v>
      </c>
      <c r="I670" s="6" t="s">
        <v>814</v>
      </c>
      <c r="J670" s="30" t="s">
        <v>7148</v>
      </c>
      <c r="K670" s="208"/>
      <c r="L670" s="208"/>
      <c r="M670" s="30" t="s">
        <v>7153</v>
      </c>
      <c r="N670" s="6" t="s">
        <v>7150</v>
      </c>
      <c r="O670" s="6" t="s">
        <v>814</v>
      </c>
      <c r="P670" s="30" t="s">
        <v>814</v>
      </c>
      <c r="Q670" s="187" t="s">
        <v>814</v>
      </c>
      <c r="R670" s="30" t="s">
        <v>814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814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7154</v>
      </c>
      <c r="B671" s="208" t="s">
        <v>7146</v>
      </c>
      <c r="C671" s="30" t="s">
        <v>3377</v>
      </c>
      <c r="D671" s="30" t="s">
        <v>7155</v>
      </c>
      <c r="E671" s="6" t="s">
        <v>2058</v>
      </c>
      <c r="F671" s="30" t="s">
        <v>180</v>
      </c>
      <c r="G671" s="208" t="s">
        <v>115</v>
      </c>
      <c r="H671" s="30" t="s">
        <v>814</v>
      </c>
      <c r="I671" s="6" t="s">
        <v>814</v>
      </c>
      <c r="J671" s="30" t="s">
        <v>7148</v>
      </c>
      <c r="K671" s="53" t="n">
        <f aca="false">Cap_In!D279</f>
        <v>1.672</v>
      </c>
      <c r="L671" s="53" t="n">
        <f aca="false">Cap_In!E279</f>
        <v>2.338</v>
      </c>
      <c r="M671" s="30" t="s">
        <v>7156</v>
      </c>
      <c r="N671" s="6" t="s">
        <v>7157</v>
      </c>
      <c r="O671" s="6" t="s">
        <v>814</v>
      </c>
      <c r="P671" s="208" t="s">
        <v>5351</v>
      </c>
      <c r="Q671" s="53" t="n">
        <f aca="false">Cap_In!C279</f>
        <v>2.184</v>
      </c>
      <c r="R671" s="30" t="s">
        <v>814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5309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7158</v>
      </c>
      <c r="B672" s="208" t="s">
        <v>7146</v>
      </c>
      <c r="C672" s="30" t="s">
        <v>3377</v>
      </c>
      <c r="D672" s="30" t="s">
        <v>7159</v>
      </c>
      <c r="E672" s="6" t="s">
        <v>2058</v>
      </c>
      <c r="F672" s="30" t="s">
        <v>180</v>
      </c>
      <c r="G672" s="208" t="s">
        <v>6264</v>
      </c>
      <c r="H672" s="30" t="s">
        <v>814</v>
      </c>
      <c r="I672" s="6" t="s">
        <v>814</v>
      </c>
      <c r="J672" s="30" t="s">
        <v>7148</v>
      </c>
      <c r="K672" s="208"/>
      <c r="L672" s="208"/>
      <c r="M672" s="30" t="s">
        <v>7160</v>
      </c>
      <c r="N672" s="6" t="s">
        <v>7157</v>
      </c>
      <c r="O672" s="6" t="s">
        <v>814</v>
      </c>
      <c r="P672" s="30" t="s">
        <v>814</v>
      </c>
      <c r="Q672" s="187" t="s">
        <v>814</v>
      </c>
      <c r="R672" s="30" t="s">
        <v>814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814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7161</v>
      </c>
      <c r="B673" s="208" t="s">
        <v>7146</v>
      </c>
      <c r="C673" s="30" t="s">
        <v>3377</v>
      </c>
      <c r="D673" s="30" t="s">
        <v>7162</v>
      </c>
      <c r="E673" s="6" t="s">
        <v>2060</v>
      </c>
      <c r="F673" s="30" t="s">
        <v>180</v>
      </c>
      <c r="G673" s="208" t="s">
        <v>115</v>
      </c>
      <c r="H673" s="30" t="s">
        <v>814</v>
      </c>
      <c r="I673" s="6" t="s">
        <v>814</v>
      </c>
      <c r="J673" s="30" t="s">
        <v>7148</v>
      </c>
      <c r="K673" s="53" t="n">
        <f aca="false">Cap_In!D280</f>
        <v>2.089</v>
      </c>
      <c r="L673" s="53" t="n">
        <f aca="false">Cap_In!E280</f>
        <v>16.33</v>
      </c>
      <c r="M673" s="30" t="s">
        <v>7163</v>
      </c>
      <c r="N673" s="6" t="s">
        <v>7164</v>
      </c>
      <c r="O673" s="6" t="s">
        <v>814</v>
      </c>
      <c r="P673" s="208" t="s">
        <v>5351</v>
      </c>
      <c r="Q673" s="53" t="n">
        <f aca="false">Cap_In!C280</f>
        <v>7.174</v>
      </c>
      <c r="R673" s="30" t="s">
        <v>814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5309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7165</v>
      </c>
      <c r="B674" s="208" t="s">
        <v>7146</v>
      </c>
      <c r="C674" s="30" t="s">
        <v>3377</v>
      </c>
      <c r="D674" s="30" t="s">
        <v>7166</v>
      </c>
      <c r="E674" s="6" t="s">
        <v>2060</v>
      </c>
      <c r="F674" s="30" t="s">
        <v>180</v>
      </c>
      <c r="G674" s="208" t="s">
        <v>6264</v>
      </c>
      <c r="H674" s="30" t="s">
        <v>814</v>
      </c>
      <c r="I674" s="6" t="s">
        <v>814</v>
      </c>
      <c r="J674" s="30" t="s">
        <v>7148</v>
      </c>
      <c r="K674" s="208"/>
      <c r="L674" s="208"/>
      <c r="M674" s="30" t="s">
        <v>7167</v>
      </c>
      <c r="N674" s="6" t="s">
        <v>7164</v>
      </c>
      <c r="O674" s="6" t="s">
        <v>814</v>
      </c>
      <c r="P674" s="30" t="s">
        <v>814</v>
      </c>
      <c r="Q674" s="187" t="s">
        <v>814</v>
      </c>
      <c r="R674" s="30" t="s">
        <v>814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814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7168</v>
      </c>
      <c r="B675" s="208" t="s">
        <v>7146</v>
      </c>
      <c r="C675" s="30" t="s">
        <v>3385</v>
      </c>
      <c r="D675" s="30" t="s">
        <v>3228</v>
      </c>
      <c r="E675" s="246" t="s">
        <v>7169</v>
      </c>
      <c r="F675" s="30" t="s">
        <v>180</v>
      </c>
      <c r="G675" s="208" t="s">
        <v>115</v>
      </c>
      <c r="H675" s="30" t="s">
        <v>814</v>
      </c>
      <c r="I675" s="6" t="s">
        <v>814</v>
      </c>
      <c r="J675" s="30" t="s">
        <v>7170</v>
      </c>
      <c r="K675" s="197" t="n">
        <f aca="false">Alloc_In!D29</f>
        <v>0.4</v>
      </c>
      <c r="L675" s="197" t="n">
        <f aca="false">Alloc_In!E29</f>
        <v>0.75</v>
      </c>
      <c r="M675" s="30" t="s">
        <v>7171</v>
      </c>
      <c r="N675" s="6" t="s">
        <v>7172</v>
      </c>
      <c r="O675" s="6" t="s">
        <v>814</v>
      </c>
      <c r="P675" s="208" t="s">
        <v>5351</v>
      </c>
      <c r="Q675" s="197" t="n">
        <f aca="false">Alloc_In!C29</f>
        <v>0.6</v>
      </c>
      <c r="R675" s="30" t="s">
        <v>814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5309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7173</v>
      </c>
      <c r="B676" s="208" t="s">
        <v>7146</v>
      </c>
      <c r="C676" s="30" t="s">
        <v>3385</v>
      </c>
      <c r="D676" s="30" t="s">
        <v>6314</v>
      </c>
      <c r="E676" s="246" t="s">
        <v>7169</v>
      </c>
      <c r="F676" s="30" t="s">
        <v>180</v>
      </c>
      <c r="G676" s="208" t="s">
        <v>6264</v>
      </c>
      <c r="H676" s="30" t="s">
        <v>814</v>
      </c>
      <c r="I676" s="6" t="s">
        <v>814</v>
      </c>
      <c r="J676" s="30" t="s">
        <v>7170</v>
      </c>
      <c r="K676" s="208"/>
      <c r="L676" s="208"/>
      <c r="M676" s="30" t="s">
        <v>6315</v>
      </c>
      <c r="N676" s="6" t="s">
        <v>7172</v>
      </c>
      <c r="O676" s="6" t="s">
        <v>814</v>
      </c>
      <c r="P676" s="30" t="s">
        <v>814</v>
      </c>
      <c r="Q676" s="187" t="s">
        <v>814</v>
      </c>
      <c r="R676" s="30" t="s">
        <v>814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814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7174</v>
      </c>
      <c r="B677" s="208" t="s">
        <v>7146</v>
      </c>
      <c r="C677" s="30" t="s">
        <v>3385</v>
      </c>
      <c r="D677" s="30" t="s">
        <v>3360</v>
      </c>
      <c r="E677" s="246" t="s">
        <v>7175</v>
      </c>
      <c r="F677" s="30" t="s">
        <v>180</v>
      </c>
      <c r="G677" s="208" t="s">
        <v>115</v>
      </c>
      <c r="H677" s="30" t="s">
        <v>814</v>
      </c>
      <c r="I677" s="6" t="s">
        <v>814</v>
      </c>
      <c r="J677" s="30" t="s">
        <v>7170</v>
      </c>
      <c r="K677" s="197" t="n">
        <f aca="false">Alloc_In!D30</f>
        <v>0.25</v>
      </c>
      <c r="L677" s="197" t="n">
        <f aca="false">Alloc_In!E30</f>
        <v>0.55</v>
      </c>
      <c r="M677" s="30" t="s">
        <v>7176</v>
      </c>
      <c r="N677" s="6" t="s">
        <v>7177</v>
      </c>
      <c r="O677" s="6" t="s">
        <v>814</v>
      </c>
      <c r="P677" s="208" t="s">
        <v>5351</v>
      </c>
      <c r="Q677" s="197" t="n">
        <f aca="false">Alloc_In!C30</f>
        <v>0.38</v>
      </c>
      <c r="R677" s="30" t="s">
        <v>814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5309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7178</v>
      </c>
      <c r="B678" s="208" t="s">
        <v>7146</v>
      </c>
      <c r="C678" s="30" t="s">
        <v>3385</v>
      </c>
      <c r="D678" s="30" t="s">
        <v>7179</v>
      </c>
      <c r="E678" s="246" t="s">
        <v>7175</v>
      </c>
      <c r="F678" s="30" t="s">
        <v>180</v>
      </c>
      <c r="G678" s="208" t="s">
        <v>6264</v>
      </c>
      <c r="H678" s="30" t="s">
        <v>814</v>
      </c>
      <c r="I678" s="6" t="s">
        <v>814</v>
      </c>
      <c r="J678" s="30" t="s">
        <v>7170</v>
      </c>
      <c r="K678" s="208"/>
      <c r="L678" s="208"/>
      <c r="M678" s="30" t="s">
        <v>7180</v>
      </c>
      <c r="N678" s="6" t="s">
        <v>7177</v>
      </c>
      <c r="O678" s="6" t="s">
        <v>814</v>
      </c>
      <c r="P678" s="30" t="s">
        <v>814</v>
      </c>
      <c r="Q678" s="187" t="s">
        <v>814</v>
      </c>
      <c r="R678" s="30" t="s">
        <v>814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814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7181</v>
      </c>
      <c r="B679" s="208" t="s">
        <v>7146</v>
      </c>
      <c r="C679" s="30" t="s">
        <v>3385</v>
      </c>
      <c r="D679" s="30" t="s">
        <v>3232</v>
      </c>
      <c r="E679" s="246" t="s">
        <v>7182</v>
      </c>
      <c r="F679" s="30" t="s">
        <v>180</v>
      </c>
      <c r="G679" s="208" t="s">
        <v>115</v>
      </c>
      <c r="H679" s="30" t="s">
        <v>814</v>
      </c>
      <c r="I679" s="6" t="s">
        <v>814</v>
      </c>
      <c r="J679" s="30" t="s">
        <v>7170</v>
      </c>
      <c r="K679" s="197" t="n">
        <f aca="false">Alloc_In!D31</f>
        <v>0</v>
      </c>
      <c r="L679" s="197" t="n">
        <f aca="false">Alloc_In!E31</f>
        <v>0.05</v>
      </c>
      <c r="M679" s="30" t="s">
        <v>7183</v>
      </c>
      <c r="N679" s="6" t="s">
        <v>7184</v>
      </c>
      <c r="O679" s="6" t="s">
        <v>814</v>
      </c>
      <c r="P679" s="208" t="s">
        <v>5351</v>
      </c>
      <c r="Q679" s="197" t="n">
        <f aca="false">Alloc_In!C31</f>
        <v>0.02</v>
      </c>
      <c r="R679" s="30" t="s">
        <v>814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5309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7185</v>
      </c>
      <c r="B680" s="208" t="s">
        <v>7146</v>
      </c>
      <c r="C680" s="30" t="s">
        <v>3385</v>
      </c>
      <c r="D680" s="30" t="s">
        <v>7186</v>
      </c>
      <c r="E680" s="246" t="s">
        <v>7182</v>
      </c>
      <c r="F680" s="30" t="s">
        <v>180</v>
      </c>
      <c r="G680" s="208" t="s">
        <v>6264</v>
      </c>
      <c r="H680" s="30" t="s">
        <v>814</v>
      </c>
      <c r="I680" s="6" t="s">
        <v>814</v>
      </c>
      <c r="J680" s="30" t="s">
        <v>7170</v>
      </c>
      <c r="K680" s="208"/>
      <c r="L680" s="208"/>
      <c r="M680" s="30" t="s">
        <v>7187</v>
      </c>
      <c r="N680" s="6" t="s">
        <v>7184</v>
      </c>
      <c r="O680" s="6" t="s">
        <v>814</v>
      </c>
      <c r="P680" s="30" t="s">
        <v>814</v>
      </c>
      <c r="Q680" s="187" t="s">
        <v>814</v>
      </c>
      <c r="R680" s="30" t="s">
        <v>814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814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7188</v>
      </c>
      <c r="B681" s="208" t="s">
        <v>7146</v>
      </c>
      <c r="C681" s="30" t="s">
        <v>3385</v>
      </c>
      <c r="D681" s="30" t="s">
        <v>3234</v>
      </c>
      <c r="E681" s="246" t="s">
        <v>7189</v>
      </c>
      <c r="F681" s="30" t="s">
        <v>180</v>
      </c>
      <c r="G681" s="208" t="s">
        <v>115</v>
      </c>
      <c r="H681" s="30" t="s">
        <v>814</v>
      </c>
      <c r="I681" s="6" t="s">
        <v>814</v>
      </c>
      <c r="J681" s="30" t="s">
        <v>7170</v>
      </c>
      <c r="K681" s="197" t="n">
        <f aca="false">Alloc_In!D32</f>
        <v>0</v>
      </c>
      <c r="L681" s="197" t="n">
        <f aca="false">Alloc_In!E32</f>
        <v>0</v>
      </c>
      <c r="M681" s="30" t="s">
        <v>7190</v>
      </c>
      <c r="N681" s="6" t="s">
        <v>7191</v>
      </c>
      <c r="O681" s="6" t="s">
        <v>814</v>
      </c>
      <c r="P681" s="208" t="s">
        <v>5308</v>
      </c>
      <c r="Q681" s="197" t="n">
        <f aca="false">Alloc_In!C32</f>
        <v>0</v>
      </c>
      <c r="R681" s="30" t="s">
        <v>814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5309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7192</v>
      </c>
      <c r="B682" s="208" t="s">
        <v>7146</v>
      </c>
      <c r="C682" s="30" t="s">
        <v>3385</v>
      </c>
      <c r="D682" s="30" t="s">
        <v>7193</v>
      </c>
      <c r="E682" s="246" t="s">
        <v>7189</v>
      </c>
      <c r="F682" s="30" t="s">
        <v>180</v>
      </c>
      <c r="G682" s="208" t="s">
        <v>6264</v>
      </c>
      <c r="H682" s="30" t="s">
        <v>814</v>
      </c>
      <c r="I682" s="6" t="s">
        <v>814</v>
      </c>
      <c r="J682" s="30" t="s">
        <v>7170</v>
      </c>
      <c r="K682" s="208"/>
      <c r="L682" s="208"/>
      <c r="M682" s="30" t="s">
        <v>7194</v>
      </c>
      <c r="N682" s="6" t="s">
        <v>7191</v>
      </c>
      <c r="O682" s="6" t="s">
        <v>814</v>
      </c>
      <c r="P682" s="30" t="s">
        <v>814</v>
      </c>
      <c r="Q682" s="187" t="s">
        <v>814</v>
      </c>
      <c r="R682" s="30" t="s">
        <v>814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814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7195</v>
      </c>
      <c r="B683" s="208" t="s">
        <v>7146</v>
      </c>
      <c r="C683" s="30" t="s">
        <v>3377</v>
      </c>
      <c r="D683" s="30" t="s">
        <v>7196</v>
      </c>
      <c r="E683" s="6" t="s">
        <v>2085</v>
      </c>
      <c r="F683" s="30" t="s">
        <v>132</v>
      </c>
      <c r="G683" s="208" t="s">
        <v>5305</v>
      </c>
      <c r="H683" s="30" t="s">
        <v>814</v>
      </c>
      <c r="I683" s="6" t="s">
        <v>814</v>
      </c>
      <c r="J683" s="30" t="s">
        <v>7197</v>
      </c>
      <c r="K683" s="256" t="n">
        <v>400</v>
      </c>
      <c r="L683" s="256" t="n">
        <v>400</v>
      </c>
      <c r="M683" s="208" t="s">
        <v>7198</v>
      </c>
      <c r="N683" s="6" t="s">
        <v>7199</v>
      </c>
      <c r="O683" s="6" t="s">
        <v>814</v>
      </c>
      <c r="P683" s="208" t="s">
        <v>5308</v>
      </c>
      <c r="Q683" s="33" t="n">
        <f aca="false">Cap_In!C292</f>
        <v>400</v>
      </c>
      <c r="R683" s="30" t="s">
        <v>814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5309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7200</v>
      </c>
      <c r="B684" s="208" t="s">
        <v>7146</v>
      </c>
      <c r="C684" s="30" t="s">
        <v>3377</v>
      </c>
      <c r="D684" s="30" t="s">
        <v>7201</v>
      </c>
      <c r="E684" s="6" t="s">
        <v>2087</v>
      </c>
      <c r="F684" s="30" t="s">
        <v>132</v>
      </c>
      <c r="G684" s="208" t="s">
        <v>5305</v>
      </c>
      <c r="H684" s="30" t="s">
        <v>814</v>
      </c>
      <c r="I684" s="6" t="s">
        <v>814</v>
      </c>
      <c r="J684" s="30" t="s">
        <v>7197</v>
      </c>
      <c r="K684" s="256" t="n">
        <v>800</v>
      </c>
      <c r="L684" s="256" t="n">
        <v>800</v>
      </c>
      <c r="M684" s="208" t="s">
        <v>7202</v>
      </c>
      <c r="N684" s="6" t="s">
        <v>7203</v>
      </c>
      <c r="O684" s="6" t="s">
        <v>814</v>
      </c>
      <c r="P684" s="208" t="s">
        <v>5308</v>
      </c>
      <c r="Q684" s="33" t="n">
        <f aca="false">Cap_In!C293</f>
        <v>800</v>
      </c>
      <c r="R684" s="30" t="s">
        <v>814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5309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7204</v>
      </c>
      <c r="B685" s="254" t="s">
        <v>7205</v>
      </c>
      <c r="C685" s="30" t="s">
        <v>3387</v>
      </c>
      <c r="D685" s="30" t="s">
        <v>7206</v>
      </c>
      <c r="E685" s="246" t="s">
        <v>7207</v>
      </c>
      <c r="F685" s="254" t="s">
        <v>6049</v>
      </c>
      <c r="G685" s="254" t="s">
        <v>5953</v>
      </c>
      <c r="H685" s="208"/>
      <c r="I685" s="6" t="s">
        <v>814</v>
      </c>
      <c r="J685" s="30" t="s">
        <v>7208</v>
      </c>
      <c r="K685" s="254"/>
      <c r="L685" s="254"/>
      <c r="M685" s="30" t="s">
        <v>814</v>
      </c>
      <c r="N685" s="20" t="s">
        <v>7209</v>
      </c>
      <c r="O685" s="6" t="s">
        <v>814</v>
      </c>
      <c r="P685" s="30" t="s">
        <v>814</v>
      </c>
      <c r="Q685" s="187" t="s">
        <v>814</v>
      </c>
      <c r="R685" s="30" t="s">
        <v>814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814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7210</v>
      </c>
      <c r="B686" s="208" t="s">
        <v>7211</v>
      </c>
      <c r="C686" s="30" t="s">
        <v>3263</v>
      </c>
      <c r="D686" s="30" t="s">
        <v>7212</v>
      </c>
      <c r="E686" s="6" t="s">
        <v>764</v>
      </c>
      <c r="F686" s="30" t="s">
        <v>132</v>
      </c>
      <c r="G686" s="208" t="s">
        <v>5305</v>
      </c>
      <c r="H686" s="30" t="s">
        <v>814</v>
      </c>
      <c r="I686" s="6" t="s">
        <v>814</v>
      </c>
      <c r="J686" s="30" t="s">
        <v>7213</v>
      </c>
      <c r="K686" s="256" t="n">
        <v>0.1</v>
      </c>
      <c r="L686" s="256" t="n">
        <v>0.3</v>
      </c>
      <c r="M686" s="30" t="s">
        <v>7214</v>
      </c>
      <c r="N686" s="6" t="s">
        <v>7215</v>
      </c>
      <c r="O686" s="6" t="s">
        <v>814</v>
      </c>
      <c r="P686" s="208" t="s">
        <v>1440</v>
      </c>
      <c r="Q686" s="197" t="n">
        <f aca="false">Calib!C207</f>
        <v>0.2</v>
      </c>
      <c r="R686" s="30" t="s">
        <v>814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5309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7216</v>
      </c>
      <c r="B687" s="208" t="s">
        <v>7211</v>
      </c>
      <c r="C687" s="30" t="s">
        <v>3207</v>
      </c>
      <c r="D687" s="30" t="s">
        <v>3242</v>
      </c>
      <c r="E687" s="6" t="s">
        <v>300</v>
      </c>
      <c r="F687" s="30" t="s">
        <v>132</v>
      </c>
      <c r="G687" s="208" t="s">
        <v>5305</v>
      </c>
      <c r="H687" s="30" t="s">
        <v>814</v>
      </c>
      <c r="I687" s="6" t="s">
        <v>814</v>
      </c>
      <c r="J687" s="30" t="s">
        <v>7213</v>
      </c>
      <c r="K687" s="256" t="n">
        <v>1.2</v>
      </c>
      <c r="L687" s="256" t="n">
        <v>2</v>
      </c>
      <c r="M687" s="30" t="s">
        <v>7217</v>
      </c>
      <c r="N687" s="6" t="s">
        <v>7218</v>
      </c>
      <c r="O687" s="6" t="s">
        <v>814</v>
      </c>
      <c r="P687" s="208" t="s">
        <v>1440</v>
      </c>
      <c r="Q687" s="195" t="n">
        <f aca="false">Spec_Rack!C49</f>
        <v>1.5</v>
      </c>
      <c r="R687" s="30" t="s">
        <v>814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5309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7219</v>
      </c>
      <c r="B688" s="208" t="s">
        <v>7211</v>
      </c>
      <c r="C688" s="30" t="s">
        <v>3207</v>
      </c>
      <c r="D688" s="30" t="s">
        <v>3243</v>
      </c>
      <c r="E688" s="6" t="s">
        <v>302</v>
      </c>
      <c r="F688" s="30" t="s">
        <v>132</v>
      </c>
      <c r="G688" s="208" t="s">
        <v>5305</v>
      </c>
      <c r="H688" s="30" t="s">
        <v>814</v>
      </c>
      <c r="I688" s="6" t="s">
        <v>814</v>
      </c>
      <c r="J688" s="30" t="s">
        <v>7213</v>
      </c>
      <c r="K688" s="256" t="n">
        <v>2</v>
      </c>
      <c r="L688" s="256" t="n">
        <v>3</v>
      </c>
      <c r="M688" s="30" t="s">
        <v>7220</v>
      </c>
      <c r="N688" s="6" t="s">
        <v>7221</v>
      </c>
      <c r="O688" s="6" t="s">
        <v>814</v>
      </c>
      <c r="P688" s="208" t="s">
        <v>1440</v>
      </c>
      <c r="Q688" s="195" t="n">
        <f aca="false">Spec_Rack!C50</f>
        <v>2.5</v>
      </c>
      <c r="R688" s="30" t="s">
        <v>814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5309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7222</v>
      </c>
      <c r="B689" s="208" t="s">
        <v>7223</v>
      </c>
      <c r="C689" s="30" t="s">
        <v>3263</v>
      </c>
      <c r="D689" s="30" t="s">
        <v>3280</v>
      </c>
      <c r="E689" s="246" t="s">
        <v>7224</v>
      </c>
      <c r="F689" s="30" t="s">
        <v>180</v>
      </c>
      <c r="G689" s="208" t="s">
        <v>5305</v>
      </c>
      <c r="H689" s="30" t="s">
        <v>7225</v>
      </c>
      <c r="I689" s="246" t="s">
        <v>7226</v>
      </c>
      <c r="J689" s="30" t="s">
        <v>7227</v>
      </c>
      <c r="K689" s="256" t="n">
        <v>1.83</v>
      </c>
      <c r="L689" s="256" t="n">
        <v>3.04</v>
      </c>
      <c r="M689" s="30" t="s">
        <v>7228</v>
      </c>
      <c r="N689" s="6" t="s">
        <v>7229</v>
      </c>
      <c r="O689" s="6" t="s">
        <v>814</v>
      </c>
      <c r="P689" s="208" t="s">
        <v>1441</v>
      </c>
      <c r="Q689" s="195" t="n">
        <f aca="false">Calib!D156</f>
        <v>2.36</v>
      </c>
      <c r="R689" s="187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5309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7230</v>
      </c>
      <c r="B690" s="208" t="s">
        <v>7231</v>
      </c>
      <c r="C690" s="30" t="s">
        <v>3263</v>
      </c>
      <c r="D690" s="30" t="s">
        <v>7232</v>
      </c>
      <c r="E690" s="246" t="s">
        <v>7233</v>
      </c>
      <c r="F690" s="30" t="s">
        <v>132</v>
      </c>
      <c r="G690" s="208" t="s">
        <v>5305</v>
      </c>
      <c r="H690" s="30" t="s">
        <v>814</v>
      </c>
      <c r="I690" s="6" t="s">
        <v>814</v>
      </c>
      <c r="J690" s="30" t="s">
        <v>7234</v>
      </c>
      <c r="K690" s="256" t="n">
        <v>1.5</v>
      </c>
      <c r="L690" s="256" t="n">
        <v>3</v>
      </c>
      <c r="M690" s="30" t="s">
        <v>7235</v>
      </c>
      <c r="N690" s="6" t="s">
        <v>7236</v>
      </c>
      <c r="O690" s="6" t="s">
        <v>814</v>
      </c>
      <c r="P690" s="208" t="s">
        <v>1440</v>
      </c>
      <c r="Q690" s="202" t="n">
        <f aca="false">Calib!C257</f>
        <v>2</v>
      </c>
      <c r="R690" s="30" t="s">
        <v>814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5309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7237</v>
      </c>
      <c r="B691" s="208" t="s">
        <v>7231</v>
      </c>
      <c r="C691" s="30" t="s">
        <v>3263</v>
      </c>
      <c r="D691" s="30" t="s">
        <v>3279</v>
      </c>
      <c r="E691" s="246" t="s">
        <v>7238</v>
      </c>
      <c r="F691" s="30" t="s">
        <v>132</v>
      </c>
      <c r="G691" s="208" t="s">
        <v>5305</v>
      </c>
      <c r="H691" s="30" t="s">
        <v>814</v>
      </c>
      <c r="I691" s="6" t="s">
        <v>814</v>
      </c>
      <c r="J691" s="30" t="s">
        <v>7239</v>
      </c>
      <c r="K691" s="256" t="n">
        <v>1</v>
      </c>
      <c r="L691" s="256" t="n">
        <v>3.74</v>
      </c>
      <c r="M691" s="30" t="s">
        <v>7240</v>
      </c>
      <c r="N691" s="6" t="s">
        <v>7241</v>
      </c>
      <c r="O691" s="6" t="s">
        <v>814</v>
      </c>
      <c r="P691" s="208" t="s">
        <v>1441</v>
      </c>
      <c r="Q691" s="195" t="n">
        <f aca="false">Calib!C156</f>
        <v>1</v>
      </c>
      <c r="R691" s="30" t="s">
        <v>814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5309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2" t="s">
        <v>7242</v>
      </c>
    </row>
    <row r="2" customFormat="false" ht="15" hidden="false" customHeight="true" outlineLevel="0" collapsed="false">
      <c r="A2" s="45" t="s">
        <v>7243</v>
      </c>
    </row>
    <row r="4" customFormat="false" ht="29.25" hidden="false" customHeight="true" outlineLevel="0" collapsed="false">
      <c r="A4" s="253" t="s">
        <v>5279</v>
      </c>
      <c r="B4" s="253" t="s">
        <v>4689</v>
      </c>
      <c r="C4" s="253" t="s">
        <v>415</v>
      </c>
      <c r="D4" s="253" t="s">
        <v>7244</v>
      </c>
      <c r="E4" s="253" t="s">
        <v>7245</v>
      </c>
      <c r="F4" s="85" t="s">
        <v>7246</v>
      </c>
      <c r="G4" s="253" t="s">
        <v>801</v>
      </c>
      <c r="H4" s="253" t="s">
        <v>7247</v>
      </c>
      <c r="I4" s="253" t="s">
        <v>7248</v>
      </c>
      <c r="J4" s="253" t="s">
        <v>7249</v>
      </c>
    </row>
    <row r="5" customFormat="false" ht="29.25" hidden="false" customHeight="true" outlineLevel="0" collapsed="false">
      <c r="A5" s="30" t="s">
        <v>5306</v>
      </c>
      <c r="B5" s="30" t="s">
        <v>7250</v>
      </c>
      <c r="C5" s="20" t="s">
        <v>6</v>
      </c>
      <c r="D5" s="6" t="s">
        <v>7251</v>
      </c>
      <c r="E5" s="30" t="s">
        <v>7252</v>
      </c>
      <c r="F5" s="6" t="s">
        <v>814</v>
      </c>
      <c r="G5" s="254" t="s">
        <v>7253</v>
      </c>
      <c r="H5" s="6" t="s">
        <v>7254</v>
      </c>
      <c r="I5" s="254" t="s">
        <v>7255</v>
      </c>
      <c r="J5" s="254" t="s">
        <v>845</v>
      </c>
    </row>
    <row r="6" customFormat="false" ht="29.25" hidden="false" customHeight="true" outlineLevel="0" collapsed="false">
      <c r="A6" s="30" t="s">
        <v>5434</v>
      </c>
      <c r="B6" s="30" t="s">
        <v>7250</v>
      </c>
      <c r="C6" s="20" t="s">
        <v>204</v>
      </c>
      <c r="D6" s="6" t="s">
        <v>7256</v>
      </c>
      <c r="E6" s="30" t="s">
        <v>7252</v>
      </c>
      <c r="F6" s="6" t="s">
        <v>814</v>
      </c>
      <c r="G6" s="254" t="s">
        <v>7253</v>
      </c>
      <c r="H6" s="6" t="s">
        <v>814</v>
      </c>
      <c r="I6" s="254" t="s">
        <v>7255</v>
      </c>
      <c r="J6" s="254" t="s">
        <v>845</v>
      </c>
    </row>
    <row r="7" customFormat="false" ht="29.25" hidden="false" customHeight="true" outlineLevel="0" collapsed="false">
      <c r="A7" s="30" t="s">
        <v>5311</v>
      </c>
      <c r="B7" s="30" t="s">
        <v>7250</v>
      </c>
      <c r="C7" s="6" t="s">
        <v>7257</v>
      </c>
      <c r="D7" s="20" t="s">
        <v>7258</v>
      </c>
      <c r="E7" s="30" t="s">
        <v>7252</v>
      </c>
      <c r="F7" s="6" t="s">
        <v>814</v>
      </c>
      <c r="G7" s="254" t="s">
        <v>7253</v>
      </c>
      <c r="H7" s="6" t="s">
        <v>7259</v>
      </c>
      <c r="I7" s="254" t="s">
        <v>7255</v>
      </c>
      <c r="J7" s="254" t="s">
        <v>845</v>
      </c>
    </row>
    <row r="8" customFormat="false" ht="29.25" hidden="false" customHeight="true" outlineLevel="0" collapsed="false">
      <c r="A8" s="30" t="s">
        <v>5397</v>
      </c>
      <c r="B8" s="30" t="s">
        <v>7250</v>
      </c>
      <c r="C8" s="20" t="s">
        <v>7260</v>
      </c>
      <c r="D8" s="20" t="s">
        <v>7261</v>
      </c>
      <c r="E8" s="30" t="s">
        <v>7252</v>
      </c>
      <c r="F8" s="6" t="s">
        <v>814</v>
      </c>
      <c r="G8" s="254" t="s">
        <v>7253</v>
      </c>
      <c r="H8" s="6" t="s">
        <v>7262</v>
      </c>
      <c r="I8" s="254" t="s">
        <v>7255</v>
      </c>
      <c r="J8" s="254" t="s">
        <v>845</v>
      </c>
    </row>
    <row r="9" customFormat="false" ht="15" hidden="false" customHeight="true" outlineLevel="0" collapsed="false">
      <c r="A9" s="30" t="s">
        <v>5746</v>
      </c>
      <c r="B9" s="30" t="s">
        <v>7250</v>
      </c>
      <c r="C9" s="20" t="s">
        <v>309</v>
      </c>
      <c r="D9" s="20" t="s">
        <v>7263</v>
      </c>
      <c r="E9" s="30" t="s">
        <v>7252</v>
      </c>
      <c r="F9" s="6" t="s">
        <v>814</v>
      </c>
      <c r="G9" s="254" t="s">
        <v>7253</v>
      </c>
      <c r="H9" s="6" t="s">
        <v>814</v>
      </c>
      <c r="I9" s="254" t="s">
        <v>7255</v>
      </c>
      <c r="J9" s="254" t="s">
        <v>845</v>
      </c>
    </row>
    <row r="10" customFormat="false" ht="15" hidden="false" customHeight="true" outlineLevel="0" collapsed="false">
      <c r="A10" s="30" t="s">
        <v>3336</v>
      </c>
      <c r="B10" s="30" t="s">
        <v>7250</v>
      </c>
      <c r="C10" s="20" t="s">
        <v>7264</v>
      </c>
      <c r="D10" s="6" t="s">
        <v>7265</v>
      </c>
      <c r="E10" s="30" t="s">
        <v>7252</v>
      </c>
      <c r="F10" s="6" t="s">
        <v>814</v>
      </c>
      <c r="G10" s="254" t="s">
        <v>7253</v>
      </c>
      <c r="H10" s="6" t="s">
        <v>814</v>
      </c>
      <c r="I10" s="254" t="s">
        <v>7255</v>
      </c>
      <c r="J10" s="254" t="s">
        <v>845</v>
      </c>
    </row>
    <row r="11" customFormat="false" ht="15" hidden="false" customHeight="true" outlineLevel="0" collapsed="false">
      <c r="A11" s="30" t="s">
        <v>3345</v>
      </c>
      <c r="B11" s="30" t="s">
        <v>7250</v>
      </c>
      <c r="C11" s="20" t="s">
        <v>7266</v>
      </c>
      <c r="D11" s="6" t="s">
        <v>7267</v>
      </c>
      <c r="E11" s="30" t="s">
        <v>7252</v>
      </c>
      <c r="F11" s="6" t="s">
        <v>814</v>
      </c>
      <c r="G11" s="254" t="s">
        <v>7253</v>
      </c>
      <c r="H11" s="6" t="s">
        <v>814</v>
      </c>
      <c r="I11" s="254" t="s">
        <v>7255</v>
      </c>
      <c r="J11" s="254" t="s">
        <v>845</v>
      </c>
    </row>
    <row r="12" customFormat="false" ht="26.25" hidden="false" customHeight="true" outlineLevel="0" collapsed="false">
      <c r="A12" s="30" t="s">
        <v>3386</v>
      </c>
      <c r="B12" s="30" t="s">
        <v>7250</v>
      </c>
      <c r="C12" s="20" t="s">
        <v>7268</v>
      </c>
      <c r="D12" s="6" t="s">
        <v>7269</v>
      </c>
      <c r="E12" s="30" t="s">
        <v>7252</v>
      </c>
      <c r="F12" s="6" t="s">
        <v>814</v>
      </c>
      <c r="G12" s="254" t="s">
        <v>7253</v>
      </c>
      <c r="H12" s="6" t="s">
        <v>814</v>
      </c>
      <c r="I12" s="254" t="s">
        <v>7255</v>
      </c>
      <c r="J12" s="254" t="s">
        <v>845</v>
      </c>
    </row>
    <row r="13" customFormat="false" ht="15" hidden="false" customHeight="true" outlineLevel="0" collapsed="false">
      <c r="A13" s="30" t="s">
        <v>3147</v>
      </c>
      <c r="B13" s="30" t="s">
        <v>7250</v>
      </c>
      <c r="C13" s="20" t="s">
        <v>7270</v>
      </c>
      <c r="D13" s="20" t="s">
        <v>7271</v>
      </c>
      <c r="E13" s="30" t="s">
        <v>7252</v>
      </c>
      <c r="F13" s="6" t="s">
        <v>814</v>
      </c>
      <c r="G13" s="254" t="s">
        <v>7253</v>
      </c>
      <c r="H13" s="6" t="s">
        <v>814</v>
      </c>
      <c r="I13" s="254" t="s">
        <v>7255</v>
      </c>
      <c r="J13" s="254" t="s">
        <v>845</v>
      </c>
    </row>
    <row r="14" customFormat="false" ht="15" hidden="false" customHeight="true" outlineLevel="0" collapsed="false">
      <c r="A14" s="30" t="s">
        <v>3150</v>
      </c>
      <c r="B14" s="30" t="s">
        <v>7250</v>
      </c>
      <c r="C14" s="6" t="s">
        <v>1122</v>
      </c>
      <c r="D14" s="20" t="s">
        <v>7272</v>
      </c>
      <c r="E14" s="30" t="s">
        <v>7252</v>
      </c>
      <c r="F14" s="6" t="s">
        <v>814</v>
      </c>
      <c r="G14" s="254" t="s">
        <v>7253</v>
      </c>
      <c r="H14" s="6" t="s">
        <v>7273</v>
      </c>
      <c r="I14" s="254" t="s">
        <v>7255</v>
      </c>
      <c r="J14" s="254" t="s">
        <v>845</v>
      </c>
    </row>
    <row r="15" customFormat="false" ht="29.25" hidden="false" customHeight="true" outlineLevel="0" collapsed="false">
      <c r="A15" s="30" t="s">
        <v>3153</v>
      </c>
      <c r="B15" s="30" t="s">
        <v>7250</v>
      </c>
      <c r="C15" s="20" t="s">
        <v>7274</v>
      </c>
      <c r="D15" s="6" t="s">
        <v>7275</v>
      </c>
      <c r="E15" s="30" t="s">
        <v>7252</v>
      </c>
      <c r="F15" s="6" t="s">
        <v>814</v>
      </c>
      <c r="G15" s="254" t="s">
        <v>7253</v>
      </c>
      <c r="H15" s="6" t="s">
        <v>814</v>
      </c>
      <c r="I15" s="254" t="s">
        <v>7255</v>
      </c>
      <c r="J15" s="254" t="s">
        <v>845</v>
      </c>
    </row>
    <row r="16" customFormat="false" ht="15" hidden="false" customHeight="true" outlineLevel="0" collapsed="false">
      <c r="A16" s="30" t="s">
        <v>5771</v>
      </c>
      <c r="B16" s="30" t="s">
        <v>7276</v>
      </c>
      <c r="C16" s="6" t="s">
        <v>7277</v>
      </c>
      <c r="D16" s="20" t="s">
        <v>7278</v>
      </c>
      <c r="E16" s="30" t="s">
        <v>7252</v>
      </c>
      <c r="F16" s="6" t="s">
        <v>814</v>
      </c>
      <c r="G16" s="254" t="s">
        <v>7253</v>
      </c>
      <c r="H16" s="6" t="s">
        <v>7279</v>
      </c>
      <c r="I16" s="254" t="s">
        <v>7255</v>
      </c>
      <c r="J16" s="254" t="s">
        <v>845</v>
      </c>
    </row>
    <row r="17" customFormat="false" ht="15" hidden="false" customHeight="true" outlineLevel="0" collapsed="false">
      <c r="A17" s="30" t="s">
        <v>5822</v>
      </c>
      <c r="B17" s="30" t="s">
        <v>7276</v>
      </c>
      <c r="C17" s="6" t="s">
        <v>7280</v>
      </c>
      <c r="D17" s="20" t="s">
        <v>7281</v>
      </c>
      <c r="E17" s="30" t="s">
        <v>7252</v>
      </c>
      <c r="F17" s="6" t="s">
        <v>814</v>
      </c>
      <c r="G17" s="254" t="s">
        <v>7253</v>
      </c>
      <c r="H17" s="6" t="s">
        <v>7282</v>
      </c>
      <c r="I17" s="254" t="s">
        <v>7255</v>
      </c>
      <c r="J17" s="254" t="s">
        <v>845</v>
      </c>
    </row>
    <row r="18" customFormat="false" ht="29.25" hidden="false" customHeight="true" outlineLevel="0" collapsed="false">
      <c r="A18" s="30" t="s">
        <v>7283</v>
      </c>
      <c r="B18" s="30" t="s">
        <v>7276</v>
      </c>
      <c r="C18" s="6" t="s">
        <v>7284</v>
      </c>
      <c r="D18" s="20" t="s">
        <v>7285</v>
      </c>
      <c r="E18" s="30" t="s">
        <v>7252</v>
      </c>
      <c r="F18" s="6" t="s">
        <v>814</v>
      </c>
      <c r="G18" s="254" t="s">
        <v>7253</v>
      </c>
      <c r="H18" s="6" t="s">
        <v>7286</v>
      </c>
      <c r="I18" s="254" t="s">
        <v>7255</v>
      </c>
      <c r="J18" s="254" t="s">
        <v>845</v>
      </c>
    </row>
    <row r="19" customFormat="false" ht="15" hidden="false" customHeight="true" outlineLevel="0" collapsed="false">
      <c r="A19" s="30" t="s">
        <v>7287</v>
      </c>
      <c r="B19" s="30" t="s">
        <v>7276</v>
      </c>
      <c r="C19" s="6" t="s">
        <v>7288</v>
      </c>
      <c r="D19" s="20" t="s">
        <v>7289</v>
      </c>
      <c r="E19" s="30" t="s">
        <v>7252</v>
      </c>
      <c r="F19" s="6" t="s">
        <v>814</v>
      </c>
      <c r="G19" s="254" t="s">
        <v>7253</v>
      </c>
      <c r="H19" s="6" t="s">
        <v>814</v>
      </c>
      <c r="I19" s="254" t="s">
        <v>7255</v>
      </c>
      <c r="J19" s="254" t="s">
        <v>845</v>
      </c>
    </row>
    <row r="20" customFormat="false" ht="15" hidden="false" customHeight="true" outlineLevel="0" collapsed="false">
      <c r="A20" s="30" t="s">
        <v>7290</v>
      </c>
      <c r="B20" s="30" t="s">
        <v>7276</v>
      </c>
      <c r="C20" s="20" t="s">
        <v>7291</v>
      </c>
      <c r="D20" s="20" t="s">
        <v>7292</v>
      </c>
      <c r="E20" s="30" t="s">
        <v>7252</v>
      </c>
      <c r="F20" s="6" t="s">
        <v>814</v>
      </c>
      <c r="G20" s="254" t="s">
        <v>7253</v>
      </c>
      <c r="H20" s="6" t="s">
        <v>814</v>
      </c>
      <c r="I20" s="254" t="s">
        <v>7255</v>
      </c>
      <c r="J20" s="254" t="s">
        <v>845</v>
      </c>
    </row>
    <row r="21" customFormat="false" ht="15" hidden="false" customHeight="true" outlineLevel="0" collapsed="false">
      <c r="A21" s="30" t="s">
        <v>3338</v>
      </c>
      <c r="B21" s="30" t="s">
        <v>7276</v>
      </c>
      <c r="C21" s="20" t="s">
        <v>7293</v>
      </c>
      <c r="D21" s="6" t="s">
        <v>7294</v>
      </c>
      <c r="E21" s="30" t="s">
        <v>7252</v>
      </c>
      <c r="F21" s="6" t="s">
        <v>814</v>
      </c>
      <c r="G21" s="254" t="s">
        <v>7295</v>
      </c>
      <c r="H21" s="6" t="s">
        <v>7296</v>
      </c>
      <c r="I21" s="254" t="s">
        <v>7255</v>
      </c>
      <c r="J21" s="254" t="s">
        <v>845</v>
      </c>
    </row>
    <row r="22" customFormat="false" ht="29.25" hidden="false" customHeight="true" outlineLevel="0" collapsed="false">
      <c r="A22" s="30" t="s">
        <v>7297</v>
      </c>
      <c r="B22" s="30" t="s">
        <v>7276</v>
      </c>
      <c r="C22" s="20" t="s">
        <v>7298</v>
      </c>
      <c r="D22" s="6" t="s">
        <v>7299</v>
      </c>
      <c r="E22" s="30" t="s">
        <v>7252</v>
      </c>
      <c r="F22" s="20" t="s">
        <v>7300</v>
      </c>
      <c r="G22" s="254" t="s">
        <v>7295</v>
      </c>
      <c r="H22" s="6" t="s">
        <v>7301</v>
      </c>
      <c r="I22" s="254" t="s">
        <v>7255</v>
      </c>
      <c r="J22" s="254" t="s">
        <v>845</v>
      </c>
    </row>
    <row r="23" customFormat="false" ht="29.25" hidden="false" customHeight="true" outlineLevel="0" collapsed="false">
      <c r="A23" s="30" t="s">
        <v>7302</v>
      </c>
      <c r="B23" s="254" t="s">
        <v>7303</v>
      </c>
      <c r="C23" s="20" t="s">
        <v>48</v>
      </c>
      <c r="D23" s="6" t="s">
        <v>7304</v>
      </c>
      <c r="E23" s="30" t="s">
        <v>7305</v>
      </c>
      <c r="F23" s="6" t="s">
        <v>814</v>
      </c>
      <c r="G23" s="254" t="s">
        <v>7253</v>
      </c>
      <c r="H23" s="6" t="s">
        <v>814</v>
      </c>
      <c r="I23" s="254" t="s">
        <v>7255</v>
      </c>
      <c r="J23" s="254" t="s">
        <v>845</v>
      </c>
    </row>
    <row r="24" customFormat="false" ht="15" hidden="false" customHeight="true" outlineLevel="0" collapsed="false">
      <c r="A24" s="30" t="s">
        <v>3347</v>
      </c>
      <c r="B24" s="30" t="s">
        <v>7276</v>
      </c>
      <c r="C24" s="20" t="s">
        <v>7306</v>
      </c>
      <c r="D24" s="6" t="s">
        <v>7307</v>
      </c>
      <c r="E24" s="30" t="s">
        <v>7252</v>
      </c>
      <c r="F24" s="6" t="s">
        <v>814</v>
      </c>
      <c r="G24" s="254" t="s">
        <v>7253</v>
      </c>
      <c r="H24" s="6" t="s">
        <v>814</v>
      </c>
      <c r="I24" s="254" t="s">
        <v>7255</v>
      </c>
      <c r="J24" s="254" t="s">
        <v>845</v>
      </c>
    </row>
    <row r="25" customFormat="false" ht="29.25" hidden="false" customHeight="true" outlineLevel="0" collapsed="false">
      <c r="A25" s="30" t="s">
        <v>6613</v>
      </c>
      <c r="B25" s="30" t="s">
        <v>7276</v>
      </c>
      <c r="C25" s="6" t="s">
        <v>7308</v>
      </c>
      <c r="D25" s="20" t="s">
        <v>7309</v>
      </c>
      <c r="E25" s="30" t="s">
        <v>7252</v>
      </c>
      <c r="F25" s="6" t="s">
        <v>814</v>
      </c>
      <c r="G25" s="254" t="s">
        <v>7253</v>
      </c>
      <c r="H25" s="6" t="s">
        <v>814</v>
      </c>
      <c r="I25" s="254" t="s">
        <v>7255</v>
      </c>
      <c r="J25" s="254" t="s">
        <v>845</v>
      </c>
    </row>
    <row r="26" customFormat="false" ht="43.5" hidden="false" customHeight="true" outlineLevel="0" collapsed="false">
      <c r="A26" s="30" t="s">
        <v>6643</v>
      </c>
      <c r="B26" s="30" t="s">
        <v>7276</v>
      </c>
      <c r="C26" s="6" t="s">
        <v>7310</v>
      </c>
      <c r="D26" s="20" t="s">
        <v>7311</v>
      </c>
      <c r="E26" s="30" t="s">
        <v>1530</v>
      </c>
      <c r="F26" s="6" t="s">
        <v>814</v>
      </c>
      <c r="G26" s="254" t="s">
        <v>7253</v>
      </c>
      <c r="H26" s="6" t="s">
        <v>814</v>
      </c>
      <c r="I26" s="254" t="s">
        <v>7255</v>
      </c>
      <c r="J26" s="254" t="s">
        <v>845</v>
      </c>
    </row>
    <row r="27" customFormat="false" ht="15" hidden="false" customHeight="true" outlineLevel="0" collapsed="false">
      <c r="A27" s="30" t="s">
        <v>6596</v>
      </c>
      <c r="B27" s="30" t="s">
        <v>7276</v>
      </c>
      <c r="C27" s="20" t="s">
        <v>1382</v>
      </c>
      <c r="D27" s="20" t="s">
        <v>7312</v>
      </c>
      <c r="E27" s="30" t="s">
        <v>7252</v>
      </c>
      <c r="F27" s="6" t="s">
        <v>814</v>
      </c>
      <c r="G27" s="254" t="s">
        <v>7253</v>
      </c>
      <c r="H27" s="6" t="s">
        <v>814</v>
      </c>
      <c r="I27" s="254" t="s">
        <v>7255</v>
      </c>
      <c r="J27" s="254" t="s">
        <v>845</v>
      </c>
    </row>
    <row r="28" customFormat="false" ht="15" hidden="false" customHeight="true" outlineLevel="0" collapsed="false">
      <c r="A28" s="30" t="s">
        <v>7313</v>
      </c>
      <c r="B28" s="30" t="s">
        <v>7276</v>
      </c>
      <c r="C28" s="20" t="s">
        <v>7314</v>
      </c>
      <c r="D28" s="6" t="s">
        <v>7315</v>
      </c>
      <c r="E28" s="30" t="s">
        <v>7252</v>
      </c>
      <c r="F28" s="6" t="s">
        <v>814</v>
      </c>
      <c r="G28" s="254" t="s">
        <v>7253</v>
      </c>
      <c r="H28" s="6" t="s">
        <v>814</v>
      </c>
      <c r="I28" s="254" t="s">
        <v>7255</v>
      </c>
      <c r="J28" s="254" t="s">
        <v>845</v>
      </c>
    </row>
    <row r="29" customFormat="false" ht="15" hidden="false" customHeight="true" outlineLevel="0" collapsed="false">
      <c r="A29" s="30" t="s">
        <v>6703</v>
      </c>
      <c r="B29" s="30" t="s">
        <v>7276</v>
      </c>
      <c r="C29" s="6" t="s">
        <v>7316</v>
      </c>
      <c r="D29" s="6" t="s">
        <v>7317</v>
      </c>
      <c r="E29" s="30" t="s">
        <v>7252</v>
      </c>
      <c r="F29" s="6" t="s">
        <v>814</v>
      </c>
      <c r="G29" s="254" t="s">
        <v>7253</v>
      </c>
      <c r="H29" s="6" t="s">
        <v>814</v>
      </c>
      <c r="I29" s="254" t="s">
        <v>7255</v>
      </c>
      <c r="J29" s="254" t="s">
        <v>845</v>
      </c>
    </row>
    <row r="30" customFormat="false" ht="15" hidden="false" customHeight="true" outlineLevel="0" collapsed="false">
      <c r="A30" s="30" t="s">
        <v>6603</v>
      </c>
      <c r="B30" s="30" t="s">
        <v>7276</v>
      </c>
      <c r="C30" s="20" t="s">
        <v>7318</v>
      </c>
      <c r="D30" s="6" t="s">
        <v>7319</v>
      </c>
      <c r="E30" s="30" t="s">
        <v>7305</v>
      </c>
      <c r="F30" s="6" t="s">
        <v>814</v>
      </c>
      <c r="G30" s="254" t="s">
        <v>7253</v>
      </c>
      <c r="H30" s="6" t="s">
        <v>7320</v>
      </c>
      <c r="I30" s="254" t="s">
        <v>7255</v>
      </c>
      <c r="J30" s="254" t="s">
        <v>845</v>
      </c>
    </row>
    <row r="31" customFormat="false" ht="15" hidden="false" customHeight="true" outlineLevel="0" collapsed="false">
      <c r="A31" s="30" t="s">
        <v>6229</v>
      </c>
      <c r="B31" s="30" t="s">
        <v>7276</v>
      </c>
      <c r="C31" s="20" t="s">
        <v>7321</v>
      </c>
      <c r="D31" s="20" t="s">
        <v>7322</v>
      </c>
      <c r="E31" s="30" t="s">
        <v>7252</v>
      </c>
      <c r="F31" s="6" t="s">
        <v>814</v>
      </c>
      <c r="G31" s="254" t="s">
        <v>7253</v>
      </c>
      <c r="H31" s="6" t="s">
        <v>814</v>
      </c>
      <c r="I31" s="254" t="s">
        <v>7255</v>
      </c>
      <c r="J31" s="254" t="s">
        <v>845</v>
      </c>
    </row>
    <row r="32" customFormat="false" ht="43.5" hidden="false" customHeight="true" outlineLevel="0" collapsed="false">
      <c r="A32" s="30" t="s">
        <v>7323</v>
      </c>
      <c r="B32" s="254" t="s">
        <v>7303</v>
      </c>
      <c r="C32" s="20" t="s">
        <v>7324</v>
      </c>
      <c r="D32" s="6" t="s">
        <v>7325</v>
      </c>
      <c r="E32" s="30" t="s">
        <v>7326</v>
      </c>
      <c r="F32" s="6" t="s">
        <v>814</v>
      </c>
      <c r="G32" s="254" t="s">
        <v>7253</v>
      </c>
      <c r="H32" s="6" t="s">
        <v>814</v>
      </c>
      <c r="I32" s="254" t="s">
        <v>7255</v>
      </c>
      <c r="J32" s="254" t="s">
        <v>845</v>
      </c>
    </row>
    <row r="33" customFormat="false" ht="43.5" hidden="false" customHeight="true" outlineLevel="0" collapsed="false">
      <c r="A33" s="30" t="s">
        <v>7327</v>
      </c>
      <c r="B33" s="254" t="s">
        <v>7303</v>
      </c>
      <c r="C33" s="6" t="s">
        <v>7328</v>
      </c>
      <c r="D33" s="20" t="s">
        <v>7329</v>
      </c>
      <c r="E33" s="30" t="s">
        <v>7252</v>
      </c>
      <c r="F33" s="6" t="s">
        <v>814</v>
      </c>
      <c r="G33" s="254" t="s">
        <v>7253</v>
      </c>
      <c r="H33" s="6" t="s">
        <v>814</v>
      </c>
      <c r="I33" s="254" t="s">
        <v>7255</v>
      </c>
      <c r="J33" s="254" t="s">
        <v>845</v>
      </c>
    </row>
    <row r="34" customFormat="false" ht="43.5" hidden="false" customHeight="true" outlineLevel="0" collapsed="false">
      <c r="A34" s="30" t="s">
        <v>7330</v>
      </c>
      <c r="B34" s="254" t="s">
        <v>7303</v>
      </c>
      <c r="C34" s="6" t="s">
        <v>7331</v>
      </c>
      <c r="D34" s="20" t="s">
        <v>7332</v>
      </c>
      <c r="E34" s="30" t="s">
        <v>1530</v>
      </c>
      <c r="F34" s="6" t="s">
        <v>814</v>
      </c>
      <c r="G34" s="254" t="s">
        <v>7253</v>
      </c>
      <c r="H34" s="6" t="s">
        <v>814</v>
      </c>
      <c r="I34" s="254" t="s">
        <v>7255</v>
      </c>
      <c r="J34" s="254" t="s">
        <v>845</v>
      </c>
    </row>
    <row r="35" customFormat="false" ht="43.5" hidden="false" customHeight="true" outlineLevel="0" collapsed="false">
      <c r="A35" s="30" t="s">
        <v>7333</v>
      </c>
      <c r="B35" s="254" t="s">
        <v>7303</v>
      </c>
      <c r="C35" s="20" t="s">
        <v>7334</v>
      </c>
      <c r="D35" s="6" t="s">
        <v>7335</v>
      </c>
      <c r="E35" s="30" t="s">
        <v>1530</v>
      </c>
      <c r="F35" s="6" t="s">
        <v>814</v>
      </c>
      <c r="G35" s="254" t="s">
        <v>7253</v>
      </c>
      <c r="H35" s="6" t="s">
        <v>814</v>
      </c>
      <c r="I35" s="254" t="s">
        <v>7255</v>
      </c>
      <c r="J35" s="254" t="s">
        <v>845</v>
      </c>
    </row>
    <row r="36" customFormat="false" ht="15" hidden="false" customHeight="true" outlineLevel="0" collapsed="false">
      <c r="A36" s="30" t="s">
        <v>3342</v>
      </c>
      <c r="B36" s="254" t="s">
        <v>7303</v>
      </c>
      <c r="C36" s="20" t="s">
        <v>7336</v>
      </c>
      <c r="D36" s="20" t="s">
        <v>7337</v>
      </c>
      <c r="E36" s="30" t="s">
        <v>7252</v>
      </c>
      <c r="F36" s="6" t="s">
        <v>814</v>
      </c>
      <c r="G36" s="254" t="s">
        <v>7253</v>
      </c>
      <c r="H36" s="6" t="s">
        <v>814</v>
      </c>
      <c r="I36" s="254" t="s">
        <v>7255</v>
      </c>
      <c r="J36" s="254" t="s">
        <v>845</v>
      </c>
    </row>
    <row r="37" customFormat="false" ht="15" hidden="false" customHeight="true" outlineLevel="0" collapsed="false">
      <c r="A37" s="30" t="s">
        <v>5111</v>
      </c>
      <c r="B37" s="30" t="s">
        <v>909</v>
      </c>
      <c r="C37" s="20" t="s">
        <v>7338</v>
      </c>
      <c r="D37" s="6" t="s">
        <v>7339</v>
      </c>
      <c r="E37" s="30" t="s">
        <v>1530</v>
      </c>
      <c r="F37" s="20" t="s">
        <v>7340</v>
      </c>
      <c r="G37" s="254" t="s">
        <v>7253</v>
      </c>
      <c r="H37" s="6" t="s">
        <v>814</v>
      </c>
      <c r="I37" s="254" t="s">
        <v>7255</v>
      </c>
      <c r="J37" s="254" t="s">
        <v>845</v>
      </c>
    </row>
    <row r="38" customFormat="false" ht="29.25" hidden="false" customHeight="true" outlineLevel="0" collapsed="false">
      <c r="A38" s="30" t="s">
        <v>5114</v>
      </c>
      <c r="B38" s="30" t="s">
        <v>909</v>
      </c>
      <c r="C38" s="20" t="s">
        <v>7341</v>
      </c>
      <c r="D38" s="6" t="s">
        <v>7342</v>
      </c>
      <c r="E38" s="30" t="s">
        <v>7252</v>
      </c>
      <c r="F38" s="20" t="s">
        <v>7343</v>
      </c>
      <c r="G38" s="254" t="s">
        <v>7253</v>
      </c>
      <c r="H38" s="6" t="s">
        <v>814</v>
      </c>
      <c r="I38" s="254" t="s">
        <v>7255</v>
      </c>
      <c r="J38" s="254" t="s">
        <v>845</v>
      </c>
    </row>
    <row r="39" customFormat="false" ht="29.25" hidden="false" customHeight="true" outlineLevel="0" collapsed="false">
      <c r="A39" s="30" t="s">
        <v>5117</v>
      </c>
      <c r="B39" s="30" t="s">
        <v>909</v>
      </c>
      <c r="C39" s="20" t="s">
        <v>7344</v>
      </c>
      <c r="D39" s="6" t="s">
        <v>7345</v>
      </c>
      <c r="E39" s="30" t="s">
        <v>7252</v>
      </c>
      <c r="F39" s="6" t="s">
        <v>814</v>
      </c>
      <c r="G39" s="254" t="s">
        <v>7253</v>
      </c>
      <c r="H39" s="6" t="s">
        <v>814</v>
      </c>
      <c r="I39" s="254" t="s">
        <v>7255</v>
      </c>
      <c r="J39" s="254" t="s">
        <v>845</v>
      </c>
    </row>
    <row r="40" customFormat="false" ht="43.5" hidden="false" customHeight="true" outlineLevel="0" collapsed="false">
      <c r="A40" s="30" t="s">
        <v>5120</v>
      </c>
      <c r="B40" s="30" t="s">
        <v>909</v>
      </c>
      <c r="C40" s="20" t="s">
        <v>7346</v>
      </c>
      <c r="D40" s="6" t="s">
        <v>7347</v>
      </c>
      <c r="E40" s="30" t="s">
        <v>7252</v>
      </c>
      <c r="F40" s="20" t="s">
        <v>7348</v>
      </c>
      <c r="G40" s="254" t="s">
        <v>7253</v>
      </c>
      <c r="H40" s="6" t="s">
        <v>814</v>
      </c>
      <c r="I40" s="254" t="s">
        <v>7255</v>
      </c>
      <c r="J40" s="254" t="s">
        <v>845</v>
      </c>
    </row>
    <row r="41" customFormat="false" ht="15" hidden="false" customHeight="true" outlineLevel="0" collapsed="false">
      <c r="A41" s="30" t="s">
        <v>5123</v>
      </c>
      <c r="B41" s="30" t="s">
        <v>909</v>
      </c>
      <c r="C41" s="20" t="s">
        <v>7349</v>
      </c>
      <c r="D41" s="6" t="s">
        <v>7350</v>
      </c>
      <c r="E41" s="30" t="s">
        <v>7252</v>
      </c>
      <c r="F41" s="6" t="s">
        <v>814</v>
      </c>
      <c r="G41" s="254" t="s">
        <v>7253</v>
      </c>
      <c r="H41" s="6" t="s">
        <v>814</v>
      </c>
      <c r="I41" s="254" t="s">
        <v>7255</v>
      </c>
      <c r="J41" s="254" t="s">
        <v>845</v>
      </c>
    </row>
    <row r="42" customFormat="false" ht="43.5" hidden="false" customHeight="true" outlineLevel="0" collapsed="false">
      <c r="A42" s="30" t="s">
        <v>3339</v>
      </c>
      <c r="B42" s="30" t="s">
        <v>909</v>
      </c>
      <c r="C42" s="20" t="s">
        <v>7351</v>
      </c>
      <c r="D42" s="20" t="s">
        <v>7352</v>
      </c>
      <c r="E42" s="30" t="s">
        <v>1530</v>
      </c>
      <c r="F42" s="6" t="s">
        <v>814</v>
      </c>
      <c r="G42" s="254" t="s">
        <v>7253</v>
      </c>
      <c r="H42" s="6" t="s">
        <v>7353</v>
      </c>
      <c r="I42" s="254" t="s">
        <v>7255</v>
      </c>
      <c r="J42" s="254" t="s">
        <v>845</v>
      </c>
    </row>
    <row r="43" customFormat="false" ht="29.25" hidden="false" customHeight="true" outlineLevel="0" collapsed="false">
      <c r="A43" s="30" t="s">
        <v>3348</v>
      </c>
      <c r="B43" s="30" t="s">
        <v>909</v>
      </c>
      <c r="C43" s="6" t="s">
        <v>7354</v>
      </c>
      <c r="D43" s="20" t="s">
        <v>7355</v>
      </c>
      <c r="E43" s="30" t="s">
        <v>7252</v>
      </c>
      <c r="F43" s="6" t="s">
        <v>814</v>
      </c>
      <c r="G43" s="254" t="s">
        <v>7253</v>
      </c>
      <c r="H43" s="6" t="s">
        <v>814</v>
      </c>
      <c r="I43" s="254" t="s">
        <v>7255</v>
      </c>
      <c r="J43" s="254" t="s">
        <v>845</v>
      </c>
    </row>
    <row r="44" customFormat="false" ht="15" hidden="false" customHeight="true" outlineLevel="0" collapsed="false">
      <c r="A44" s="30" t="s">
        <v>7356</v>
      </c>
      <c r="B44" s="30" t="s">
        <v>909</v>
      </c>
      <c r="C44" s="20" t="s">
        <v>7357</v>
      </c>
      <c r="D44" s="20" t="s">
        <v>7358</v>
      </c>
      <c r="E44" s="30" t="s">
        <v>7252</v>
      </c>
      <c r="F44" s="6" t="s">
        <v>814</v>
      </c>
      <c r="G44" s="254" t="s">
        <v>7253</v>
      </c>
      <c r="H44" s="6" t="s">
        <v>814</v>
      </c>
      <c r="I44" s="254" t="s">
        <v>7255</v>
      </c>
      <c r="J44" s="254" t="s">
        <v>845</v>
      </c>
    </row>
    <row r="45" customFormat="false" ht="29.25" hidden="false" customHeight="true" outlineLevel="0" collapsed="false">
      <c r="A45" s="30" t="s">
        <v>7359</v>
      </c>
      <c r="B45" s="30" t="s">
        <v>909</v>
      </c>
      <c r="C45" s="20" t="s">
        <v>7360</v>
      </c>
      <c r="D45" s="20" t="s">
        <v>7361</v>
      </c>
      <c r="E45" s="30" t="s">
        <v>7252</v>
      </c>
      <c r="F45" s="6" t="s">
        <v>814</v>
      </c>
      <c r="G45" s="254" t="s">
        <v>7253</v>
      </c>
      <c r="H45" s="6" t="s">
        <v>814</v>
      </c>
      <c r="I45" s="254" t="s">
        <v>7255</v>
      </c>
      <c r="J45" s="254" t="s">
        <v>845</v>
      </c>
    </row>
    <row r="46" customFormat="false" ht="26.25" hidden="false" customHeight="true" outlineLevel="0" collapsed="false">
      <c r="A46" s="30" t="s">
        <v>6329</v>
      </c>
      <c r="B46" s="30" t="s">
        <v>909</v>
      </c>
      <c r="C46" s="20" t="s">
        <v>7362</v>
      </c>
      <c r="D46" s="20" t="s">
        <v>7363</v>
      </c>
      <c r="E46" s="30" t="s">
        <v>7252</v>
      </c>
      <c r="F46" s="6" t="s">
        <v>814</v>
      </c>
      <c r="G46" s="254" t="s">
        <v>7253</v>
      </c>
      <c r="H46" s="6" t="s">
        <v>814</v>
      </c>
      <c r="I46" s="254" t="s">
        <v>7255</v>
      </c>
      <c r="J46" s="254" t="s">
        <v>845</v>
      </c>
    </row>
    <row r="47" customFormat="false" ht="29.25" hidden="false" customHeight="true" outlineLevel="0" collapsed="false">
      <c r="A47" s="30" t="s">
        <v>5816</v>
      </c>
      <c r="B47" s="30" t="s">
        <v>909</v>
      </c>
      <c r="C47" s="20" t="s">
        <v>7364</v>
      </c>
      <c r="D47" s="20" t="s">
        <v>7365</v>
      </c>
      <c r="E47" s="30" t="s">
        <v>7366</v>
      </c>
      <c r="F47" s="20" t="s">
        <v>7367</v>
      </c>
      <c r="G47" s="254" t="s">
        <v>7295</v>
      </c>
      <c r="H47" s="6" t="s">
        <v>7368</v>
      </c>
      <c r="I47" s="254" t="s">
        <v>7255</v>
      </c>
      <c r="J47" s="254" t="s">
        <v>845</v>
      </c>
    </row>
    <row r="48" customFormat="false" ht="15" hidden="false" customHeight="true" outlineLevel="0" collapsed="false">
      <c r="A48" s="30" t="s">
        <v>6291</v>
      </c>
      <c r="B48" s="30" t="s">
        <v>909</v>
      </c>
      <c r="C48" s="20" t="s">
        <v>7369</v>
      </c>
      <c r="D48" s="20" t="s">
        <v>7370</v>
      </c>
      <c r="E48" s="30" t="s">
        <v>7252</v>
      </c>
      <c r="F48" s="6" t="s">
        <v>814</v>
      </c>
      <c r="G48" s="254" t="s">
        <v>7253</v>
      </c>
      <c r="H48" s="6" t="s">
        <v>814</v>
      </c>
      <c r="I48" s="254" t="s">
        <v>7255</v>
      </c>
      <c r="J48" s="254" t="s">
        <v>845</v>
      </c>
    </row>
    <row r="49" customFormat="false" ht="15" hidden="false" customHeight="true" outlineLevel="0" collapsed="false">
      <c r="A49" s="30" t="s">
        <v>6376</v>
      </c>
      <c r="B49" s="30" t="s">
        <v>909</v>
      </c>
      <c r="C49" s="20" t="s">
        <v>7371</v>
      </c>
      <c r="D49" s="20" t="s">
        <v>7372</v>
      </c>
      <c r="E49" s="30" t="s">
        <v>7252</v>
      </c>
      <c r="F49" s="20" t="s">
        <v>7373</v>
      </c>
      <c r="G49" s="254" t="s">
        <v>7253</v>
      </c>
      <c r="H49" s="6" t="s">
        <v>814</v>
      </c>
      <c r="I49" s="254" t="s">
        <v>7255</v>
      </c>
      <c r="J49" s="254" t="s">
        <v>845</v>
      </c>
    </row>
    <row r="50" customFormat="false" ht="15" hidden="false" customHeight="true" outlineLevel="0" collapsed="false">
      <c r="A50" s="30" t="s">
        <v>7374</v>
      </c>
      <c r="B50" s="30" t="s">
        <v>909</v>
      </c>
      <c r="C50" s="20" t="s">
        <v>7375</v>
      </c>
      <c r="D50" s="20" t="s">
        <v>7376</v>
      </c>
      <c r="E50" s="30" t="s">
        <v>7252</v>
      </c>
      <c r="F50" s="6" t="s">
        <v>814</v>
      </c>
      <c r="G50" s="254" t="s">
        <v>7253</v>
      </c>
      <c r="H50" s="6" t="s">
        <v>814</v>
      </c>
      <c r="I50" s="254" t="s">
        <v>7255</v>
      </c>
      <c r="J50" s="254" t="s">
        <v>845</v>
      </c>
    </row>
    <row r="51" customFormat="false" ht="43.5" hidden="false" customHeight="true" outlineLevel="0" collapsed="false">
      <c r="A51" s="30" t="s">
        <v>5923</v>
      </c>
      <c r="B51" s="30" t="s">
        <v>7377</v>
      </c>
      <c r="C51" s="6" t="s">
        <v>7378</v>
      </c>
      <c r="D51" s="20" t="s">
        <v>7379</v>
      </c>
      <c r="E51" s="30" t="s">
        <v>1530</v>
      </c>
      <c r="F51" s="20" t="s">
        <v>7380</v>
      </c>
      <c r="G51" s="254" t="s">
        <v>7253</v>
      </c>
      <c r="H51" s="6" t="s">
        <v>7381</v>
      </c>
      <c r="I51" s="254" t="s">
        <v>7255</v>
      </c>
      <c r="J51" s="254" t="s">
        <v>845</v>
      </c>
    </row>
    <row r="52" customFormat="false" ht="29.25" hidden="false" customHeight="true" outlineLevel="0" collapsed="false">
      <c r="A52" s="30" t="s">
        <v>7382</v>
      </c>
      <c r="B52" s="30" t="s">
        <v>7377</v>
      </c>
      <c r="C52" s="20" t="s">
        <v>7383</v>
      </c>
      <c r="D52" s="6" t="s">
        <v>7384</v>
      </c>
      <c r="E52" s="30" t="s">
        <v>7252</v>
      </c>
      <c r="F52" s="20" t="s">
        <v>7385</v>
      </c>
      <c r="G52" s="254" t="s">
        <v>7253</v>
      </c>
      <c r="H52" s="6" t="s">
        <v>814</v>
      </c>
      <c r="I52" s="254" t="s">
        <v>7255</v>
      </c>
      <c r="J52" s="254" t="s">
        <v>845</v>
      </c>
    </row>
    <row r="53" customFormat="false" ht="29.25" hidden="false" customHeight="true" outlineLevel="0" collapsed="false">
      <c r="A53" s="30" t="s">
        <v>5927</v>
      </c>
      <c r="B53" s="30" t="s">
        <v>7377</v>
      </c>
      <c r="C53" s="20" t="s">
        <v>7386</v>
      </c>
      <c r="D53" s="20" t="s">
        <v>7387</v>
      </c>
      <c r="E53" s="30" t="s">
        <v>7252</v>
      </c>
      <c r="F53" s="20" t="s">
        <v>7388</v>
      </c>
      <c r="G53" s="254" t="s">
        <v>7253</v>
      </c>
      <c r="H53" s="6" t="s">
        <v>7389</v>
      </c>
      <c r="I53" s="254" t="s">
        <v>7255</v>
      </c>
      <c r="J53" s="254" t="s">
        <v>845</v>
      </c>
    </row>
    <row r="54" customFormat="false" ht="29.25" hidden="false" customHeight="true" outlineLevel="0" collapsed="false">
      <c r="A54" s="30" t="s">
        <v>7390</v>
      </c>
      <c r="B54" s="30" t="s">
        <v>7377</v>
      </c>
      <c r="C54" s="6" t="s">
        <v>7391</v>
      </c>
      <c r="D54" s="20" t="s">
        <v>7392</v>
      </c>
      <c r="E54" s="30" t="s">
        <v>7252</v>
      </c>
      <c r="F54" s="6" t="s">
        <v>814</v>
      </c>
      <c r="G54" s="254" t="s">
        <v>7253</v>
      </c>
      <c r="H54" s="6" t="s">
        <v>814</v>
      </c>
      <c r="I54" s="254" t="s">
        <v>7255</v>
      </c>
      <c r="J54" s="254" t="s">
        <v>845</v>
      </c>
    </row>
    <row r="55" customFormat="false" ht="15" hidden="false" customHeight="true" outlineLevel="0" collapsed="false">
      <c r="A55" s="30" t="s">
        <v>7393</v>
      </c>
      <c r="B55" s="30" t="s">
        <v>7377</v>
      </c>
      <c r="C55" s="20" t="s">
        <v>7394</v>
      </c>
      <c r="D55" s="20" t="s">
        <v>7395</v>
      </c>
      <c r="E55" s="30" t="s">
        <v>7252</v>
      </c>
      <c r="F55" s="6" t="s">
        <v>814</v>
      </c>
      <c r="G55" s="254" t="s">
        <v>7253</v>
      </c>
      <c r="H55" s="6" t="s">
        <v>814</v>
      </c>
      <c r="I55" s="254" t="s">
        <v>7255</v>
      </c>
      <c r="J55" s="254" t="s">
        <v>845</v>
      </c>
    </row>
    <row r="56" customFormat="false" ht="15" hidden="false" customHeight="true" outlineLevel="0" collapsed="false">
      <c r="A56" s="30" t="s">
        <v>3340</v>
      </c>
      <c r="B56" s="30" t="s">
        <v>7377</v>
      </c>
      <c r="C56" s="20" t="s">
        <v>7396</v>
      </c>
      <c r="D56" s="20" t="s">
        <v>7397</v>
      </c>
      <c r="E56" s="30" t="s">
        <v>7252</v>
      </c>
      <c r="F56" s="6" t="s">
        <v>814</v>
      </c>
      <c r="G56" s="254" t="s">
        <v>7253</v>
      </c>
      <c r="H56" s="6" t="s">
        <v>814</v>
      </c>
      <c r="I56" s="254" t="s">
        <v>7255</v>
      </c>
      <c r="J56" s="254" t="s">
        <v>845</v>
      </c>
    </row>
    <row r="57" customFormat="false" ht="29.25" hidden="false" customHeight="true" outlineLevel="0" collapsed="false">
      <c r="A57" s="30" t="s">
        <v>3349</v>
      </c>
      <c r="B57" s="30" t="s">
        <v>7377</v>
      </c>
      <c r="C57" s="6" t="s">
        <v>7398</v>
      </c>
      <c r="D57" s="20" t="s">
        <v>7399</v>
      </c>
      <c r="E57" s="30" t="s">
        <v>7252</v>
      </c>
      <c r="F57" s="6" t="s">
        <v>814</v>
      </c>
      <c r="G57" s="254" t="s">
        <v>7253</v>
      </c>
      <c r="H57" s="6" t="s">
        <v>814</v>
      </c>
      <c r="I57" s="254" t="s">
        <v>7255</v>
      </c>
      <c r="J57" s="254" t="s">
        <v>845</v>
      </c>
    </row>
    <row r="58" customFormat="false" ht="29.25" hidden="false" customHeight="true" outlineLevel="0" collapsed="false">
      <c r="A58" s="30" t="s">
        <v>7400</v>
      </c>
      <c r="B58" s="30" t="s">
        <v>7377</v>
      </c>
      <c r="C58" s="20" t="s">
        <v>7401</v>
      </c>
      <c r="D58" s="6" t="s">
        <v>7402</v>
      </c>
      <c r="E58" s="30" t="s">
        <v>1530</v>
      </c>
      <c r="F58" s="6" t="s">
        <v>814</v>
      </c>
      <c r="G58" s="254" t="s">
        <v>7253</v>
      </c>
      <c r="H58" s="6" t="s">
        <v>7403</v>
      </c>
      <c r="I58" s="254" t="s">
        <v>7255</v>
      </c>
      <c r="J58" s="254" t="s">
        <v>845</v>
      </c>
    </row>
    <row r="59" customFormat="false" ht="43.5" hidden="false" customHeight="true" outlineLevel="0" collapsed="false">
      <c r="A59" s="30" t="s">
        <v>861</v>
      </c>
      <c r="B59" s="30" t="s">
        <v>24</v>
      </c>
      <c r="C59" s="20" t="s">
        <v>7404</v>
      </c>
      <c r="D59" s="20" t="s">
        <v>7405</v>
      </c>
      <c r="E59" s="30" t="s">
        <v>1530</v>
      </c>
      <c r="F59" s="6" t="s">
        <v>814</v>
      </c>
      <c r="G59" s="254" t="s">
        <v>7253</v>
      </c>
      <c r="H59" s="6" t="s">
        <v>814</v>
      </c>
      <c r="I59" s="254" t="s">
        <v>7255</v>
      </c>
      <c r="J59" s="254" t="s">
        <v>845</v>
      </c>
    </row>
    <row r="60" customFormat="false" ht="43.5" hidden="false" customHeight="true" outlineLevel="0" collapsed="false">
      <c r="A60" s="30" t="s">
        <v>7406</v>
      </c>
      <c r="B60" s="254" t="s">
        <v>7407</v>
      </c>
      <c r="C60" s="6" t="s">
        <v>7408</v>
      </c>
      <c r="D60" s="6" t="s">
        <v>7409</v>
      </c>
      <c r="E60" s="30" t="s">
        <v>7366</v>
      </c>
      <c r="F60" s="6" t="s">
        <v>814</v>
      </c>
      <c r="G60" s="254" t="s">
        <v>7253</v>
      </c>
      <c r="H60" s="6" t="s">
        <v>814</v>
      </c>
      <c r="I60" s="254" t="s">
        <v>7255</v>
      </c>
      <c r="J60" s="254" t="s">
        <v>845</v>
      </c>
    </row>
    <row r="61" customFormat="false" ht="57.75" hidden="false" customHeight="true" outlineLevel="0" collapsed="false">
      <c r="A61" s="30" t="s">
        <v>7410</v>
      </c>
      <c r="B61" s="254" t="s">
        <v>7407</v>
      </c>
      <c r="C61" s="20" t="s">
        <v>7411</v>
      </c>
      <c r="D61" s="20" t="s">
        <v>7412</v>
      </c>
      <c r="E61" s="30" t="s">
        <v>7252</v>
      </c>
      <c r="F61" s="6" t="s">
        <v>814</v>
      </c>
      <c r="G61" s="254" t="s">
        <v>7253</v>
      </c>
      <c r="H61" s="6" t="s">
        <v>814</v>
      </c>
      <c r="I61" s="254" t="s">
        <v>7255</v>
      </c>
      <c r="J61" s="254" t="s">
        <v>845</v>
      </c>
    </row>
    <row r="62" customFormat="false" ht="29.25" hidden="false" customHeight="true" outlineLevel="0" collapsed="false">
      <c r="A62" s="30" t="s">
        <v>7413</v>
      </c>
      <c r="B62" s="254" t="s">
        <v>7407</v>
      </c>
      <c r="C62" s="20" t="s">
        <v>7414</v>
      </c>
      <c r="D62" s="6" t="s">
        <v>7415</v>
      </c>
      <c r="E62" s="30" t="s">
        <v>7252</v>
      </c>
      <c r="F62" s="6" t="s">
        <v>814</v>
      </c>
      <c r="G62" s="254" t="s">
        <v>7253</v>
      </c>
      <c r="H62" s="6" t="s">
        <v>814</v>
      </c>
      <c r="I62" s="254" t="s">
        <v>7255</v>
      </c>
      <c r="J62" s="254" t="s">
        <v>845</v>
      </c>
    </row>
    <row r="63" customFormat="false" ht="15" hidden="false" customHeight="true" outlineLevel="0" collapsed="false">
      <c r="A63" s="30" t="s">
        <v>7416</v>
      </c>
      <c r="B63" s="254" t="s">
        <v>7407</v>
      </c>
      <c r="C63" s="20" t="s">
        <v>7417</v>
      </c>
      <c r="D63" s="20" t="s">
        <v>7418</v>
      </c>
      <c r="E63" s="30" t="s">
        <v>7252</v>
      </c>
      <c r="F63" s="6" t="s">
        <v>814</v>
      </c>
      <c r="G63" s="254" t="s">
        <v>7253</v>
      </c>
      <c r="H63" s="6" t="s">
        <v>814</v>
      </c>
      <c r="I63" s="254" t="s">
        <v>7255</v>
      </c>
      <c r="J63" s="254" t="s">
        <v>845</v>
      </c>
    </row>
    <row r="64" customFormat="false" ht="29.25" hidden="false" customHeight="true" outlineLevel="0" collapsed="false">
      <c r="A64" s="30" t="s">
        <v>3285</v>
      </c>
      <c r="B64" s="254" t="s">
        <v>7407</v>
      </c>
      <c r="C64" s="20" t="s">
        <v>7419</v>
      </c>
      <c r="D64" s="20" t="s">
        <v>7420</v>
      </c>
      <c r="E64" s="30" t="s">
        <v>7252</v>
      </c>
      <c r="F64" s="20" t="s">
        <v>7421</v>
      </c>
      <c r="G64" s="254" t="s">
        <v>7253</v>
      </c>
      <c r="H64" s="6" t="s">
        <v>814</v>
      </c>
      <c r="I64" s="254" t="s">
        <v>7255</v>
      </c>
      <c r="J64" s="254" t="s">
        <v>845</v>
      </c>
    </row>
    <row r="65" customFormat="false" ht="29.25" hidden="false" customHeight="true" outlineLevel="0" collapsed="false">
      <c r="A65" s="30" t="s">
        <v>3290</v>
      </c>
      <c r="B65" s="254" t="s">
        <v>7407</v>
      </c>
      <c r="C65" s="6" t="s">
        <v>7422</v>
      </c>
      <c r="D65" s="6" t="s">
        <v>7423</v>
      </c>
      <c r="E65" s="30" t="s">
        <v>7252</v>
      </c>
      <c r="F65" s="6" t="s">
        <v>814</v>
      </c>
      <c r="G65" s="254" t="s">
        <v>7253</v>
      </c>
      <c r="H65" s="6" t="s">
        <v>814</v>
      </c>
      <c r="I65" s="254" t="s">
        <v>7255</v>
      </c>
      <c r="J65" s="254" t="s">
        <v>845</v>
      </c>
    </row>
    <row r="66" customFormat="false" ht="57.75" hidden="false" customHeight="true" outlineLevel="0" collapsed="false">
      <c r="A66" s="30" t="s">
        <v>3295</v>
      </c>
      <c r="B66" s="254" t="s">
        <v>7407</v>
      </c>
      <c r="C66" s="6" t="s">
        <v>7424</v>
      </c>
      <c r="D66" s="20" t="s">
        <v>7425</v>
      </c>
      <c r="E66" s="30" t="s">
        <v>7252</v>
      </c>
      <c r="F66" s="6" t="s">
        <v>814</v>
      </c>
      <c r="G66" s="254" t="s">
        <v>7253</v>
      </c>
      <c r="H66" s="6" t="s">
        <v>814</v>
      </c>
      <c r="I66" s="254" t="s">
        <v>7255</v>
      </c>
      <c r="J66" s="254" t="s">
        <v>845</v>
      </c>
    </row>
    <row r="67" customFormat="false" ht="43.5" hidden="false" customHeight="true" outlineLevel="0" collapsed="false">
      <c r="A67" s="30" t="s">
        <v>3210</v>
      </c>
      <c r="B67" s="254" t="s">
        <v>7407</v>
      </c>
      <c r="C67" s="20" t="s">
        <v>7426</v>
      </c>
      <c r="D67" s="20" t="s">
        <v>7427</v>
      </c>
      <c r="E67" s="30" t="s">
        <v>7252</v>
      </c>
      <c r="F67" s="6" t="s">
        <v>814</v>
      </c>
      <c r="G67" s="254" t="s">
        <v>7253</v>
      </c>
      <c r="H67" s="6" t="s">
        <v>814</v>
      </c>
      <c r="I67" s="254" t="s">
        <v>7255</v>
      </c>
      <c r="J67" s="254" t="s">
        <v>845</v>
      </c>
    </row>
    <row r="68" customFormat="false" ht="57.75" hidden="false" customHeight="true" outlineLevel="0" collapsed="false">
      <c r="A68" s="30" t="s">
        <v>3212</v>
      </c>
      <c r="B68" s="254" t="s">
        <v>7407</v>
      </c>
      <c r="C68" s="20" t="s">
        <v>7428</v>
      </c>
      <c r="D68" s="20" t="s">
        <v>7429</v>
      </c>
      <c r="E68" s="30" t="s">
        <v>7252</v>
      </c>
      <c r="F68" s="20" t="s">
        <v>7430</v>
      </c>
      <c r="G68" s="254" t="s">
        <v>7253</v>
      </c>
      <c r="H68" s="6" t="s">
        <v>814</v>
      </c>
      <c r="I68" s="254" t="s">
        <v>7255</v>
      </c>
      <c r="J68" s="254" t="s">
        <v>845</v>
      </c>
    </row>
    <row r="69" customFormat="false" ht="29.25" hidden="false" customHeight="true" outlineLevel="0" collapsed="false">
      <c r="A69" s="30" t="s">
        <v>3214</v>
      </c>
      <c r="B69" s="254" t="s">
        <v>7407</v>
      </c>
      <c r="C69" s="20" t="s">
        <v>7431</v>
      </c>
      <c r="D69" s="20" t="s">
        <v>7432</v>
      </c>
      <c r="E69" s="30" t="s">
        <v>7252</v>
      </c>
      <c r="F69" s="6" t="s">
        <v>814</v>
      </c>
      <c r="G69" s="254" t="s">
        <v>7253</v>
      </c>
      <c r="H69" s="6" t="s">
        <v>814</v>
      </c>
      <c r="I69" s="254" t="s">
        <v>7255</v>
      </c>
      <c r="J69" s="254" t="s">
        <v>845</v>
      </c>
    </row>
    <row r="70" customFormat="false" ht="15" hidden="false" customHeight="true" outlineLevel="0" collapsed="false">
      <c r="A70" s="30" t="s">
        <v>3309</v>
      </c>
      <c r="B70" s="254" t="s">
        <v>7407</v>
      </c>
      <c r="C70" s="20" t="s">
        <v>7433</v>
      </c>
      <c r="D70" s="20" t="s">
        <v>7434</v>
      </c>
      <c r="E70" s="30" t="s">
        <v>7252</v>
      </c>
      <c r="F70" s="6" t="s">
        <v>814</v>
      </c>
      <c r="G70" s="254" t="s">
        <v>7253</v>
      </c>
      <c r="H70" s="6" t="s">
        <v>814</v>
      </c>
      <c r="I70" s="254" t="s">
        <v>7255</v>
      </c>
      <c r="J70" s="254" t="s">
        <v>845</v>
      </c>
    </row>
    <row r="71" customFormat="false" ht="29.25" hidden="false" customHeight="true" outlineLevel="0" collapsed="false">
      <c r="A71" s="30" t="s">
        <v>3313</v>
      </c>
      <c r="B71" s="254" t="s">
        <v>7407</v>
      </c>
      <c r="C71" s="20" t="s">
        <v>7435</v>
      </c>
      <c r="D71" s="20" t="s">
        <v>7436</v>
      </c>
      <c r="E71" s="30" t="s">
        <v>7366</v>
      </c>
      <c r="F71" s="6" t="s">
        <v>814</v>
      </c>
      <c r="G71" s="254" t="s">
        <v>7253</v>
      </c>
      <c r="H71" s="6" t="s">
        <v>814</v>
      </c>
      <c r="I71" s="254" t="s">
        <v>7255</v>
      </c>
      <c r="J71" s="254" t="s">
        <v>845</v>
      </c>
    </row>
    <row r="72" customFormat="false" ht="129" hidden="false" customHeight="true" outlineLevel="0" collapsed="false">
      <c r="A72" s="30" t="s">
        <v>3321</v>
      </c>
      <c r="B72" s="254" t="s">
        <v>7407</v>
      </c>
      <c r="C72" s="6" t="s">
        <v>7437</v>
      </c>
      <c r="D72" s="6" t="s">
        <v>7438</v>
      </c>
      <c r="E72" s="30" t="s">
        <v>7366</v>
      </c>
      <c r="F72" s="20" t="s">
        <v>7439</v>
      </c>
      <c r="G72" s="254" t="s">
        <v>7253</v>
      </c>
      <c r="H72" s="6" t="s">
        <v>814</v>
      </c>
      <c r="I72" s="254" t="s">
        <v>7255</v>
      </c>
      <c r="J72" s="254" t="s">
        <v>845</v>
      </c>
    </row>
    <row r="73" customFormat="false" ht="57.75" hidden="false" customHeight="true" outlineLevel="0" collapsed="false">
      <c r="A73" s="30" t="s">
        <v>3317</v>
      </c>
      <c r="B73" s="254" t="s">
        <v>7407</v>
      </c>
      <c r="C73" s="20" t="s">
        <v>7440</v>
      </c>
      <c r="D73" s="20" t="s">
        <v>7441</v>
      </c>
      <c r="E73" s="30" t="s">
        <v>7366</v>
      </c>
      <c r="F73" s="20" t="s">
        <v>7442</v>
      </c>
      <c r="G73" s="254" t="s">
        <v>7253</v>
      </c>
      <c r="H73" s="6" t="s">
        <v>814</v>
      </c>
      <c r="I73" s="254" t="s">
        <v>7255</v>
      </c>
      <c r="J73" s="254" t="s">
        <v>845</v>
      </c>
    </row>
    <row r="74" customFormat="false" ht="29.25" hidden="false" customHeight="true" outlineLevel="0" collapsed="false">
      <c r="A74" s="30" t="s">
        <v>5131</v>
      </c>
      <c r="B74" s="30" t="s">
        <v>7377</v>
      </c>
      <c r="C74" s="20" t="s">
        <v>7443</v>
      </c>
      <c r="D74" s="6" t="s">
        <v>7444</v>
      </c>
      <c r="E74" s="30" t="s">
        <v>7366</v>
      </c>
      <c r="F74" s="6" t="s">
        <v>7445</v>
      </c>
      <c r="G74" s="254" t="s">
        <v>7253</v>
      </c>
      <c r="H74" s="6" t="s">
        <v>7446</v>
      </c>
      <c r="I74" s="254" t="s">
        <v>7447</v>
      </c>
      <c r="J74" s="254" t="s">
        <v>845</v>
      </c>
    </row>
    <row r="75" customFormat="false" ht="15" hidden="false" customHeight="true" outlineLevel="0" collapsed="false">
      <c r="A75" s="30" t="s">
        <v>7448</v>
      </c>
      <c r="B75" s="30" t="s">
        <v>7449</v>
      </c>
      <c r="C75" s="20" t="s">
        <v>7450</v>
      </c>
      <c r="D75" s="20" t="s">
        <v>7451</v>
      </c>
      <c r="E75" s="30" t="s">
        <v>7366</v>
      </c>
      <c r="F75" s="20" t="s">
        <v>7452</v>
      </c>
      <c r="G75" s="208" t="s">
        <v>7453</v>
      </c>
      <c r="H75" s="6" t="s">
        <v>7454</v>
      </c>
      <c r="I75" s="254" t="s">
        <v>7455</v>
      </c>
      <c r="J75" s="254" t="s">
        <v>845</v>
      </c>
    </row>
    <row r="76" customFormat="false" ht="15" hidden="false" customHeight="true" outlineLevel="0" collapsed="false">
      <c r="A76" s="30" t="s">
        <v>6772</v>
      </c>
      <c r="B76" s="30" t="s">
        <v>7449</v>
      </c>
      <c r="C76" s="20" t="s">
        <v>7456</v>
      </c>
      <c r="D76" s="20" t="s">
        <v>7457</v>
      </c>
      <c r="E76" s="30" t="s">
        <v>7366</v>
      </c>
      <c r="F76" s="20" t="s">
        <v>7452</v>
      </c>
      <c r="G76" s="208" t="s">
        <v>7453</v>
      </c>
      <c r="H76" s="6" t="s">
        <v>7454</v>
      </c>
      <c r="I76" s="254" t="s">
        <v>7455</v>
      </c>
      <c r="J76" s="254" t="s">
        <v>845</v>
      </c>
    </row>
    <row r="77" customFormat="false" ht="15" hidden="false" customHeight="true" outlineLevel="0" collapsed="false">
      <c r="A77" s="30" t="s">
        <v>6781</v>
      </c>
      <c r="B77" s="30" t="s">
        <v>7449</v>
      </c>
      <c r="C77" s="6" t="s">
        <v>7458</v>
      </c>
      <c r="D77" s="20" t="s">
        <v>7459</v>
      </c>
      <c r="E77" s="30" t="s">
        <v>7366</v>
      </c>
      <c r="F77" s="20" t="s">
        <v>7452</v>
      </c>
      <c r="G77" s="208" t="s">
        <v>7453</v>
      </c>
      <c r="H77" s="6" t="s">
        <v>7454</v>
      </c>
      <c r="I77" s="254" t="s">
        <v>7455</v>
      </c>
      <c r="J77" s="254" t="s">
        <v>845</v>
      </c>
    </row>
    <row r="78" customFormat="false" ht="15" hidden="false" customHeight="true" outlineLevel="0" collapsed="false">
      <c r="A78" s="30" t="s">
        <v>7460</v>
      </c>
      <c r="B78" s="30" t="s">
        <v>7449</v>
      </c>
      <c r="C78" s="20" t="s">
        <v>7461</v>
      </c>
      <c r="D78" s="20" t="s">
        <v>7462</v>
      </c>
      <c r="E78" s="30" t="s">
        <v>7366</v>
      </c>
      <c r="F78" s="20" t="s">
        <v>7452</v>
      </c>
      <c r="G78" s="208" t="s">
        <v>7453</v>
      </c>
      <c r="H78" s="6" t="s">
        <v>7454</v>
      </c>
      <c r="I78" s="254" t="s">
        <v>7455</v>
      </c>
      <c r="J78" s="254" t="s">
        <v>845</v>
      </c>
    </row>
    <row r="79" customFormat="false" ht="29.25" hidden="false" customHeight="true" outlineLevel="0" collapsed="false">
      <c r="A79" s="30" t="s">
        <v>7463</v>
      </c>
      <c r="B79" s="30" t="s">
        <v>7449</v>
      </c>
      <c r="C79" s="6" t="s">
        <v>7464</v>
      </c>
      <c r="D79" s="20" t="s">
        <v>7465</v>
      </c>
      <c r="E79" s="30" t="s">
        <v>7366</v>
      </c>
      <c r="F79" s="20" t="s">
        <v>7452</v>
      </c>
      <c r="G79" s="208" t="s">
        <v>7453</v>
      </c>
      <c r="H79" s="6" t="s">
        <v>7454</v>
      </c>
      <c r="I79" s="254" t="s">
        <v>7455</v>
      </c>
      <c r="J79" s="254" t="s">
        <v>845</v>
      </c>
    </row>
    <row r="80" customFormat="false" ht="15" hidden="false" customHeight="true" outlineLevel="0" collapsed="false">
      <c r="A80" s="30" t="s">
        <v>6789</v>
      </c>
      <c r="B80" s="30" t="s">
        <v>7449</v>
      </c>
      <c r="C80" s="20" t="s">
        <v>7466</v>
      </c>
      <c r="D80" s="20" t="s">
        <v>7467</v>
      </c>
      <c r="E80" s="30" t="s">
        <v>7366</v>
      </c>
      <c r="F80" s="20" t="s">
        <v>7452</v>
      </c>
      <c r="G80" s="208" t="s">
        <v>7453</v>
      </c>
      <c r="H80" s="6" t="s">
        <v>7454</v>
      </c>
      <c r="I80" s="254" t="s">
        <v>7455</v>
      </c>
      <c r="J80" s="254" t="s">
        <v>845</v>
      </c>
    </row>
    <row r="81" customFormat="false" ht="15" hidden="false" customHeight="true" outlineLevel="0" collapsed="false">
      <c r="A81" s="30" t="s">
        <v>6764</v>
      </c>
      <c r="B81" s="30" t="s">
        <v>7449</v>
      </c>
      <c r="C81" s="20" t="s">
        <v>7468</v>
      </c>
      <c r="D81" s="20" t="s">
        <v>7469</v>
      </c>
      <c r="E81" s="30" t="s">
        <v>7366</v>
      </c>
      <c r="F81" s="20" t="s">
        <v>7452</v>
      </c>
      <c r="G81" s="208" t="s">
        <v>7453</v>
      </c>
      <c r="H81" s="6" t="s">
        <v>7454</v>
      </c>
      <c r="I81" s="254" t="s">
        <v>7455</v>
      </c>
      <c r="J81" s="254" t="s">
        <v>845</v>
      </c>
    </row>
    <row r="82" customFormat="false" ht="15" hidden="false" customHeight="true" outlineLevel="0" collapsed="false">
      <c r="A82" s="30" t="s">
        <v>6760</v>
      </c>
      <c r="B82" s="30" t="s">
        <v>7449</v>
      </c>
      <c r="C82" s="20" t="s">
        <v>7470</v>
      </c>
      <c r="D82" s="20" t="s">
        <v>7471</v>
      </c>
      <c r="E82" s="30" t="s">
        <v>7366</v>
      </c>
      <c r="F82" s="20" t="s">
        <v>7452</v>
      </c>
      <c r="G82" s="208" t="s">
        <v>7453</v>
      </c>
      <c r="H82" s="6" t="s">
        <v>7454</v>
      </c>
      <c r="I82" s="254" t="s">
        <v>7455</v>
      </c>
      <c r="J82" s="254" t="s">
        <v>845</v>
      </c>
    </row>
    <row r="83" customFormat="false" ht="15" hidden="false" customHeight="true" outlineLevel="0" collapsed="false">
      <c r="A83" s="30" t="s">
        <v>7472</v>
      </c>
      <c r="B83" s="254" t="s">
        <v>7473</v>
      </c>
      <c r="C83" s="20" t="s">
        <v>7474</v>
      </c>
      <c r="D83" s="20" t="s">
        <v>7475</v>
      </c>
      <c r="E83" s="30" t="s">
        <v>7366</v>
      </c>
      <c r="F83" s="20" t="s">
        <v>7476</v>
      </c>
      <c r="G83" s="254" t="s">
        <v>7253</v>
      </c>
      <c r="H83" s="6" t="s">
        <v>814</v>
      </c>
      <c r="I83" s="254" t="s">
        <v>7477</v>
      </c>
      <c r="J83" s="254" t="s">
        <v>845</v>
      </c>
    </row>
    <row r="84" customFormat="false" ht="43.5" hidden="false" customHeight="true" outlineLevel="0" collapsed="false">
      <c r="A84" s="30" t="s">
        <v>7478</v>
      </c>
      <c r="B84" s="254" t="s">
        <v>7473</v>
      </c>
      <c r="C84" s="6" t="s">
        <v>7479</v>
      </c>
      <c r="D84" s="20" t="s">
        <v>7480</v>
      </c>
      <c r="E84" s="30" t="s">
        <v>7366</v>
      </c>
      <c r="F84" s="20" t="s">
        <v>7481</v>
      </c>
      <c r="G84" s="254" t="s">
        <v>7253</v>
      </c>
      <c r="H84" s="6" t="s">
        <v>7482</v>
      </c>
      <c r="I84" s="254" t="s">
        <v>7477</v>
      </c>
      <c r="J84" s="254" t="s">
        <v>845</v>
      </c>
    </row>
    <row r="85" customFormat="false" ht="26.25" hidden="false" customHeight="true" outlineLevel="0" collapsed="false">
      <c r="A85" s="30" t="s">
        <v>7483</v>
      </c>
      <c r="B85" s="254" t="s">
        <v>7473</v>
      </c>
      <c r="C85" s="6" t="s">
        <v>7484</v>
      </c>
      <c r="D85" s="6" t="s">
        <v>7485</v>
      </c>
      <c r="E85" s="30" t="s">
        <v>7366</v>
      </c>
      <c r="F85" s="20" t="s">
        <v>7481</v>
      </c>
      <c r="G85" s="254" t="s">
        <v>7253</v>
      </c>
      <c r="H85" s="6" t="s">
        <v>7486</v>
      </c>
      <c r="I85" s="254" t="s">
        <v>7477</v>
      </c>
      <c r="J85" s="254" t="s">
        <v>845</v>
      </c>
    </row>
    <row r="86" customFormat="false" ht="29.25" hidden="false" customHeight="true" outlineLevel="0" collapsed="false">
      <c r="A86" s="30" t="s">
        <v>7487</v>
      </c>
      <c r="B86" s="254" t="s">
        <v>7473</v>
      </c>
      <c r="C86" s="20" t="s">
        <v>7488</v>
      </c>
      <c r="D86" s="20" t="s">
        <v>7489</v>
      </c>
      <c r="E86" s="30" t="s">
        <v>7366</v>
      </c>
      <c r="F86" s="20" t="s">
        <v>7481</v>
      </c>
      <c r="G86" s="254" t="s">
        <v>7253</v>
      </c>
      <c r="H86" s="6" t="s">
        <v>814</v>
      </c>
      <c r="I86" s="254" t="s">
        <v>7477</v>
      </c>
      <c r="J86" s="254" t="s">
        <v>845</v>
      </c>
    </row>
    <row r="87" customFormat="false" ht="29.25" hidden="false" customHeight="true" outlineLevel="0" collapsed="false">
      <c r="A87" s="30" t="s">
        <v>7490</v>
      </c>
      <c r="B87" s="254" t="s">
        <v>7473</v>
      </c>
      <c r="C87" s="20" t="s">
        <v>7491</v>
      </c>
      <c r="D87" s="20" t="s">
        <v>7492</v>
      </c>
      <c r="E87" s="30" t="s">
        <v>7366</v>
      </c>
      <c r="F87" s="20" t="s">
        <v>7476</v>
      </c>
      <c r="G87" s="254" t="s">
        <v>7253</v>
      </c>
      <c r="H87" s="6" t="s">
        <v>7493</v>
      </c>
      <c r="I87" s="254" t="s">
        <v>7477</v>
      </c>
      <c r="J87" s="254" t="s">
        <v>845</v>
      </c>
    </row>
    <row r="88" customFormat="false" ht="29.25" hidden="false" customHeight="true" outlineLevel="0" collapsed="false">
      <c r="A88" s="30" t="s">
        <v>6553</v>
      </c>
      <c r="B88" s="254" t="s">
        <v>7473</v>
      </c>
      <c r="C88" s="6" t="s">
        <v>7494</v>
      </c>
      <c r="D88" s="6" t="s">
        <v>7495</v>
      </c>
      <c r="E88" s="30" t="s">
        <v>7366</v>
      </c>
      <c r="F88" s="20" t="s">
        <v>7481</v>
      </c>
      <c r="G88" s="254" t="s">
        <v>7253</v>
      </c>
      <c r="H88" s="6" t="s">
        <v>7496</v>
      </c>
      <c r="I88" s="254" t="s">
        <v>7477</v>
      </c>
      <c r="J88" s="254" t="s">
        <v>845</v>
      </c>
    </row>
    <row r="89" customFormat="false" ht="29.25" hidden="false" customHeight="true" outlineLevel="0" collapsed="false">
      <c r="A89" s="30" t="s">
        <v>7497</v>
      </c>
      <c r="B89" s="254" t="s">
        <v>7473</v>
      </c>
      <c r="C89" s="20" t="s">
        <v>7498</v>
      </c>
      <c r="D89" s="6" t="s">
        <v>7499</v>
      </c>
      <c r="E89" s="30" t="s">
        <v>7366</v>
      </c>
      <c r="F89" s="20" t="s">
        <v>7481</v>
      </c>
      <c r="G89" s="254" t="s">
        <v>7253</v>
      </c>
      <c r="H89" s="6" t="s">
        <v>814</v>
      </c>
      <c r="I89" s="254" t="s">
        <v>7477</v>
      </c>
      <c r="J89" s="254" t="s">
        <v>845</v>
      </c>
    </row>
    <row r="90" customFormat="false" ht="43.5" hidden="false" customHeight="true" outlineLevel="0" collapsed="false">
      <c r="A90" s="30" t="s">
        <v>7500</v>
      </c>
      <c r="B90" s="254" t="s">
        <v>7473</v>
      </c>
      <c r="C90" s="20" t="s">
        <v>7501</v>
      </c>
      <c r="D90" s="20" t="s">
        <v>7502</v>
      </c>
      <c r="E90" s="30" t="s">
        <v>7366</v>
      </c>
      <c r="F90" s="20" t="s">
        <v>7503</v>
      </c>
      <c r="G90" s="254" t="s">
        <v>7253</v>
      </c>
      <c r="H90" s="6" t="s">
        <v>814</v>
      </c>
      <c r="I90" s="254" t="s">
        <v>7477</v>
      </c>
      <c r="J90" s="254" t="s">
        <v>845</v>
      </c>
    </row>
    <row r="91" customFormat="false" ht="29.25" hidden="false" customHeight="true" outlineLevel="0" collapsed="false">
      <c r="A91" s="30" t="s">
        <v>7504</v>
      </c>
      <c r="B91" s="254" t="s">
        <v>7473</v>
      </c>
      <c r="C91" s="20" t="s">
        <v>7505</v>
      </c>
      <c r="D91" s="6" t="s">
        <v>7506</v>
      </c>
      <c r="E91" s="30" t="s">
        <v>7366</v>
      </c>
      <c r="F91" s="6" t="s">
        <v>814</v>
      </c>
      <c r="G91" s="254" t="s">
        <v>7253</v>
      </c>
      <c r="H91" s="6" t="s">
        <v>814</v>
      </c>
      <c r="I91" s="254" t="s">
        <v>7477</v>
      </c>
      <c r="J91" s="254" t="s">
        <v>845</v>
      </c>
    </row>
    <row r="92" customFormat="false" ht="15" hidden="false" customHeight="true" outlineLevel="0" collapsed="false">
      <c r="A92" s="30" t="s">
        <v>7507</v>
      </c>
      <c r="B92" s="254" t="s">
        <v>7473</v>
      </c>
      <c r="C92" s="20" t="s">
        <v>7508</v>
      </c>
      <c r="D92" s="20" t="s">
        <v>7509</v>
      </c>
      <c r="E92" s="30" t="s">
        <v>7366</v>
      </c>
      <c r="F92" s="6" t="s">
        <v>814</v>
      </c>
      <c r="G92" s="254" t="s">
        <v>7253</v>
      </c>
      <c r="H92" s="6" t="s">
        <v>814</v>
      </c>
      <c r="I92" s="254" t="s">
        <v>7477</v>
      </c>
      <c r="J92" s="254" t="s">
        <v>845</v>
      </c>
    </row>
    <row r="93" customFormat="false" ht="29.25" hidden="false" customHeight="true" outlineLevel="0" collapsed="false">
      <c r="A93" s="30" t="s">
        <v>7510</v>
      </c>
      <c r="B93" s="254" t="s">
        <v>7473</v>
      </c>
      <c r="C93" s="6" t="s">
        <v>7511</v>
      </c>
      <c r="D93" s="20" t="s">
        <v>7512</v>
      </c>
      <c r="E93" s="30" t="s">
        <v>7366</v>
      </c>
      <c r="F93" s="20" t="s">
        <v>7513</v>
      </c>
      <c r="G93" s="254" t="s">
        <v>7253</v>
      </c>
      <c r="H93" s="6" t="s">
        <v>7368</v>
      </c>
      <c r="I93" s="254" t="s">
        <v>7477</v>
      </c>
      <c r="J93" s="254" t="s">
        <v>845</v>
      </c>
    </row>
    <row r="94" customFormat="false" ht="29.25" hidden="false" customHeight="true" outlineLevel="0" collapsed="false">
      <c r="A94" s="30" t="s">
        <v>5417</v>
      </c>
      <c r="B94" s="254" t="s">
        <v>7514</v>
      </c>
      <c r="C94" s="6" t="s">
        <v>7515</v>
      </c>
      <c r="D94" s="6" t="s">
        <v>7516</v>
      </c>
      <c r="E94" s="30" t="s">
        <v>7517</v>
      </c>
      <c r="F94" s="246" t="s">
        <v>7518</v>
      </c>
      <c r="G94" s="254" t="s">
        <v>7253</v>
      </c>
      <c r="H94" s="6" t="s">
        <v>7519</v>
      </c>
      <c r="I94" s="30" t="s">
        <v>7520</v>
      </c>
      <c r="J94" s="254" t="s">
        <v>845</v>
      </c>
    </row>
    <row r="95" customFormat="false" ht="51.75" hidden="false" customHeight="true" outlineLevel="0" collapsed="false">
      <c r="A95" s="30" t="s">
        <v>6797</v>
      </c>
      <c r="B95" s="30" t="s">
        <v>7449</v>
      </c>
      <c r="C95" s="20" t="s">
        <v>7521</v>
      </c>
      <c r="D95" s="6" t="s">
        <v>7522</v>
      </c>
      <c r="E95" s="30" t="s">
        <v>7523</v>
      </c>
      <c r="F95" s="20" t="s">
        <v>7524</v>
      </c>
      <c r="G95" s="30" t="s">
        <v>7525</v>
      </c>
      <c r="H95" s="6" t="s">
        <v>7526</v>
      </c>
      <c r="I95" s="254" t="s">
        <v>7527</v>
      </c>
      <c r="J95" s="254" t="s">
        <v>845</v>
      </c>
    </row>
    <row r="96" customFormat="false" ht="26.25" hidden="false" customHeight="true" outlineLevel="0" collapsed="false">
      <c r="A96" s="30" t="s">
        <v>6806</v>
      </c>
      <c r="B96" s="30" t="s">
        <v>7449</v>
      </c>
      <c r="C96" s="20" t="s">
        <v>6800</v>
      </c>
      <c r="D96" s="20" t="s">
        <v>7528</v>
      </c>
      <c r="E96" s="30" t="s">
        <v>7523</v>
      </c>
      <c r="F96" s="20" t="s">
        <v>7529</v>
      </c>
      <c r="G96" s="30" t="s">
        <v>7525</v>
      </c>
      <c r="H96" s="6" t="s">
        <v>7530</v>
      </c>
      <c r="I96" s="254" t="s">
        <v>7527</v>
      </c>
      <c r="J96" s="254" t="s">
        <v>845</v>
      </c>
    </row>
    <row r="97" customFormat="false" ht="26.25" hidden="false" customHeight="true" outlineLevel="0" collapsed="false">
      <c r="A97" s="30" t="s">
        <v>7531</v>
      </c>
      <c r="B97" s="30" t="s">
        <v>7532</v>
      </c>
      <c r="C97" s="20" t="s">
        <v>7533</v>
      </c>
      <c r="D97" s="6" t="s">
        <v>7534</v>
      </c>
      <c r="E97" s="30" t="s">
        <v>7535</v>
      </c>
      <c r="F97" s="20" t="s">
        <v>7536</v>
      </c>
      <c r="G97" s="254" t="s">
        <v>7537</v>
      </c>
      <c r="H97" s="6" t="s">
        <v>7538</v>
      </c>
      <c r="I97" s="254" t="s">
        <v>7539</v>
      </c>
      <c r="J97" s="254" t="s">
        <v>845</v>
      </c>
    </row>
    <row r="98" customFormat="false" ht="26.25" hidden="false" customHeight="true" outlineLevel="0" collapsed="false">
      <c r="A98" s="30" t="s">
        <v>7540</v>
      </c>
      <c r="B98" s="30" t="s">
        <v>7532</v>
      </c>
      <c r="C98" s="6" t="s">
        <v>7541</v>
      </c>
      <c r="D98" s="6" t="s">
        <v>7542</v>
      </c>
      <c r="E98" s="30" t="s">
        <v>7535</v>
      </c>
      <c r="F98" s="20" t="s">
        <v>7536</v>
      </c>
      <c r="G98" s="254" t="s">
        <v>7537</v>
      </c>
      <c r="H98" s="6" t="s">
        <v>7543</v>
      </c>
      <c r="I98" s="254" t="s">
        <v>7539</v>
      </c>
      <c r="J98" s="254" t="s">
        <v>845</v>
      </c>
    </row>
    <row r="99" customFormat="false" ht="51.75" hidden="false" customHeight="true" outlineLevel="0" collapsed="false">
      <c r="A99" s="30" t="s">
        <v>5093</v>
      </c>
      <c r="B99" s="30" t="s">
        <v>7532</v>
      </c>
      <c r="C99" s="20" t="s">
        <v>7544</v>
      </c>
      <c r="D99" s="20" t="s">
        <v>7545</v>
      </c>
      <c r="E99" s="30" t="s">
        <v>7535</v>
      </c>
      <c r="F99" s="20" t="s">
        <v>7546</v>
      </c>
      <c r="G99" s="254" t="s">
        <v>7537</v>
      </c>
      <c r="H99" s="6" t="s">
        <v>7547</v>
      </c>
      <c r="I99" s="254" t="s">
        <v>7548</v>
      </c>
      <c r="J99" s="254" t="s">
        <v>845</v>
      </c>
    </row>
    <row r="100" customFormat="false" ht="39" hidden="false" customHeight="true" outlineLevel="0" collapsed="false">
      <c r="A100" s="30" t="s">
        <v>3327</v>
      </c>
      <c r="B100" s="30" t="s">
        <v>7532</v>
      </c>
      <c r="C100" s="20" t="s">
        <v>7549</v>
      </c>
      <c r="D100" s="20" t="s">
        <v>7550</v>
      </c>
      <c r="E100" s="30" t="s">
        <v>7535</v>
      </c>
      <c r="F100" s="20" t="s">
        <v>7551</v>
      </c>
      <c r="G100" s="254" t="s">
        <v>7537</v>
      </c>
      <c r="H100" s="6" t="s">
        <v>7552</v>
      </c>
      <c r="I100" s="254" t="s">
        <v>7548</v>
      </c>
      <c r="J100" s="254" t="s">
        <v>845</v>
      </c>
    </row>
    <row r="101" customFormat="false" ht="51.75" hidden="false" customHeight="true" outlineLevel="0" collapsed="false">
      <c r="A101" s="30" t="s">
        <v>6028</v>
      </c>
      <c r="B101" s="30" t="s">
        <v>7532</v>
      </c>
      <c r="C101" s="20" t="s">
        <v>7553</v>
      </c>
      <c r="D101" s="6" t="s">
        <v>7554</v>
      </c>
      <c r="E101" s="30" t="s">
        <v>7555</v>
      </c>
      <c r="F101" s="6" t="s">
        <v>7556</v>
      </c>
      <c r="G101" s="254" t="s">
        <v>7537</v>
      </c>
      <c r="H101" s="6" t="s">
        <v>7557</v>
      </c>
      <c r="I101" s="254" t="s">
        <v>7558</v>
      </c>
      <c r="J101" s="254" t="s">
        <v>817</v>
      </c>
    </row>
    <row r="102" customFormat="false" ht="39" hidden="false" customHeight="true" outlineLevel="0" collapsed="false">
      <c r="A102" s="30" t="s">
        <v>5480</v>
      </c>
      <c r="B102" s="30" t="s">
        <v>7532</v>
      </c>
      <c r="C102" s="6" t="s">
        <v>7559</v>
      </c>
      <c r="D102" s="6" t="s">
        <v>7560</v>
      </c>
      <c r="E102" s="30" t="s">
        <v>7555</v>
      </c>
      <c r="F102" s="6" t="s">
        <v>7561</v>
      </c>
      <c r="G102" s="254" t="s">
        <v>7537</v>
      </c>
      <c r="H102" s="6" t="s">
        <v>7562</v>
      </c>
      <c r="I102" s="254" t="s">
        <v>7563</v>
      </c>
      <c r="J102" s="254" t="s">
        <v>817</v>
      </c>
    </row>
    <row r="103" customFormat="false" ht="39" hidden="false" customHeight="true" outlineLevel="0" collapsed="false">
      <c r="A103" s="30" t="s">
        <v>5865</v>
      </c>
      <c r="B103" s="30" t="s">
        <v>7532</v>
      </c>
      <c r="C103" s="6" t="s">
        <v>7564</v>
      </c>
      <c r="D103" s="6" t="s">
        <v>7565</v>
      </c>
      <c r="E103" s="30" t="s">
        <v>7555</v>
      </c>
      <c r="F103" s="6" t="s">
        <v>7566</v>
      </c>
      <c r="G103" s="254" t="s">
        <v>7537</v>
      </c>
      <c r="H103" s="6" t="s">
        <v>7567</v>
      </c>
      <c r="I103" s="30" t="s">
        <v>7568</v>
      </c>
      <c r="J103" s="254" t="s">
        <v>817</v>
      </c>
    </row>
    <row r="104" customFormat="false" ht="26.25" hidden="false" customHeight="true" outlineLevel="0" collapsed="false">
      <c r="A104" s="30" t="s">
        <v>7569</v>
      </c>
      <c r="B104" s="30" t="s">
        <v>7532</v>
      </c>
      <c r="C104" s="6" t="s">
        <v>7570</v>
      </c>
      <c r="D104" s="20" t="s">
        <v>7571</v>
      </c>
      <c r="E104" s="30" t="s">
        <v>7535</v>
      </c>
      <c r="F104" s="20" t="s">
        <v>7572</v>
      </c>
      <c r="G104" s="254" t="s">
        <v>7537</v>
      </c>
      <c r="H104" s="6" t="s">
        <v>7573</v>
      </c>
      <c r="I104" s="254" t="s">
        <v>7574</v>
      </c>
      <c r="J104" s="254" t="s">
        <v>845</v>
      </c>
    </row>
    <row r="105" customFormat="false" ht="51.75" hidden="false" customHeight="true" outlineLevel="0" collapsed="false">
      <c r="A105" s="30" t="s">
        <v>5103</v>
      </c>
      <c r="B105" s="30" t="s">
        <v>7575</v>
      </c>
      <c r="C105" s="6" t="s">
        <v>7576</v>
      </c>
      <c r="D105" s="6" t="s">
        <v>7577</v>
      </c>
      <c r="E105" s="30" t="s">
        <v>7555</v>
      </c>
      <c r="F105" s="20" t="s">
        <v>7578</v>
      </c>
      <c r="G105" s="30" t="s">
        <v>7579</v>
      </c>
      <c r="H105" s="6" t="s">
        <v>7580</v>
      </c>
      <c r="I105" s="254" t="s">
        <v>7581</v>
      </c>
      <c r="J105" s="254" t="s">
        <v>845</v>
      </c>
    </row>
    <row r="106" customFormat="false" ht="51.75" hidden="false" customHeight="true" outlineLevel="0" collapsed="false">
      <c r="A106" s="30" t="s">
        <v>7582</v>
      </c>
      <c r="B106" s="30" t="s">
        <v>7575</v>
      </c>
      <c r="C106" s="6" t="s">
        <v>7583</v>
      </c>
      <c r="D106" s="6" t="s">
        <v>7584</v>
      </c>
      <c r="E106" s="30" t="s">
        <v>7555</v>
      </c>
      <c r="F106" s="20" t="s">
        <v>7585</v>
      </c>
      <c r="G106" s="30" t="s">
        <v>7579</v>
      </c>
      <c r="H106" s="6" t="s">
        <v>7586</v>
      </c>
      <c r="I106" s="254" t="s">
        <v>7587</v>
      </c>
      <c r="J106" s="254" t="s">
        <v>845</v>
      </c>
    </row>
    <row r="107" customFormat="false" ht="64.5" hidden="false" customHeight="true" outlineLevel="0" collapsed="false">
      <c r="A107" s="30" t="s">
        <v>7588</v>
      </c>
      <c r="B107" s="30" t="s">
        <v>7589</v>
      </c>
      <c r="C107" s="6" t="s">
        <v>7590</v>
      </c>
      <c r="D107" s="6" t="s">
        <v>7591</v>
      </c>
      <c r="E107" s="30" t="s">
        <v>7555</v>
      </c>
      <c r="F107" s="20" t="s">
        <v>7592</v>
      </c>
      <c r="G107" s="30" t="s">
        <v>7593</v>
      </c>
      <c r="H107" s="6" t="s">
        <v>7594</v>
      </c>
      <c r="I107" s="254" t="s">
        <v>7595</v>
      </c>
      <c r="J107" s="254" t="s">
        <v>845</v>
      </c>
    </row>
    <row r="108" customFormat="false" ht="51.75" hidden="false" customHeight="true" outlineLevel="0" collapsed="false">
      <c r="A108" s="30" t="s">
        <v>7596</v>
      </c>
      <c r="B108" s="30" t="s">
        <v>7589</v>
      </c>
      <c r="C108" s="6" t="s">
        <v>7597</v>
      </c>
      <c r="D108" s="6" t="s">
        <v>7598</v>
      </c>
      <c r="E108" s="30" t="s">
        <v>7555</v>
      </c>
      <c r="F108" s="20" t="s">
        <v>7599</v>
      </c>
      <c r="G108" s="30" t="s">
        <v>7600</v>
      </c>
      <c r="H108" s="6" t="s">
        <v>7601</v>
      </c>
      <c r="I108" s="254" t="s">
        <v>7602</v>
      </c>
      <c r="J108" s="254" t="s">
        <v>845</v>
      </c>
    </row>
    <row r="109" customFormat="false" ht="51.75" hidden="false" customHeight="true" outlineLevel="0" collapsed="false">
      <c r="A109" s="30" t="s">
        <v>7603</v>
      </c>
      <c r="B109" s="30" t="s">
        <v>7589</v>
      </c>
      <c r="C109" s="6" t="s">
        <v>7604</v>
      </c>
      <c r="D109" s="6" t="s">
        <v>7605</v>
      </c>
      <c r="E109" s="30" t="s">
        <v>7555</v>
      </c>
      <c r="F109" s="20" t="s">
        <v>7606</v>
      </c>
      <c r="G109" s="30" t="s">
        <v>7593</v>
      </c>
      <c r="H109" s="6" t="s">
        <v>7607</v>
      </c>
      <c r="I109" s="254" t="s">
        <v>7608</v>
      </c>
      <c r="J109" s="254" t="s">
        <v>845</v>
      </c>
    </row>
    <row r="110" customFormat="false" ht="51.75" hidden="false" customHeight="true" outlineLevel="0" collapsed="false">
      <c r="A110" s="30" t="s">
        <v>7609</v>
      </c>
      <c r="B110" s="30" t="s">
        <v>7610</v>
      </c>
      <c r="C110" s="6" t="s">
        <v>7611</v>
      </c>
      <c r="D110" s="6" t="s">
        <v>7612</v>
      </c>
      <c r="E110" s="30" t="s">
        <v>7555</v>
      </c>
      <c r="F110" s="20" t="s">
        <v>7613</v>
      </c>
      <c r="G110" s="30" t="s">
        <v>7614</v>
      </c>
      <c r="H110" s="6" t="s">
        <v>7615</v>
      </c>
      <c r="I110" s="254" t="s">
        <v>7616</v>
      </c>
      <c r="J110" s="254" t="s">
        <v>845</v>
      </c>
    </row>
    <row r="111" customFormat="false" ht="77.25" hidden="false" customHeight="true" outlineLevel="0" collapsed="false">
      <c r="A111" s="30" t="s">
        <v>5107</v>
      </c>
      <c r="B111" s="30" t="s">
        <v>7617</v>
      </c>
      <c r="C111" s="20" t="s">
        <v>7618</v>
      </c>
      <c r="D111" s="20" t="s">
        <v>7619</v>
      </c>
      <c r="E111" s="30" t="s">
        <v>7555</v>
      </c>
      <c r="F111" s="20" t="s">
        <v>7620</v>
      </c>
      <c r="G111" s="30" t="s">
        <v>7621</v>
      </c>
      <c r="H111" s="6" t="s">
        <v>7622</v>
      </c>
      <c r="I111" s="254" t="s">
        <v>7623</v>
      </c>
      <c r="J111" s="254" t="s">
        <v>845</v>
      </c>
    </row>
    <row r="112" customFormat="false" ht="51.75" hidden="false" customHeight="true" outlineLevel="0" collapsed="false">
      <c r="A112" s="30" t="s">
        <v>7624</v>
      </c>
      <c r="B112" s="30" t="s">
        <v>7617</v>
      </c>
      <c r="C112" s="6" t="s">
        <v>7625</v>
      </c>
      <c r="D112" s="6" t="s">
        <v>7626</v>
      </c>
      <c r="E112" s="30" t="s">
        <v>7555</v>
      </c>
      <c r="F112" s="20" t="s">
        <v>7627</v>
      </c>
      <c r="G112" s="30" t="s">
        <v>7621</v>
      </c>
      <c r="H112" s="6" t="s">
        <v>7628</v>
      </c>
      <c r="I112" s="254" t="s">
        <v>7629</v>
      </c>
      <c r="J112" s="254" t="s">
        <v>845</v>
      </c>
    </row>
    <row r="113" customFormat="false" ht="51.75" hidden="false" customHeight="true" outlineLevel="0" collapsed="false">
      <c r="A113" s="30" t="s">
        <v>7630</v>
      </c>
      <c r="B113" s="30" t="s">
        <v>7617</v>
      </c>
      <c r="C113" s="6" t="s">
        <v>7631</v>
      </c>
      <c r="D113" s="6" t="s">
        <v>7632</v>
      </c>
      <c r="E113" s="30" t="s">
        <v>7555</v>
      </c>
      <c r="F113" s="20" t="s">
        <v>7633</v>
      </c>
      <c r="G113" s="30" t="s">
        <v>7621</v>
      </c>
      <c r="H113" s="6" t="s">
        <v>7634</v>
      </c>
      <c r="I113" s="254" t="s">
        <v>7635</v>
      </c>
      <c r="J113" s="254" t="s">
        <v>845</v>
      </c>
    </row>
    <row r="114" customFormat="false" ht="141" hidden="false" customHeight="true" outlineLevel="0" collapsed="false">
      <c r="A114" s="30" t="s">
        <v>6844</v>
      </c>
      <c r="B114" s="30" t="s">
        <v>7636</v>
      </c>
      <c r="C114" s="6" t="s">
        <v>7637</v>
      </c>
      <c r="D114" s="6" t="s">
        <v>7638</v>
      </c>
      <c r="E114" s="30" t="s">
        <v>7639</v>
      </c>
      <c r="F114" s="20" t="s">
        <v>7640</v>
      </c>
      <c r="G114" s="30" t="s">
        <v>7641</v>
      </c>
      <c r="H114" s="6" t="s">
        <v>7642</v>
      </c>
      <c r="I114" s="254" t="s">
        <v>7643</v>
      </c>
      <c r="J114" s="254" t="s">
        <v>845</v>
      </c>
    </row>
    <row r="115" customFormat="false" ht="57.75" hidden="false" customHeight="true" outlineLevel="0" collapsed="false">
      <c r="A115" s="30" t="s">
        <v>7644</v>
      </c>
      <c r="B115" s="30" t="s">
        <v>7645</v>
      </c>
      <c r="C115" s="6" t="s">
        <v>7646</v>
      </c>
      <c r="D115" s="6" t="s">
        <v>7647</v>
      </c>
      <c r="E115" s="30" t="s">
        <v>7639</v>
      </c>
      <c r="F115" s="246" t="s">
        <v>7648</v>
      </c>
      <c r="G115" s="30" t="s">
        <v>7649</v>
      </c>
      <c r="H115" s="6" t="s">
        <v>7650</v>
      </c>
      <c r="I115" s="208" t="s">
        <v>7651</v>
      </c>
      <c r="J115" s="208" t="s">
        <v>845</v>
      </c>
    </row>
    <row r="116" customFormat="false" ht="213.75" hidden="false" customHeight="true" outlineLevel="0" collapsed="false">
      <c r="A116" s="30" t="s">
        <v>5851</v>
      </c>
      <c r="B116" s="30" t="s">
        <v>7645</v>
      </c>
      <c r="C116" s="6" t="s">
        <v>7652</v>
      </c>
      <c r="D116" s="6" t="s">
        <v>7653</v>
      </c>
      <c r="E116" s="30" t="s">
        <v>7639</v>
      </c>
      <c r="F116" s="246" t="s">
        <v>7648</v>
      </c>
      <c r="G116" s="30" t="s">
        <v>7649</v>
      </c>
      <c r="H116" s="6" t="s">
        <v>7654</v>
      </c>
      <c r="I116" s="208" t="s">
        <v>7655</v>
      </c>
      <c r="J116" s="208" t="s">
        <v>845</v>
      </c>
    </row>
    <row r="117" customFormat="false" ht="213.75" hidden="false" customHeight="true" outlineLevel="0" collapsed="false">
      <c r="A117" s="30" t="s">
        <v>7656</v>
      </c>
      <c r="B117" s="30" t="s">
        <v>7657</v>
      </c>
      <c r="C117" s="6" t="s">
        <v>7658</v>
      </c>
      <c r="D117" s="6" t="s">
        <v>7659</v>
      </c>
      <c r="E117" s="30" t="s">
        <v>4685</v>
      </c>
      <c r="F117" s="246" t="s">
        <v>7648</v>
      </c>
      <c r="G117" s="30" t="s">
        <v>7660</v>
      </c>
      <c r="H117" s="6" t="s">
        <v>7661</v>
      </c>
      <c r="I117" s="208" t="s">
        <v>7662</v>
      </c>
      <c r="J117" s="208" t="s">
        <v>845</v>
      </c>
    </row>
    <row r="118" customFormat="false" ht="54.75" hidden="false" customHeight="true" outlineLevel="0" collapsed="false">
      <c r="A118" s="30" t="s">
        <v>7663</v>
      </c>
      <c r="B118" s="30" t="s">
        <v>7664</v>
      </c>
      <c r="C118" s="6" t="s">
        <v>7665</v>
      </c>
      <c r="D118" s="6" t="s">
        <v>7666</v>
      </c>
      <c r="E118" s="30" t="s">
        <v>4685</v>
      </c>
      <c r="F118" s="6" t="s">
        <v>7667</v>
      </c>
      <c r="G118" s="30" t="s">
        <v>7668</v>
      </c>
      <c r="H118" s="6" t="s">
        <v>7669</v>
      </c>
      <c r="I118" s="208" t="s">
        <v>7670</v>
      </c>
      <c r="J118" s="208" t="s">
        <v>845</v>
      </c>
    </row>
    <row r="119" customFormat="false" ht="54.75" hidden="false" customHeight="true" outlineLevel="0" collapsed="false">
      <c r="A119" s="30" t="s">
        <v>7671</v>
      </c>
      <c r="B119" s="30" t="s">
        <v>7664</v>
      </c>
      <c r="C119" s="6" t="s">
        <v>7672</v>
      </c>
      <c r="D119" s="246" t="s">
        <v>7673</v>
      </c>
      <c r="E119" s="30" t="s">
        <v>4685</v>
      </c>
      <c r="F119" s="6" t="s">
        <v>7667</v>
      </c>
      <c r="G119" s="30" t="s">
        <v>7668</v>
      </c>
      <c r="H119" s="6" t="s">
        <v>7674</v>
      </c>
      <c r="I119" s="208" t="s">
        <v>7670</v>
      </c>
      <c r="J119" s="208" t="s">
        <v>845</v>
      </c>
    </row>
    <row r="120" customFormat="false" ht="72" hidden="false" customHeight="true" outlineLevel="0" collapsed="false">
      <c r="A120" s="30" t="s">
        <v>7675</v>
      </c>
      <c r="B120" s="30" t="s">
        <v>7664</v>
      </c>
      <c r="C120" s="6" t="s">
        <v>7676</v>
      </c>
      <c r="D120" s="6" t="s">
        <v>7677</v>
      </c>
      <c r="E120" s="30" t="s">
        <v>4685</v>
      </c>
      <c r="F120" s="6" t="s">
        <v>7667</v>
      </c>
      <c r="G120" s="30" t="s">
        <v>7668</v>
      </c>
      <c r="H120" s="6" t="s">
        <v>7678</v>
      </c>
      <c r="I120" s="208" t="s">
        <v>7670</v>
      </c>
      <c r="J120" s="208" t="s">
        <v>845</v>
      </c>
    </row>
    <row r="121" customFormat="false" ht="54.75" hidden="false" customHeight="true" outlineLevel="0" collapsed="false">
      <c r="A121" s="30" t="s">
        <v>7679</v>
      </c>
      <c r="B121" s="30" t="s">
        <v>7664</v>
      </c>
      <c r="C121" s="6" t="s">
        <v>7680</v>
      </c>
      <c r="D121" s="246" t="s">
        <v>7681</v>
      </c>
      <c r="E121" s="30" t="s">
        <v>4685</v>
      </c>
      <c r="F121" s="6" t="s">
        <v>7667</v>
      </c>
      <c r="G121" s="30" t="s">
        <v>7668</v>
      </c>
      <c r="H121" s="6" t="s">
        <v>7682</v>
      </c>
      <c r="I121" s="208" t="s">
        <v>7670</v>
      </c>
      <c r="J121" s="208" t="s">
        <v>845</v>
      </c>
    </row>
    <row r="122" customFormat="false" ht="54.75" hidden="false" customHeight="true" outlineLevel="0" collapsed="false">
      <c r="A122" s="30" t="s">
        <v>7683</v>
      </c>
      <c r="B122" s="30" t="s">
        <v>7664</v>
      </c>
      <c r="C122" s="6" t="s">
        <v>7684</v>
      </c>
      <c r="D122" s="6" t="s">
        <v>7685</v>
      </c>
      <c r="E122" s="30" t="s">
        <v>4685</v>
      </c>
      <c r="F122" s="6" t="s">
        <v>7667</v>
      </c>
      <c r="G122" s="30" t="s">
        <v>7668</v>
      </c>
      <c r="H122" s="6" t="s">
        <v>7686</v>
      </c>
      <c r="I122" s="208" t="s">
        <v>7670</v>
      </c>
      <c r="J122" s="208" t="s">
        <v>845</v>
      </c>
    </row>
    <row r="123" customFormat="false" ht="54.75" hidden="false" customHeight="true" outlineLevel="0" collapsed="false">
      <c r="A123" s="30" t="s">
        <v>7687</v>
      </c>
      <c r="B123" s="30" t="s">
        <v>7664</v>
      </c>
      <c r="C123" s="6" t="s">
        <v>7688</v>
      </c>
      <c r="D123" s="6" t="s">
        <v>7689</v>
      </c>
      <c r="E123" s="30" t="s">
        <v>4685</v>
      </c>
      <c r="F123" s="6" t="s">
        <v>7667</v>
      </c>
      <c r="G123" s="30" t="s">
        <v>7668</v>
      </c>
      <c r="H123" s="6" t="s">
        <v>7690</v>
      </c>
      <c r="I123" s="208" t="s">
        <v>7670</v>
      </c>
      <c r="J123" s="208" t="s">
        <v>845</v>
      </c>
    </row>
    <row r="124" customFormat="false" ht="54.75" hidden="false" customHeight="true" outlineLevel="0" collapsed="false">
      <c r="A124" s="30" t="s">
        <v>7691</v>
      </c>
      <c r="B124" s="30" t="s">
        <v>7664</v>
      </c>
      <c r="C124" s="6" t="s">
        <v>7692</v>
      </c>
      <c r="D124" s="246" t="s">
        <v>7693</v>
      </c>
      <c r="E124" s="30" t="s">
        <v>4685</v>
      </c>
      <c r="F124" s="6" t="s">
        <v>7667</v>
      </c>
      <c r="G124" s="30" t="s">
        <v>7668</v>
      </c>
      <c r="H124" s="6" t="s">
        <v>7694</v>
      </c>
      <c r="I124" s="208" t="s">
        <v>7670</v>
      </c>
      <c r="J124" s="208" t="s">
        <v>845</v>
      </c>
    </row>
    <row r="125" customFormat="false" ht="57.75" hidden="false" customHeight="true" outlineLevel="0" collapsed="false">
      <c r="A125" s="30" t="s">
        <v>7695</v>
      </c>
      <c r="B125" s="30" t="s">
        <v>7664</v>
      </c>
      <c r="C125" s="6" t="s">
        <v>7696</v>
      </c>
      <c r="D125" s="246" t="s">
        <v>7697</v>
      </c>
      <c r="E125" s="30" t="s">
        <v>4685</v>
      </c>
      <c r="F125" s="6" t="s">
        <v>7667</v>
      </c>
      <c r="G125" s="30" t="s">
        <v>7668</v>
      </c>
      <c r="H125" s="6" t="s">
        <v>7698</v>
      </c>
      <c r="I125" s="208" t="s">
        <v>7670</v>
      </c>
      <c r="J125" s="208" t="s">
        <v>845</v>
      </c>
    </row>
    <row r="126" customFormat="false" ht="54.75" hidden="false" customHeight="true" outlineLevel="0" collapsed="false">
      <c r="A126" s="30" t="s">
        <v>7699</v>
      </c>
      <c r="B126" s="30" t="s">
        <v>7664</v>
      </c>
      <c r="C126" s="6" t="s">
        <v>7700</v>
      </c>
      <c r="D126" s="6" t="s">
        <v>7701</v>
      </c>
      <c r="E126" s="30" t="s">
        <v>4685</v>
      </c>
      <c r="F126" s="6" t="s">
        <v>7667</v>
      </c>
      <c r="G126" s="30" t="s">
        <v>7668</v>
      </c>
      <c r="H126" s="6" t="s">
        <v>7702</v>
      </c>
      <c r="I126" s="208" t="s">
        <v>7670</v>
      </c>
      <c r="J126" s="208" t="s">
        <v>845</v>
      </c>
    </row>
    <row r="127" customFormat="false" ht="54.75" hidden="false" customHeight="true" outlineLevel="0" collapsed="false">
      <c r="A127" s="30" t="s">
        <v>7703</v>
      </c>
      <c r="B127" s="30" t="s">
        <v>7664</v>
      </c>
      <c r="C127" s="6" t="s">
        <v>7704</v>
      </c>
      <c r="D127" s="246" t="s">
        <v>7705</v>
      </c>
      <c r="E127" s="30" t="s">
        <v>4685</v>
      </c>
      <c r="F127" s="6" t="s">
        <v>7667</v>
      </c>
      <c r="G127" s="30" t="s">
        <v>7668</v>
      </c>
      <c r="H127" s="246" t="s">
        <v>7706</v>
      </c>
      <c r="I127" s="208" t="s">
        <v>7670</v>
      </c>
      <c r="J127" s="208" t="s">
        <v>845</v>
      </c>
    </row>
    <row r="128" customFormat="false" ht="114.75" hidden="false" customHeight="true" outlineLevel="0" collapsed="false">
      <c r="A128" s="30" t="s">
        <v>7707</v>
      </c>
      <c r="B128" s="30" t="s">
        <v>7664</v>
      </c>
      <c r="C128" s="6" t="s">
        <v>7708</v>
      </c>
      <c r="D128" s="246" t="s">
        <v>7709</v>
      </c>
      <c r="E128" s="30" t="s">
        <v>4685</v>
      </c>
      <c r="F128" s="6" t="s">
        <v>7710</v>
      </c>
      <c r="G128" s="30" t="s">
        <v>7668</v>
      </c>
      <c r="H128" s="6" t="s">
        <v>7711</v>
      </c>
      <c r="I128" s="208" t="s">
        <v>7670</v>
      </c>
      <c r="J128" s="208" t="s">
        <v>845</v>
      </c>
    </row>
    <row r="129" customFormat="false" ht="43.5" hidden="false" customHeight="true" outlineLevel="0" collapsed="false">
      <c r="A129" s="30" t="s">
        <v>7712</v>
      </c>
      <c r="B129" s="30" t="s">
        <v>7664</v>
      </c>
      <c r="C129" s="6" t="s">
        <v>7713</v>
      </c>
      <c r="D129" s="6" t="s">
        <v>7714</v>
      </c>
      <c r="E129" s="30" t="s">
        <v>4685</v>
      </c>
      <c r="F129" s="6" t="s">
        <v>7710</v>
      </c>
      <c r="G129" s="30" t="s">
        <v>7668</v>
      </c>
      <c r="H129" s="6" t="s">
        <v>7715</v>
      </c>
      <c r="I129" s="208" t="s">
        <v>7670</v>
      </c>
      <c r="J129" s="208" t="s">
        <v>845</v>
      </c>
    </row>
    <row r="130" customFormat="false" ht="69" hidden="false" customHeight="true" outlineLevel="0" collapsed="false">
      <c r="A130" s="30" t="s">
        <v>6850</v>
      </c>
      <c r="B130" s="30" t="s">
        <v>7664</v>
      </c>
      <c r="C130" s="6" t="s">
        <v>7716</v>
      </c>
      <c r="D130" s="6" t="s">
        <v>7717</v>
      </c>
      <c r="E130" s="30" t="s">
        <v>4685</v>
      </c>
      <c r="F130" s="6" t="s">
        <v>7710</v>
      </c>
      <c r="G130" s="30" t="s">
        <v>7718</v>
      </c>
      <c r="H130" s="6" t="s">
        <v>7719</v>
      </c>
      <c r="I130" s="208" t="s">
        <v>7670</v>
      </c>
      <c r="J130" s="208" t="s">
        <v>845</v>
      </c>
    </row>
    <row r="131" customFormat="false" ht="54.75" hidden="false" customHeight="true" outlineLevel="0" collapsed="false">
      <c r="A131" s="30" t="s">
        <v>3331</v>
      </c>
      <c r="B131" s="30" t="s">
        <v>7664</v>
      </c>
      <c r="C131" s="6" t="s">
        <v>7720</v>
      </c>
      <c r="D131" s="6" t="s">
        <v>7721</v>
      </c>
      <c r="E131" s="30" t="s">
        <v>4685</v>
      </c>
      <c r="F131" s="6" t="s">
        <v>7667</v>
      </c>
      <c r="G131" s="30" t="s">
        <v>7668</v>
      </c>
      <c r="H131" s="6" t="s">
        <v>7722</v>
      </c>
      <c r="I131" s="208" t="s">
        <v>7723</v>
      </c>
      <c r="J131" s="208" t="s">
        <v>845</v>
      </c>
    </row>
    <row r="132" customFormat="false" ht="86.25" hidden="false" customHeight="true" outlineLevel="0" collapsed="false">
      <c r="A132" s="30" t="s">
        <v>7724</v>
      </c>
      <c r="B132" s="30" t="s">
        <v>7725</v>
      </c>
      <c r="C132" s="6" t="s">
        <v>7726</v>
      </c>
      <c r="D132" s="6" t="s">
        <v>7727</v>
      </c>
      <c r="E132" s="30" t="s">
        <v>4685</v>
      </c>
      <c r="F132" s="6" t="s">
        <v>7728</v>
      </c>
      <c r="G132" s="30" t="s">
        <v>7729</v>
      </c>
      <c r="H132" s="6" t="s">
        <v>7730</v>
      </c>
      <c r="I132" s="208" t="s">
        <v>7731</v>
      </c>
      <c r="J132" s="208" t="s">
        <v>845</v>
      </c>
    </row>
    <row r="133" customFormat="false" ht="57.75" hidden="false" customHeight="true" outlineLevel="0" collapsed="false">
      <c r="A133" s="30" t="s">
        <v>7732</v>
      </c>
      <c r="B133" s="30" t="s">
        <v>7725</v>
      </c>
      <c r="C133" s="6" t="s">
        <v>7733</v>
      </c>
      <c r="D133" s="6" t="s">
        <v>7734</v>
      </c>
      <c r="E133" s="30" t="s">
        <v>4685</v>
      </c>
      <c r="F133" s="6" t="s">
        <v>7728</v>
      </c>
      <c r="G133" s="30" t="s">
        <v>7729</v>
      </c>
      <c r="H133" s="6" t="s">
        <v>7735</v>
      </c>
      <c r="I133" s="208" t="s">
        <v>7736</v>
      </c>
      <c r="J133" s="208" t="s">
        <v>845</v>
      </c>
    </row>
    <row r="134" customFormat="false" ht="57.75" hidden="false" customHeight="true" outlineLevel="0" collapsed="false">
      <c r="A134" s="30" t="s">
        <v>7737</v>
      </c>
      <c r="B134" s="30" t="s">
        <v>7725</v>
      </c>
      <c r="C134" s="6" t="s">
        <v>7738</v>
      </c>
      <c r="D134" s="6" t="s">
        <v>7739</v>
      </c>
      <c r="E134" s="30" t="s">
        <v>4685</v>
      </c>
      <c r="F134" s="6" t="s">
        <v>7728</v>
      </c>
      <c r="G134" s="30" t="s">
        <v>7729</v>
      </c>
      <c r="H134" s="6" t="s">
        <v>7740</v>
      </c>
      <c r="I134" s="208" t="s">
        <v>7741</v>
      </c>
      <c r="J134" s="208" t="s">
        <v>845</v>
      </c>
    </row>
    <row r="135" customFormat="false" ht="72" hidden="false" customHeight="true" outlineLevel="0" collapsed="false">
      <c r="A135" s="30" t="s">
        <v>5472</v>
      </c>
      <c r="B135" s="30" t="s">
        <v>7742</v>
      </c>
      <c r="C135" s="6" t="s">
        <v>7743</v>
      </c>
      <c r="D135" s="6" t="s">
        <v>7744</v>
      </c>
      <c r="E135" s="30" t="s">
        <v>4685</v>
      </c>
      <c r="F135" s="6" t="s">
        <v>7745</v>
      </c>
      <c r="G135" s="30" t="s">
        <v>7746</v>
      </c>
      <c r="H135" s="6" t="s">
        <v>7747</v>
      </c>
      <c r="I135" s="208" t="s">
        <v>7748</v>
      </c>
      <c r="J135" s="208" t="s">
        <v>845</v>
      </c>
    </row>
    <row r="136" customFormat="false" ht="72" hidden="false" customHeight="true" outlineLevel="0" collapsed="false">
      <c r="A136" s="30" t="s">
        <v>5370</v>
      </c>
      <c r="B136" s="30" t="s">
        <v>7742</v>
      </c>
      <c r="C136" s="6" t="s">
        <v>7749</v>
      </c>
      <c r="D136" s="6" t="s">
        <v>7750</v>
      </c>
      <c r="E136" s="30" t="s">
        <v>4685</v>
      </c>
      <c r="F136" s="6" t="s">
        <v>7745</v>
      </c>
      <c r="G136" s="30" t="s">
        <v>7746</v>
      </c>
      <c r="H136" s="6" t="s">
        <v>7751</v>
      </c>
      <c r="I136" s="208" t="s">
        <v>7752</v>
      </c>
      <c r="J136" s="208" t="s">
        <v>845</v>
      </c>
    </row>
    <row r="137" customFormat="false" ht="43.5" hidden="false" customHeight="true" outlineLevel="0" collapsed="false">
      <c r="A137" s="30" t="s">
        <v>6871</v>
      </c>
      <c r="B137" s="30" t="s">
        <v>7742</v>
      </c>
      <c r="C137" s="6" t="s">
        <v>7753</v>
      </c>
      <c r="D137" s="6" t="s">
        <v>7754</v>
      </c>
      <c r="E137" s="30" t="s">
        <v>4685</v>
      </c>
      <c r="F137" s="6" t="s">
        <v>7745</v>
      </c>
      <c r="G137" s="30" t="s">
        <v>7746</v>
      </c>
      <c r="H137" s="6" t="s">
        <v>7755</v>
      </c>
      <c r="I137" s="208" t="s">
        <v>7752</v>
      </c>
      <c r="J137" s="208" t="s">
        <v>845</v>
      </c>
    </row>
    <row r="138" customFormat="false" ht="57.75" hidden="false" customHeight="true" outlineLevel="0" collapsed="false">
      <c r="A138" s="30" t="s">
        <v>7756</v>
      </c>
      <c r="B138" s="30" t="s">
        <v>7742</v>
      </c>
      <c r="C138" s="6" t="s">
        <v>7757</v>
      </c>
      <c r="D138" s="6" t="s">
        <v>7758</v>
      </c>
      <c r="E138" s="30" t="s">
        <v>4685</v>
      </c>
      <c r="F138" s="6" t="s">
        <v>7745</v>
      </c>
      <c r="G138" s="30" t="s">
        <v>7746</v>
      </c>
      <c r="H138" s="6" t="s">
        <v>7759</v>
      </c>
      <c r="I138" s="208" t="s">
        <v>7760</v>
      </c>
      <c r="J138" s="208" t="s">
        <v>845</v>
      </c>
    </row>
    <row r="139" customFormat="false" ht="57.75" hidden="false" customHeight="true" outlineLevel="0" collapsed="false">
      <c r="A139" s="30" t="s">
        <v>7761</v>
      </c>
      <c r="B139" s="30" t="s">
        <v>7742</v>
      </c>
      <c r="C139" s="6" t="s">
        <v>7762</v>
      </c>
      <c r="D139" s="246" t="s">
        <v>7763</v>
      </c>
      <c r="E139" s="30" t="s">
        <v>4685</v>
      </c>
      <c r="F139" s="6" t="s">
        <v>7745</v>
      </c>
      <c r="G139" s="30" t="s">
        <v>7746</v>
      </c>
      <c r="H139" s="6" t="s">
        <v>7764</v>
      </c>
      <c r="I139" s="208" t="s">
        <v>7765</v>
      </c>
      <c r="J139" s="208" t="s">
        <v>845</v>
      </c>
    </row>
    <row r="140" customFormat="false" ht="143.25" hidden="false" customHeight="true" outlineLevel="0" collapsed="false">
      <c r="A140" s="30" t="s">
        <v>6895</v>
      </c>
      <c r="B140" s="30" t="s">
        <v>7766</v>
      </c>
      <c r="C140" s="6" t="s">
        <v>7767</v>
      </c>
      <c r="D140" s="6" t="s">
        <v>7768</v>
      </c>
      <c r="E140" s="30" t="s">
        <v>7769</v>
      </c>
      <c r="F140" s="6" t="s">
        <v>7770</v>
      </c>
      <c r="G140" s="30" t="s">
        <v>7771</v>
      </c>
      <c r="H140" s="6" t="s">
        <v>7772</v>
      </c>
      <c r="I140" s="208" t="s">
        <v>7773</v>
      </c>
      <c r="J140" s="208" t="s">
        <v>845</v>
      </c>
    </row>
    <row r="141" customFormat="false" ht="143.25" hidden="false" customHeight="true" outlineLevel="0" collapsed="false">
      <c r="A141" s="30" t="s">
        <v>7774</v>
      </c>
      <c r="B141" s="30" t="s">
        <v>7766</v>
      </c>
      <c r="C141" s="6" t="s">
        <v>7775</v>
      </c>
      <c r="D141" s="246" t="s">
        <v>7776</v>
      </c>
      <c r="E141" s="30" t="s">
        <v>7769</v>
      </c>
      <c r="F141" s="6" t="s">
        <v>7770</v>
      </c>
      <c r="G141" s="30" t="s">
        <v>7771</v>
      </c>
      <c r="H141" s="6" t="s">
        <v>7777</v>
      </c>
      <c r="I141" s="208" t="s">
        <v>7778</v>
      </c>
      <c r="J141" s="208" t="s">
        <v>845</v>
      </c>
    </row>
    <row r="142" customFormat="false" ht="143.25" hidden="false" customHeight="true" outlineLevel="0" collapsed="false">
      <c r="A142" s="30" t="s">
        <v>7779</v>
      </c>
      <c r="B142" s="30" t="s">
        <v>7766</v>
      </c>
      <c r="C142" s="6" t="s">
        <v>7780</v>
      </c>
      <c r="D142" s="6" t="s">
        <v>7781</v>
      </c>
      <c r="E142" s="30" t="s">
        <v>7769</v>
      </c>
      <c r="F142" s="6" t="s">
        <v>7770</v>
      </c>
      <c r="G142" s="30" t="s">
        <v>7771</v>
      </c>
      <c r="H142" s="6" t="s">
        <v>7782</v>
      </c>
      <c r="I142" s="208" t="s">
        <v>7783</v>
      </c>
      <c r="J142" s="208" t="s">
        <v>845</v>
      </c>
    </row>
    <row r="143" customFormat="false" ht="143.25" hidden="false" customHeight="true" outlineLevel="0" collapsed="false">
      <c r="A143" s="30" t="s">
        <v>7784</v>
      </c>
      <c r="B143" s="30" t="s">
        <v>7766</v>
      </c>
      <c r="C143" s="6" t="s">
        <v>7785</v>
      </c>
      <c r="D143" s="246" t="s">
        <v>7786</v>
      </c>
      <c r="E143" s="30" t="s">
        <v>7769</v>
      </c>
      <c r="F143" s="6" t="s">
        <v>7770</v>
      </c>
      <c r="G143" s="30" t="s">
        <v>7771</v>
      </c>
      <c r="H143" s="246" t="s">
        <v>7787</v>
      </c>
      <c r="I143" s="208" t="s">
        <v>7788</v>
      </c>
      <c r="J143" s="208" t="s">
        <v>845</v>
      </c>
    </row>
    <row r="144" customFormat="false" ht="143.25" hidden="false" customHeight="true" outlineLevel="0" collapsed="false">
      <c r="A144" s="30" t="s">
        <v>7789</v>
      </c>
      <c r="B144" s="30" t="s">
        <v>7766</v>
      </c>
      <c r="C144" s="6" t="s">
        <v>7790</v>
      </c>
      <c r="D144" s="246" t="s">
        <v>7791</v>
      </c>
      <c r="E144" s="30" t="s">
        <v>7769</v>
      </c>
      <c r="F144" s="6" t="s">
        <v>7770</v>
      </c>
      <c r="G144" s="30" t="s">
        <v>7771</v>
      </c>
      <c r="H144" s="6" t="s">
        <v>7792</v>
      </c>
      <c r="I144" s="208" t="s">
        <v>7778</v>
      </c>
      <c r="J144" s="208" t="s">
        <v>845</v>
      </c>
    </row>
    <row r="145" customFormat="false" ht="143.25" hidden="false" customHeight="true" outlineLevel="0" collapsed="false">
      <c r="A145" s="30" t="s">
        <v>7793</v>
      </c>
      <c r="B145" s="30" t="s">
        <v>7766</v>
      </c>
      <c r="C145" s="6" t="s">
        <v>7794</v>
      </c>
      <c r="D145" s="6" t="s">
        <v>7795</v>
      </c>
      <c r="E145" s="30" t="s">
        <v>7769</v>
      </c>
      <c r="F145" s="6" t="s">
        <v>7770</v>
      </c>
      <c r="G145" s="30" t="s">
        <v>7771</v>
      </c>
      <c r="H145" s="6" t="s">
        <v>7796</v>
      </c>
      <c r="I145" s="208" t="s">
        <v>7797</v>
      </c>
      <c r="J145" s="208" t="s">
        <v>845</v>
      </c>
    </row>
    <row r="146" customFormat="false" ht="143.25" hidden="false" customHeight="true" outlineLevel="0" collapsed="false">
      <c r="A146" s="30" t="s">
        <v>7798</v>
      </c>
      <c r="B146" s="30" t="s">
        <v>7799</v>
      </c>
      <c r="C146" s="6" t="s">
        <v>7800</v>
      </c>
      <c r="D146" s="246" t="s">
        <v>7801</v>
      </c>
      <c r="E146" s="30" t="s">
        <v>7802</v>
      </c>
      <c r="F146" s="6" t="s">
        <v>7803</v>
      </c>
      <c r="G146" s="30" t="s">
        <v>7804</v>
      </c>
      <c r="H146" s="6" t="s">
        <v>7805</v>
      </c>
      <c r="I146" s="208" t="s">
        <v>7806</v>
      </c>
      <c r="J146" s="208" t="s">
        <v>845</v>
      </c>
    </row>
    <row r="147" customFormat="false" ht="143.25" hidden="false" customHeight="true" outlineLevel="0" collapsed="false">
      <c r="A147" s="30" t="s">
        <v>7807</v>
      </c>
      <c r="B147" s="30" t="s">
        <v>7799</v>
      </c>
      <c r="C147" s="6" t="s">
        <v>7808</v>
      </c>
      <c r="D147" s="6" t="s">
        <v>7809</v>
      </c>
      <c r="E147" s="30" t="s">
        <v>7802</v>
      </c>
      <c r="F147" s="6" t="s">
        <v>7803</v>
      </c>
      <c r="G147" s="30" t="s">
        <v>7804</v>
      </c>
      <c r="H147" s="6" t="s">
        <v>7810</v>
      </c>
      <c r="I147" s="208" t="s">
        <v>7811</v>
      </c>
      <c r="J147" s="208" t="s">
        <v>845</v>
      </c>
    </row>
    <row r="148" customFormat="false" ht="143.25" hidden="false" customHeight="true" outlineLevel="0" collapsed="false">
      <c r="A148" s="30" t="s">
        <v>7812</v>
      </c>
      <c r="B148" s="30" t="s">
        <v>7799</v>
      </c>
      <c r="C148" s="6" t="s">
        <v>7813</v>
      </c>
      <c r="D148" s="6" t="s">
        <v>7814</v>
      </c>
      <c r="E148" s="30" t="s">
        <v>7802</v>
      </c>
      <c r="F148" s="6" t="s">
        <v>7803</v>
      </c>
      <c r="G148" s="30" t="s">
        <v>7804</v>
      </c>
      <c r="H148" s="6" t="s">
        <v>7815</v>
      </c>
      <c r="I148" s="208" t="s">
        <v>7811</v>
      </c>
      <c r="J148" s="208" t="s">
        <v>845</v>
      </c>
    </row>
    <row r="149" customFormat="false" ht="143.25" hidden="false" customHeight="true" outlineLevel="0" collapsed="false">
      <c r="A149" s="30" t="s">
        <v>6813</v>
      </c>
      <c r="B149" s="30" t="s">
        <v>7799</v>
      </c>
      <c r="C149" s="6" t="s">
        <v>7816</v>
      </c>
      <c r="D149" s="6" t="s">
        <v>7817</v>
      </c>
      <c r="E149" s="30" t="s">
        <v>7802</v>
      </c>
      <c r="F149" s="6" t="s">
        <v>7803</v>
      </c>
      <c r="G149" s="30" t="s">
        <v>7804</v>
      </c>
      <c r="H149" s="6" t="s">
        <v>7818</v>
      </c>
      <c r="I149" s="208" t="s">
        <v>7819</v>
      </c>
      <c r="J149" s="208" t="s">
        <v>845</v>
      </c>
    </row>
    <row r="150" customFormat="false" ht="143.25" hidden="false" customHeight="true" outlineLevel="0" collapsed="false">
      <c r="A150" s="30" t="s">
        <v>6915</v>
      </c>
      <c r="B150" s="30" t="s">
        <v>7799</v>
      </c>
      <c r="C150" s="6" t="s">
        <v>7820</v>
      </c>
      <c r="D150" s="246" t="s">
        <v>7821</v>
      </c>
      <c r="E150" s="30" t="s">
        <v>7802</v>
      </c>
      <c r="F150" s="6" t="s">
        <v>7803</v>
      </c>
      <c r="G150" s="30" t="s">
        <v>7804</v>
      </c>
      <c r="H150" s="6" t="s">
        <v>7822</v>
      </c>
      <c r="I150" s="208" t="s">
        <v>7823</v>
      </c>
      <c r="J150" s="208" t="s">
        <v>845</v>
      </c>
    </row>
    <row r="151" customFormat="false" ht="143.25" hidden="false" customHeight="true" outlineLevel="0" collapsed="false">
      <c r="A151" s="30" t="s">
        <v>7824</v>
      </c>
      <c r="B151" s="30" t="s">
        <v>7799</v>
      </c>
      <c r="C151" s="6" t="s">
        <v>7825</v>
      </c>
      <c r="D151" s="246" t="s">
        <v>7826</v>
      </c>
      <c r="E151" s="30" t="s">
        <v>7802</v>
      </c>
      <c r="F151" s="6" t="s">
        <v>7803</v>
      </c>
      <c r="G151" s="30" t="s">
        <v>7804</v>
      </c>
      <c r="H151" s="6" t="s">
        <v>7827</v>
      </c>
      <c r="I151" s="208" t="s">
        <v>7819</v>
      </c>
      <c r="J151" s="208" t="s">
        <v>845</v>
      </c>
    </row>
    <row r="152" customFormat="false" ht="143.25" hidden="false" customHeight="true" outlineLevel="0" collapsed="false">
      <c r="A152" s="30" t="s">
        <v>7828</v>
      </c>
      <c r="B152" s="30" t="s">
        <v>7799</v>
      </c>
      <c r="C152" s="6" t="s">
        <v>7829</v>
      </c>
      <c r="D152" s="6" t="s">
        <v>7830</v>
      </c>
      <c r="E152" s="30" t="s">
        <v>7802</v>
      </c>
      <c r="F152" s="6" t="s">
        <v>7803</v>
      </c>
      <c r="G152" s="30" t="s">
        <v>7804</v>
      </c>
      <c r="H152" s="6" t="s">
        <v>7831</v>
      </c>
      <c r="I152" s="208" t="s">
        <v>7819</v>
      </c>
      <c r="J152" s="208" t="s">
        <v>845</v>
      </c>
    </row>
    <row r="153" customFormat="false" ht="143.25" hidden="false" customHeight="true" outlineLevel="0" collapsed="false">
      <c r="A153" s="30" t="s">
        <v>7832</v>
      </c>
      <c r="B153" s="30" t="s">
        <v>7799</v>
      </c>
      <c r="C153" s="6" t="s">
        <v>7833</v>
      </c>
      <c r="D153" s="6" t="s">
        <v>7834</v>
      </c>
      <c r="E153" s="30" t="s">
        <v>7802</v>
      </c>
      <c r="F153" s="6" t="s">
        <v>7803</v>
      </c>
      <c r="G153" s="30" t="s">
        <v>7804</v>
      </c>
      <c r="H153" s="6" t="s">
        <v>7835</v>
      </c>
      <c r="I153" s="208" t="s">
        <v>7836</v>
      </c>
      <c r="J153" s="208" t="s">
        <v>845</v>
      </c>
    </row>
    <row r="154" customFormat="false" ht="199.5" hidden="false" customHeight="true" outlineLevel="0" collapsed="false">
      <c r="A154" s="30" t="s">
        <v>7837</v>
      </c>
      <c r="B154" s="30" t="s">
        <v>7838</v>
      </c>
      <c r="C154" s="6" t="s">
        <v>7839</v>
      </c>
      <c r="D154" s="6" t="s">
        <v>7840</v>
      </c>
      <c r="E154" s="30" t="s">
        <v>7841</v>
      </c>
      <c r="F154" s="6" t="s">
        <v>7842</v>
      </c>
      <c r="G154" s="30" t="s">
        <v>7843</v>
      </c>
      <c r="H154" s="6" t="s">
        <v>7844</v>
      </c>
      <c r="I154" s="208" t="s">
        <v>7845</v>
      </c>
      <c r="J154" s="208" t="s">
        <v>845</v>
      </c>
    </row>
    <row r="155" customFormat="false" ht="199.5" hidden="false" customHeight="true" outlineLevel="0" collapsed="false">
      <c r="A155" s="30" t="s">
        <v>7846</v>
      </c>
      <c r="B155" s="30" t="s">
        <v>7838</v>
      </c>
      <c r="C155" s="6" t="s">
        <v>7847</v>
      </c>
      <c r="D155" s="246" t="s">
        <v>7848</v>
      </c>
      <c r="E155" s="30" t="s">
        <v>7841</v>
      </c>
      <c r="F155" s="6" t="s">
        <v>7842</v>
      </c>
      <c r="G155" s="30" t="s">
        <v>7843</v>
      </c>
      <c r="H155" s="6" t="s">
        <v>7849</v>
      </c>
      <c r="I155" s="208" t="s">
        <v>7850</v>
      </c>
      <c r="J155" s="208" t="s">
        <v>845</v>
      </c>
    </row>
    <row r="156" customFormat="false" ht="199.5" hidden="false" customHeight="true" outlineLevel="0" collapsed="false">
      <c r="A156" s="30" t="s">
        <v>6951</v>
      </c>
      <c r="B156" s="30" t="s">
        <v>7838</v>
      </c>
      <c r="C156" s="6" t="s">
        <v>7851</v>
      </c>
      <c r="D156" s="6" t="s">
        <v>7852</v>
      </c>
      <c r="E156" s="30" t="s">
        <v>7841</v>
      </c>
      <c r="F156" s="6" t="s">
        <v>7842</v>
      </c>
      <c r="G156" s="30" t="s">
        <v>7843</v>
      </c>
      <c r="H156" s="6" t="s">
        <v>7853</v>
      </c>
      <c r="I156" s="208" t="s">
        <v>7854</v>
      </c>
      <c r="J156" s="208" t="s">
        <v>845</v>
      </c>
    </row>
    <row r="157" customFormat="false" ht="199.5" hidden="false" customHeight="true" outlineLevel="0" collapsed="false">
      <c r="A157" s="30" t="s">
        <v>6926</v>
      </c>
      <c r="B157" s="30" t="s">
        <v>7838</v>
      </c>
      <c r="C157" s="6" t="s">
        <v>7855</v>
      </c>
      <c r="D157" s="6" t="s">
        <v>7856</v>
      </c>
      <c r="E157" s="30" t="s">
        <v>7841</v>
      </c>
      <c r="F157" s="6" t="s">
        <v>7842</v>
      </c>
      <c r="G157" s="30" t="s">
        <v>7843</v>
      </c>
      <c r="H157" s="6" t="s">
        <v>7857</v>
      </c>
      <c r="I157" s="208" t="s">
        <v>7858</v>
      </c>
      <c r="J157" s="208" t="s">
        <v>845</v>
      </c>
    </row>
    <row r="158" customFormat="false" ht="199.5" hidden="false" customHeight="true" outlineLevel="0" collapsed="false">
      <c r="A158" s="30" t="s">
        <v>6935</v>
      </c>
      <c r="B158" s="30" t="s">
        <v>7838</v>
      </c>
      <c r="C158" s="6" t="s">
        <v>7859</v>
      </c>
      <c r="D158" s="246" t="s">
        <v>7860</v>
      </c>
      <c r="E158" s="30" t="s">
        <v>7841</v>
      </c>
      <c r="F158" s="6" t="s">
        <v>7842</v>
      </c>
      <c r="G158" s="30" t="s">
        <v>7843</v>
      </c>
      <c r="H158" s="6" t="s">
        <v>7861</v>
      </c>
      <c r="I158" s="208" t="s">
        <v>7862</v>
      </c>
      <c r="J158" s="208" t="s">
        <v>845</v>
      </c>
    </row>
    <row r="159" customFormat="false" ht="199.5" hidden="false" customHeight="true" outlineLevel="0" collapsed="false">
      <c r="A159" s="30" t="s">
        <v>6259</v>
      </c>
      <c r="B159" s="30" t="s">
        <v>7838</v>
      </c>
      <c r="C159" s="6" t="s">
        <v>7863</v>
      </c>
      <c r="D159" s="246" t="s">
        <v>7864</v>
      </c>
      <c r="E159" s="30" t="s">
        <v>7841</v>
      </c>
      <c r="F159" s="6" t="s">
        <v>7842</v>
      </c>
      <c r="G159" s="30" t="s">
        <v>7843</v>
      </c>
      <c r="H159" s="6" t="s">
        <v>7865</v>
      </c>
      <c r="I159" s="208" t="s">
        <v>7866</v>
      </c>
      <c r="J159" s="208" t="s">
        <v>845</v>
      </c>
    </row>
    <row r="160" customFormat="false" ht="199.5" hidden="false" customHeight="true" outlineLevel="0" collapsed="false">
      <c r="A160" s="30" t="s">
        <v>7867</v>
      </c>
      <c r="B160" s="30" t="s">
        <v>7838</v>
      </c>
      <c r="C160" s="6" t="s">
        <v>7868</v>
      </c>
      <c r="D160" s="246" t="s">
        <v>7869</v>
      </c>
      <c r="E160" s="30" t="s">
        <v>7841</v>
      </c>
      <c r="F160" s="6" t="s">
        <v>7842</v>
      </c>
      <c r="G160" s="30" t="s">
        <v>7843</v>
      </c>
      <c r="H160" s="6" t="s">
        <v>7870</v>
      </c>
      <c r="I160" s="208" t="s">
        <v>7862</v>
      </c>
      <c r="J160" s="208" t="s">
        <v>845</v>
      </c>
    </row>
    <row r="161" customFormat="false" ht="129" hidden="false" customHeight="true" outlineLevel="0" collapsed="false">
      <c r="A161" s="30" t="s">
        <v>7018</v>
      </c>
      <c r="B161" s="30" t="s">
        <v>7871</v>
      </c>
      <c r="C161" s="6" t="s">
        <v>7872</v>
      </c>
      <c r="D161" s="246" t="s">
        <v>7873</v>
      </c>
      <c r="E161" s="30" t="s">
        <v>7841</v>
      </c>
      <c r="F161" s="6" t="s">
        <v>7874</v>
      </c>
      <c r="G161" s="30" t="s">
        <v>7875</v>
      </c>
      <c r="H161" s="6" t="s">
        <v>7876</v>
      </c>
      <c r="I161" s="208" t="s">
        <v>7877</v>
      </c>
      <c r="J161" s="208" t="s">
        <v>845</v>
      </c>
    </row>
    <row r="162" customFormat="false" ht="129" hidden="false" customHeight="true" outlineLevel="0" collapsed="false">
      <c r="A162" s="30" t="s">
        <v>7046</v>
      </c>
      <c r="B162" s="30" t="s">
        <v>7871</v>
      </c>
      <c r="C162" s="6" t="s">
        <v>7878</v>
      </c>
      <c r="D162" s="6" t="s">
        <v>7879</v>
      </c>
      <c r="E162" s="30" t="s">
        <v>7841</v>
      </c>
      <c r="F162" s="6" t="s">
        <v>7874</v>
      </c>
      <c r="G162" s="30" t="s">
        <v>7875</v>
      </c>
      <c r="H162" s="6" t="s">
        <v>7880</v>
      </c>
      <c r="I162" s="208" t="s">
        <v>7881</v>
      </c>
      <c r="J162" s="208" t="s">
        <v>845</v>
      </c>
    </row>
    <row r="163" customFormat="false" ht="143.25" hidden="false" customHeight="true" outlineLevel="0" collapsed="false">
      <c r="A163" s="30" t="s">
        <v>7882</v>
      </c>
      <c r="B163" s="30" t="s">
        <v>7871</v>
      </c>
      <c r="C163" s="6" t="s">
        <v>7883</v>
      </c>
      <c r="D163" s="6" t="s">
        <v>7884</v>
      </c>
      <c r="E163" s="30" t="s">
        <v>7841</v>
      </c>
      <c r="F163" s="6" t="s">
        <v>7874</v>
      </c>
      <c r="G163" s="30" t="s">
        <v>7875</v>
      </c>
      <c r="H163" s="6" t="s">
        <v>7885</v>
      </c>
      <c r="I163" s="208" t="s">
        <v>7886</v>
      </c>
      <c r="J163" s="208" t="s">
        <v>845</v>
      </c>
    </row>
    <row r="164" customFormat="false" ht="143.25" hidden="false" customHeight="true" outlineLevel="0" collapsed="false">
      <c r="A164" s="30" t="s">
        <v>7887</v>
      </c>
      <c r="B164" s="30" t="s">
        <v>7888</v>
      </c>
      <c r="C164" s="6" t="s">
        <v>7889</v>
      </c>
      <c r="D164" s="246" t="s">
        <v>7890</v>
      </c>
      <c r="E164" s="30" t="s">
        <v>7891</v>
      </c>
      <c r="F164" s="6" t="s">
        <v>7892</v>
      </c>
      <c r="G164" s="30" t="s">
        <v>7893</v>
      </c>
      <c r="H164" s="6" t="s">
        <v>7894</v>
      </c>
      <c r="I164" s="208" t="s">
        <v>7895</v>
      </c>
      <c r="J164" s="208" t="s">
        <v>845</v>
      </c>
    </row>
    <row r="165" customFormat="false" ht="129" hidden="false" customHeight="true" outlineLevel="0" collapsed="false">
      <c r="A165" s="30" t="s">
        <v>7896</v>
      </c>
      <c r="B165" s="30" t="s">
        <v>7888</v>
      </c>
      <c r="C165" s="6" t="s">
        <v>7897</v>
      </c>
      <c r="D165" s="6" t="s">
        <v>7898</v>
      </c>
      <c r="E165" s="30" t="s">
        <v>7891</v>
      </c>
      <c r="F165" s="6" t="s">
        <v>7892</v>
      </c>
      <c r="G165" s="30" t="s">
        <v>7893</v>
      </c>
      <c r="H165" s="6" t="s">
        <v>7899</v>
      </c>
      <c r="I165" s="208" t="s">
        <v>7900</v>
      </c>
      <c r="J165" s="208" t="s">
        <v>845</v>
      </c>
    </row>
    <row r="166" customFormat="false" ht="129" hidden="false" customHeight="true" outlineLevel="0" collapsed="false">
      <c r="A166" s="30" t="s">
        <v>7062</v>
      </c>
      <c r="B166" s="30" t="s">
        <v>7888</v>
      </c>
      <c r="C166" s="6" t="s">
        <v>7901</v>
      </c>
      <c r="D166" s="6" t="s">
        <v>7902</v>
      </c>
      <c r="E166" s="30" t="s">
        <v>7891</v>
      </c>
      <c r="F166" s="6" t="s">
        <v>7892</v>
      </c>
      <c r="G166" s="30" t="s">
        <v>7893</v>
      </c>
      <c r="H166" s="6" t="s">
        <v>7903</v>
      </c>
      <c r="I166" s="208" t="s">
        <v>7904</v>
      </c>
      <c r="J166" s="208" t="s">
        <v>845</v>
      </c>
    </row>
    <row r="167" customFormat="false" ht="100.5" hidden="false" customHeight="true" outlineLevel="0" collapsed="false">
      <c r="A167" s="30" t="s">
        <v>7905</v>
      </c>
      <c r="B167" s="30" t="s">
        <v>7906</v>
      </c>
      <c r="C167" s="246" t="s">
        <v>7907</v>
      </c>
      <c r="D167" s="6" t="s">
        <v>7908</v>
      </c>
      <c r="E167" s="30" t="s">
        <v>7891</v>
      </c>
      <c r="F167" s="6" t="s">
        <v>7909</v>
      </c>
      <c r="G167" s="30" t="s">
        <v>7910</v>
      </c>
      <c r="H167" s="6" t="s">
        <v>7911</v>
      </c>
      <c r="I167" s="208" t="s">
        <v>7912</v>
      </c>
      <c r="J167" s="208" t="s">
        <v>845</v>
      </c>
    </row>
    <row r="168" customFormat="false" ht="129" hidden="false" customHeight="true" outlineLevel="0" collapsed="false">
      <c r="A168" s="30" t="s">
        <v>7913</v>
      </c>
      <c r="B168" s="30" t="s">
        <v>7906</v>
      </c>
      <c r="C168" s="246" t="s">
        <v>7914</v>
      </c>
      <c r="D168" s="6" t="s">
        <v>7915</v>
      </c>
      <c r="E168" s="30" t="s">
        <v>7891</v>
      </c>
      <c r="F168" s="6" t="s">
        <v>7909</v>
      </c>
      <c r="G168" s="30" t="s">
        <v>7916</v>
      </c>
      <c r="H168" s="6" t="s">
        <v>7917</v>
      </c>
      <c r="I168" s="208" t="s">
        <v>7918</v>
      </c>
      <c r="J168" s="208" t="s">
        <v>845</v>
      </c>
    </row>
    <row r="169" customFormat="false" ht="57.75" hidden="false" customHeight="true" outlineLevel="0" collapsed="false">
      <c r="A169" s="30" t="s">
        <v>7919</v>
      </c>
      <c r="B169" s="30" t="s">
        <v>7906</v>
      </c>
      <c r="C169" s="246" t="s">
        <v>7920</v>
      </c>
      <c r="D169" s="6" t="s">
        <v>7921</v>
      </c>
      <c r="E169" s="30" t="s">
        <v>7891</v>
      </c>
      <c r="F169" s="6" t="s">
        <v>7909</v>
      </c>
      <c r="G169" s="30" t="s">
        <v>7910</v>
      </c>
      <c r="H169" s="6" t="s">
        <v>7922</v>
      </c>
      <c r="I169" s="208" t="s">
        <v>7923</v>
      </c>
      <c r="J169" s="208" t="s">
        <v>845</v>
      </c>
    </row>
    <row r="170" customFormat="false" ht="72" hidden="false" customHeight="true" outlineLevel="0" collapsed="false">
      <c r="A170" s="30" t="s">
        <v>6819</v>
      </c>
      <c r="B170" s="30" t="s">
        <v>7924</v>
      </c>
      <c r="C170" s="246" t="s">
        <v>7925</v>
      </c>
      <c r="D170" s="6" t="s">
        <v>7926</v>
      </c>
      <c r="E170" s="30" t="s">
        <v>7891</v>
      </c>
      <c r="F170" s="6" t="s">
        <v>7927</v>
      </c>
      <c r="G170" s="30" t="s">
        <v>7928</v>
      </c>
      <c r="H170" s="6" t="s">
        <v>7929</v>
      </c>
      <c r="I170" s="208" t="s">
        <v>7930</v>
      </c>
      <c r="J170" s="208" t="s">
        <v>845</v>
      </c>
    </row>
    <row r="171" customFormat="false" ht="72" hidden="false" customHeight="true" outlineLevel="0" collapsed="false">
      <c r="A171" s="30" t="s">
        <v>7931</v>
      </c>
      <c r="B171" s="30" t="s">
        <v>7924</v>
      </c>
      <c r="C171" s="246" t="s">
        <v>7932</v>
      </c>
      <c r="D171" s="6" t="s">
        <v>7933</v>
      </c>
      <c r="E171" s="30" t="s">
        <v>7891</v>
      </c>
      <c r="F171" s="6" t="s">
        <v>7927</v>
      </c>
      <c r="G171" s="30" t="s">
        <v>7928</v>
      </c>
      <c r="H171" s="6" t="s">
        <v>7934</v>
      </c>
      <c r="I171" s="208" t="s">
        <v>7935</v>
      </c>
      <c r="J171" s="208" t="s">
        <v>845</v>
      </c>
    </row>
    <row r="172" customFormat="false" ht="57.75" hidden="false" customHeight="true" outlineLevel="0" collapsed="false">
      <c r="A172" s="30" t="s">
        <v>7936</v>
      </c>
      <c r="B172" s="30" t="s">
        <v>7924</v>
      </c>
      <c r="C172" s="246" t="s">
        <v>7937</v>
      </c>
      <c r="D172" s="6" t="s">
        <v>7938</v>
      </c>
      <c r="E172" s="30" t="s">
        <v>7891</v>
      </c>
      <c r="F172" s="6" t="s">
        <v>7927</v>
      </c>
      <c r="G172" s="30" t="s">
        <v>7928</v>
      </c>
      <c r="H172" s="6" t="s">
        <v>7939</v>
      </c>
      <c r="I172" s="208" t="s">
        <v>7940</v>
      </c>
      <c r="J172" s="208" t="s">
        <v>845</v>
      </c>
    </row>
    <row r="173" customFormat="false" ht="114.75" hidden="false" customHeight="true" outlineLevel="0" collapsed="false">
      <c r="A173" s="30" t="s">
        <v>7941</v>
      </c>
      <c r="B173" s="30" t="s">
        <v>7924</v>
      </c>
      <c r="C173" s="246" t="s">
        <v>7942</v>
      </c>
      <c r="D173" s="6" t="s">
        <v>7943</v>
      </c>
      <c r="E173" s="30" t="s">
        <v>7891</v>
      </c>
      <c r="F173" s="6" t="s">
        <v>7927</v>
      </c>
      <c r="G173" s="30" t="s">
        <v>7928</v>
      </c>
      <c r="H173" s="6" t="s">
        <v>7944</v>
      </c>
      <c r="I173" s="208" t="s">
        <v>7945</v>
      </c>
      <c r="J173" s="208" t="s">
        <v>845</v>
      </c>
    </row>
    <row r="174" customFormat="false" ht="57.75" hidden="false" customHeight="true" outlineLevel="0" collapsed="false">
      <c r="A174" s="30" t="s">
        <v>6411</v>
      </c>
      <c r="B174" s="30" t="s">
        <v>7924</v>
      </c>
      <c r="C174" s="246" t="s">
        <v>7946</v>
      </c>
      <c r="D174" s="246" t="s">
        <v>7947</v>
      </c>
      <c r="E174" s="30" t="s">
        <v>7891</v>
      </c>
      <c r="F174" s="6" t="s">
        <v>7927</v>
      </c>
      <c r="G174" s="30" t="s">
        <v>7928</v>
      </c>
      <c r="H174" s="6" t="s">
        <v>7948</v>
      </c>
      <c r="I174" s="208" t="s">
        <v>7949</v>
      </c>
      <c r="J174" s="208" t="s">
        <v>845</v>
      </c>
    </row>
    <row r="175" customFormat="false" ht="57.75" hidden="false" customHeight="true" outlineLevel="0" collapsed="false">
      <c r="A175" s="30" t="s">
        <v>5318</v>
      </c>
      <c r="B175" s="30" t="s">
        <v>7924</v>
      </c>
      <c r="C175" s="246" t="s">
        <v>7950</v>
      </c>
      <c r="D175" s="6" t="s">
        <v>7951</v>
      </c>
      <c r="E175" s="30" t="s">
        <v>7891</v>
      </c>
      <c r="F175" s="6" t="s">
        <v>7927</v>
      </c>
      <c r="G175" s="30" t="s">
        <v>7928</v>
      </c>
      <c r="H175" s="6" t="s">
        <v>7952</v>
      </c>
      <c r="I175" s="208" t="s">
        <v>7953</v>
      </c>
      <c r="J175" s="208" t="s">
        <v>845</v>
      </c>
    </row>
    <row r="176" customFormat="false" ht="114.75" hidden="false" customHeight="true" outlineLevel="0" collapsed="false">
      <c r="A176" s="30" t="s">
        <v>7107</v>
      </c>
      <c r="B176" s="30" t="s">
        <v>7954</v>
      </c>
      <c r="C176" s="246" t="s">
        <v>7955</v>
      </c>
      <c r="D176" s="6" t="s">
        <v>7956</v>
      </c>
      <c r="E176" s="30" t="s">
        <v>7957</v>
      </c>
      <c r="F176" s="6" t="s">
        <v>7958</v>
      </c>
      <c r="G176" s="30" t="s">
        <v>7959</v>
      </c>
      <c r="H176" s="6" t="s">
        <v>7960</v>
      </c>
      <c r="I176" s="208" t="s">
        <v>7961</v>
      </c>
      <c r="J176" s="208" t="s">
        <v>845</v>
      </c>
    </row>
    <row r="177" customFormat="false" ht="100.5" hidden="false" customHeight="true" outlineLevel="0" collapsed="false">
      <c r="A177" s="30" t="s">
        <v>5842</v>
      </c>
      <c r="B177" s="30" t="s">
        <v>7954</v>
      </c>
      <c r="C177" s="246" t="s">
        <v>7962</v>
      </c>
      <c r="D177" s="6" t="s">
        <v>7963</v>
      </c>
      <c r="E177" s="30" t="s">
        <v>7957</v>
      </c>
      <c r="F177" s="6" t="s">
        <v>7958</v>
      </c>
      <c r="G177" s="30" t="s">
        <v>7959</v>
      </c>
      <c r="H177" s="6" t="s">
        <v>7964</v>
      </c>
      <c r="I177" s="208" t="s">
        <v>7965</v>
      </c>
      <c r="J177" s="208" t="s">
        <v>845</v>
      </c>
    </row>
    <row r="178" customFormat="false" ht="86.25" hidden="false" customHeight="true" outlineLevel="0" collapsed="false">
      <c r="A178" s="30" t="s">
        <v>7966</v>
      </c>
      <c r="B178" s="30" t="s">
        <v>7954</v>
      </c>
      <c r="C178" s="246" t="s">
        <v>7967</v>
      </c>
      <c r="D178" s="246" t="s">
        <v>7968</v>
      </c>
      <c r="E178" s="30" t="s">
        <v>7957</v>
      </c>
      <c r="F178" s="6" t="s">
        <v>7958</v>
      </c>
      <c r="G178" s="30" t="s">
        <v>7959</v>
      </c>
      <c r="H178" s="6" t="s">
        <v>7969</v>
      </c>
      <c r="I178" s="208" t="s">
        <v>7970</v>
      </c>
      <c r="J178" s="208" t="s">
        <v>845</v>
      </c>
    </row>
    <row r="179" customFormat="false" ht="129" hidden="false" customHeight="true" outlineLevel="0" collapsed="false">
      <c r="A179" s="30" t="s">
        <v>7971</v>
      </c>
      <c r="B179" s="30" t="s">
        <v>7972</v>
      </c>
      <c r="C179" s="246" t="s">
        <v>7973</v>
      </c>
      <c r="D179" s="246" t="s">
        <v>7974</v>
      </c>
      <c r="E179" s="30" t="s">
        <v>7957</v>
      </c>
      <c r="F179" s="6" t="s">
        <v>7975</v>
      </c>
      <c r="G179" s="30" t="s">
        <v>7976</v>
      </c>
      <c r="H179" s="6" t="s">
        <v>7977</v>
      </c>
      <c r="I179" s="208" t="s">
        <v>7978</v>
      </c>
      <c r="J179" s="208" t="s">
        <v>845</v>
      </c>
    </row>
    <row r="180" customFormat="false" ht="86.25" hidden="false" customHeight="true" outlineLevel="0" collapsed="false">
      <c r="A180" s="30" t="s">
        <v>7979</v>
      </c>
      <c r="B180" s="30" t="s">
        <v>7972</v>
      </c>
      <c r="C180" s="246" t="s">
        <v>7980</v>
      </c>
      <c r="D180" s="246" t="s">
        <v>7981</v>
      </c>
      <c r="E180" s="30" t="s">
        <v>7957</v>
      </c>
      <c r="F180" s="6" t="s">
        <v>7975</v>
      </c>
      <c r="G180" s="30" t="s">
        <v>7976</v>
      </c>
      <c r="H180" s="6" t="s">
        <v>7982</v>
      </c>
      <c r="I180" s="208" t="s">
        <v>7983</v>
      </c>
      <c r="J180" s="208" t="s">
        <v>845</v>
      </c>
    </row>
    <row r="181" customFormat="false" ht="72" hidden="false" customHeight="true" outlineLevel="0" collapsed="false">
      <c r="A181" s="30" t="s">
        <v>7984</v>
      </c>
      <c r="B181" s="30" t="s">
        <v>7972</v>
      </c>
      <c r="C181" s="246" t="s">
        <v>7985</v>
      </c>
      <c r="D181" s="6" t="s">
        <v>7986</v>
      </c>
      <c r="E181" s="30" t="s">
        <v>7957</v>
      </c>
      <c r="F181" s="6" t="s">
        <v>7975</v>
      </c>
      <c r="G181" s="30" t="s">
        <v>7976</v>
      </c>
      <c r="H181" s="6" t="s">
        <v>7987</v>
      </c>
      <c r="I181" s="208" t="s">
        <v>7988</v>
      </c>
      <c r="J181" s="208" t="s">
        <v>845</v>
      </c>
    </row>
    <row r="182" customFormat="false" ht="156.75" hidden="false" customHeight="true" outlineLevel="0" collapsed="false">
      <c r="A182" s="30" t="s">
        <v>7123</v>
      </c>
      <c r="B182" s="30" t="s">
        <v>7989</v>
      </c>
      <c r="C182" s="246" t="s">
        <v>7990</v>
      </c>
      <c r="D182" s="6" t="s">
        <v>7991</v>
      </c>
      <c r="E182" s="30" t="s">
        <v>7891</v>
      </c>
      <c r="F182" s="6" t="s">
        <v>7992</v>
      </c>
      <c r="G182" s="30" t="s">
        <v>7993</v>
      </c>
      <c r="H182" s="6" t="s">
        <v>7994</v>
      </c>
      <c r="I182" s="30" t="s">
        <v>7995</v>
      </c>
      <c r="J182" s="208" t="s">
        <v>845</v>
      </c>
    </row>
    <row r="183" customFormat="false" ht="29.25" hidden="false" customHeight="true" outlineLevel="0" collapsed="false">
      <c r="A183" s="30" t="s">
        <v>7996</v>
      </c>
      <c r="B183" s="30" t="s">
        <v>7989</v>
      </c>
      <c r="C183" s="246" t="s">
        <v>7997</v>
      </c>
      <c r="D183" s="6" t="s">
        <v>7998</v>
      </c>
      <c r="E183" s="30" t="s">
        <v>7957</v>
      </c>
      <c r="F183" s="6" t="s">
        <v>7999</v>
      </c>
      <c r="G183" s="30" t="s">
        <v>8000</v>
      </c>
      <c r="H183" s="6" t="s">
        <v>8001</v>
      </c>
      <c r="I183" s="208" t="s">
        <v>8002</v>
      </c>
      <c r="J183" s="208" t="s">
        <v>845</v>
      </c>
    </row>
    <row r="184" customFormat="false" ht="72" hidden="false" customHeight="true" outlineLevel="0" collapsed="false">
      <c r="A184" s="30" t="s">
        <v>8003</v>
      </c>
      <c r="B184" s="30" t="s">
        <v>7989</v>
      </c>
      <c r="C184" s="246" t="s">
        <v>8004</v>
      </c>
      <c r="D184" s="6" t="s">
        <v>8005</v>
      </c>
      <c r="E184" s="30" t="s">
        <v>7957</v>
      </c>
      <c r="F184" s="6" t="s">
        <v>8006</v>
      </c>
      <c r="G184" s="30" t="s">
        <v>8007</v>
      </c>
      <c r="H184" s="6" t="s">
        <v>8008</v>
      </c>
      <c r="I184" s="208" t="s">
        <v>8009</v>
      </c>
      <c r="J184" s="208" t="s">
        <v>845</v>
      </c>
    </row>
    <row r="185" customFormat="false" ht="72" hidden="false" customHeight="true" outlineLevel="0" collapsed="false">
      <c r="A185" s="30" t="s">
        <v>8010</v>
      </c>
      <c r="B185" s="30" t="s">
        <v>7989</v>
      </c>
      <c r="C185" s="246" t="s">
        <v>8011</v>
      </c>
      <c r="D185" s="6" t="s">
        <v>8012</v>
      </c>
      <c r="E185" s="30" t="s">
        <v>7957</v>
      </c>
      <c r="F185" s="6" t="s">
        <v>8006</v>
      </c>
      <c r="G185" s="208" t="s">
        <v>8013</v>
      </c>
      <c r="H185" s="246" t="s">
        <v>8014</v>
      </c>
      <c r="I185" s="208" t="s">
        <v>8015</v>
      </c>
      <c r="J185" s="208" t="s">
        <v>845</v>
      </c>
    </row>
    <row r="186" customFormat="false" ht="86.25" hidden="false" customHeight="true" outlineLevel="0" collapsed="false">
      <c r="A186" s="30" t="s">
        <v>8016</v>
      </c>
      <c r="B186" s="30" t="s">
        <v>7989</v>
      </c>
      <c r="C186" s="246" t="s">
        <v>8017</v>
      </c>
      <c r="D186" s="6" t="s">
        <v>8018</v>
      </c>
      <c r="E186" s="30" t="s">
        <v>7957</v>
      </c>
      <c r="F186" s="6" t="s">
        <v>8006</v>
      </c>
      <c r="G186" s="30" t="s">
        <v>7993</v>
      </c>
      <c r="H186" s="6" t="s">
        <v>8019</v>
      </c>
      <c r="I186" s="208" t="s">
        <v>8020</v>
      </c>
      <c r="J186" s="208" t="s">
        <v>845</v>
      </c>
    </row>
    <row r="187" customFormat="false" ht="57.75" hidden="false" customHeight="true" outlineLevel="0" collapsed="false">
      <c r="A187" s="30" t="s">
        <v>8021</v>
      </c>
      <c r="B187" s="30" t="s">
        <v>7989</v>
      </c>
      <c r="C187" s="246" t="s">
        <v>8022</v>
      </c>
      <c r="D187" s="6" t="s">
        <v>8023</v>
      </c>
      <c r="E187" s="30" t="s">
        <v>7957</v>
      </c>
      <c r="F187" s="6" t="s">
        <v>8006</v>
      </c>
      <c r="G187" s="30" t="s">
        <v>8024</v>
      </c>
      <c r="H187" s="6" t="s">
        <v>8025</v>
      </c>
      <c r="I187" s="208" t="s">
        <v>8026</v>
      </c>
      <c r="J187" s="208" t="s">
        <v>845</v>
      </c>
    </row>
    <row r="188" customFormat="false" ht="57.75" hidden="false" customHeight="true" outlineLevel="0" collapsed="false">
      <c r="A188" s="30" t="s">
        <v>7208</v>
      </c>
      <c r="B188" s="30" t="s">
        <v>7989</v>
      </c>
      <c r="C188" s="246" t="s">
        <v>8027</v>
      </c>
      <c r="D188" s="6" t="s">
        <v>8028</v>
      </c>
      <c r="E188" s="30" t="s">
        <v>7957</v>
      </c>
      <c r="F188" s="6" t="s">
        <v>8006</v>
      </c>
      <c r="G188" s="30" t="s">
        <v>7993</v>
      </c>
      <c r="H188" s="6" t="s">
        <v>8029</v>
      </c>
      <c r="I188" s="208" t="s">
        <v>8030</v>
      </c>
      <c r="J188" s="208" t="s">
        <v>845</v>
      </c>
    </row>
    <row r="189" customFormat="false" ht="114.75" hidden="false" customHeight="true" outlineLevel="0" collapsed="false">
      <c r="A189" s="30" t="s">
        <v>8031</v>
      </c>
      <c r="B189" s="30" t="s">
        <v>7989</v>
      </c>
      <c r="C189" s="246" t="s">
        <v>8032</v>
      </c>
      <c r="D189" s="6" t="s">
        <v>8033</v>
      </c>
      <c r="E189" s="30" t="s">
        <v>7957</v>
      </c>
      <c r="F189" s="246" t="s">
        <v>8034</v>
      </c>
      <c r="G189" s="30" t="s">
        <v>7993</v>
      </c>
      <c r="H189" s="6" t="s">
        <v>8035</v>
      </c>
      <c r="I189" s="208" t="s">
        <v>8002</v>
      </c>
      <c r="J189" s="208" t="s">
        <v>845</v>
      </c>
    </row>
    <row r="190" customFormat="false" ht="100.5" hidden="false" customHeight="true" outlineLevel="0" collapsed="false">
      <c r="A190" s="30" t="s">
        <v>8036</v>
      </c>
      <c r="B190" s="30" t="s">
        <v>7989</v>
      </c>
      <c r="C190" s="246" t="s">
        <v>8037</v>
      </c>
      <c r="D190" s="6" t="s">
        <v>8038</v>
      </c>
      <c r="E190" s="30" t="s">
        <v>7957</v>
      </c>
      <c r="F190" s="246" t="s">
        <v>8039</v>
      </c>
      <c r="G190" s="208" t="s">
        <v>8040</v>
      </c>
      <c r="H190" s="6" t="s">
        <v>8041</v>
      </c>
      <c r="I190" s="208" t="s">
        <v>8042</v>
      </c>
      <c r="J190" s="208" t="s">
        <v>845</v>
      </c>
    </row>
    <row r="191" customFormat="false" ht="156.75" hidden="false" customHeight="true" outlineLevel="0" collapsed="false">
      <c r="A191" s="30" t="s">
        <v>7148</v>
      </c>
      <c r="B191" s="30" t="s">
        <v>8043</v>
      </c>
      <c r="C191" s="246" t="s">
        <v>8044</v>
      </c>
      <c r="D191" s="246" t="s">
        <v>8045</v>
      </c>
      <c r="E191" s="30" t="s">
        <v>7957</v>
      </c>
      <c r="F191" s="6" t="s">
        <v>8046</v>
      </c>
      <c r="G191" s="30" t="s">
        <v>8047</v>
      </c>
      <c r="H191" s="6" t="s">
        <v>8048</v>
      </c>
      <c r="I191" s="208" t="s">
        <v>8049</v>
      </c>
      <c r="J191" s="208" t="s">
        <v>845</v>
      </c>
    </row>
    <row r="192" customFormat="false" ht="100.5" hidden="false" customHeight="true" outlineLevel="0" collapsed="false">
      <c r="A192" s="30" t="s">
        <v>8050</v>
      </c>
      <c r="B192" s="30" t="s">
        <v>8043</v>
      </c>
      <c r="C192" s="246" t="s">
        <v>8051</v>
      </c>
      <c r="D192" s="6" t="s">
        <v>8052</v>
      </c>
      <c r="E192" s="30" t="s">
        <v>7957</v>
      </c>
      <c r="F192" s="6" t="s">
        <v>8046</v>
      </c>
      <c r="G192" s="30" t="s">
        <v>8053</v>
      </c>
      <c r="H192" s="6" t="s">
        <v>8054</v>
      </c>
      <c r="I192" s="208" t="s">
        <v>8055</v>
      </c>
      <c r="J192" s="208" t="s">
        <v>845</v>
      </c>
    </row>
    <row r="193" customFormat="false" ht="129" hidden="false" customHeight="true" outlineLevel="0" collapsed="false">
      <c r="A193" s="30" t="s">
        <v>7170</v>
      </c>
      <c r="B193" s="30" t="s">
        <v>8043</v>
      </c>
      <c r="C193" s="246" t="s">
        <v>8056</v>
      </c>
      <c r="D193" s="6" t="s">
        <v>8057</v>
      </c>
      <c r="E193" s="30" t="s">
        <v>7957</v>
      </c>
      <c r="F193" s="6" t="s">
        <v>8046</v>
      </c>
      <c r="G193" s="30" t="s">
        <v>8047</v>
      </c>
      <c r="H193" s="6" t="s">
        <v>8058</v>
      </c>
      <c r="I193" s="208" t="s">
        <v>8059</v>
      </c>
      <c r="J193" s="208" t="s">
        <v>845</v>
      </c>
    </row>
    <row r="194" customFormat="false" ht="156.75" hidden="false" customHeight="true" outlineLevel="0" collapsed="false">
      <c r="A194" s="30" t="s">
        <v>8060</v>
      </c>
      <c r="B194" s="30" t="s">
        <v>8043</v>
      </c>
      <c r="C194" s="246" t="s">
        <v>8061</v>
      </c>
      <c r="D194" s="6" t="s">
        <v>8062</v>
      </c>
      <c r="E194" s="30" t="s">
        <v>7957</v>
      </c>
      <c r="F194" s="6" t="s">
        <v>8046</v>
      </c>
      <c r="G194" s="30" t="s">
        <v>8047</v>
      </c>
      <c r="H194" s="6" t="s">
        <v>8063</v>
      </c>
      <c r="I194" s="208" t="s">
        <v>8064</v>
      </c>
      <c r="J194" s="208" t="s">
        <v>845</v>
      </c>
    </row>
    <row r="195" customFormat="false" ht="171" hidden="false" customHeight="true" outlineLevel="0" collapsed="false">
      <c r="A195" s="30" t="s">
        <v>7197</v>
      </c>
      <c r="B195" s="30" t="s">
        <v>8043</v>
      </c>
      <c r="C195" s="246" t="s">
        <v>8065</v>
      </c>
      <c r="D195" s="6" t="s">
        <v>8066</v>
      </c>
      <c r="E195" s="30" t="s">
        <v>7957</v>
      </c>
      <c r="F195" s="6" t="s">
        <v>8046</v>
      </c>
      <c r="G195" s="30" t="s">
        <v>8047</v>
      </c>
      <c r="H195" s="6" t="s">
        <v>8067</v>
      </c>
      <c r="I195" s="208" t="s">
        <v>8068</v>
      </c>
      <c r="J195" s="208" t="s">
        <v>845</v>
      </c>
    </row>
    <row r="196" customFormat="false" ht="156.75" hidden="false" customHeight="true" outlineLevel="0" collapsed="false">
      <c r="A196" s="30" t="s">
        <v>6270</v>
      </c>
      <c r="B196" s="30" t="s">
        <v>8069</v>
      </c>
      <c r="C196" s="246" t="s">
        <v>8070</v>
      </c>
      <c r="D196" s="6" t="s">
        <v>8071</v>
      </c>
      <c r="E196" s="30" t="s">
        <v>7957</v>
      </c>
      <c r="F196" s="6" t="s">
        <v>8072</v>
      </c>
      <c r="G196" s="30" t="s">
        <v>8073</v>
      </c>
      <c r="H196" s="6" t="s">
        <v>8074</v>
      </c>
      <c r="I196" s="208" t="s">
        <v>8075</v>
      </c>
      <c r="J196" s="208" t="s">
        <v>845</v>
      </c>
    </row>
    <row r="197" customFormat="false" ht="100.5" hidden="false" customHeight="true" outlineLevel="0" collapsed="false">
      <c r="A197" s="30" t="s">
        <v>8076</v>
      </c>
      <c r="B197" s="30" t="s">
        <v>8069</v>
      </c>
      <c r="C197" s="246" t="s">
        <v>8077</v>
      </c>
      <c r="D197" s="246" t="s">
        <v>8078</v>
      </c>
      <c r="E197" s="30" t="s">
        <v>7957</v>
      </c>
      <c r="F197" s="6" t="s">
        <v>8072</v>
      </c>
      <c r="G197" s="30" t="s">
        <v>8073</v>
      </c>
      <c r="H197" s="6" t="s">
        <v>8079</v>
      </c>
      <c r="I197" s="208" t="s">
        <v>8080</v>
      </c>
      <c r="J197" s="208" t="s">
        <v>845</v>
      </c>
    </row>
    <row r="198" customFormat="false" ht="72" hidden="false" customHeight="true" outlineLevel="0" collapsed="false">
      <c r="A198" s="30" t="s">
        <v>8081</v>
      </c>
      <c r="B198" s="30" t="s">
        <v>8069</v>
      </c>
      <c r="C198" s="246" t="s">
        <v>8082</v>
      </c>
      <c r="D198" s="6" t="s">
        <v>8083</v>
      </c>
      <c r="E198" s="30" t="s">
        <v>7957</v>
      </c>
      <c r="F198" s="6" t="s">
        <v>8072</v>
      </c>
      <c r="G198" s="30" t="s">
        <v>8073</v>
      </c>
      <c r="H198" s="6" t="s">
        <v>8084</v>
      </c>
      <c r="I198" s="208" t="s">
        <v>8085</v>
      </c>
      <c r="J198" s="208" t="s">
        <v>845</v>
      </c>
    </row>
    <row r="199" customFormat="false" ht="43.5" hidden="false" customHeight="true" outlineLevel="0" collapsed="false">
      <c r="A199" s="30" t="s">
        <v>8086</v>
      </c>
      <c r="B199" s="30" t="s">
        <v>8069</v>
      </c>
      <c r="C199" s="246" t="s">
        <v>8087</v>
      </c>
      <c r="D199" s="6" t="s">
        <v>8088</v>
      </c>
      <c r="E199" s="30" t="s">
        <v>7957</v>
      </c>
      <c r="F199" s="6" t="s">
        <v>8072</v>
      </c>
      <c r="G199" s="30" t="s">
        <v>8073</v>
      </c>
      <c r="H199" s="6" t="s">
        <v>8089</v>
      </c>
      <c r="I199" s="208" t="s">
        <v>8090</v>
      </c>
      <c r="J199" s="208" t="s">
        <v>845</v>
      </c>
    </row>
    <row r="200" customFormat="false" ht="72" hidden="false" customHeight="true" outlineLevel="0" collapsed="false">
      <c r="A200" s="30" t="s">
        <v>8091</v>
      </c>
      <c r="B200" s="30" t="s">
        <v>8069</v>
      </c>
      <c r="C200" s="246" t="s">
        <v>8092</v>
      </c>
      <c r="D200" s="6" t="s">
        <v>8093</v>
      </c>
      <c r="E200" s="30" t="s">
        <v>7957</v>
      </c>
      <c r="F200" s="6" t="s">
        <v>8072</v>
      </c>
      <c r="G200" s="30" t="s">
        <v>8073</v>
      </c>
      <c r="H200" s="6" t="s">
        <v>8094</v>
      </c>
      <c r="I200" s="208" t="s">
        <v>8095</v>
      </c>
      <c r="J200" s="208" t="s">
        <v>845</v>
      </c>
    </row>
    <row r="201" customFormat="false" ht="114.75" hidden="false" customHeight="true" outlineLevel="0" collapsed="false">
      <c r="A201" s="30" t="s">
        <v>8096</v>
      </c>
      <c r="B201" s="30" t="s">
        <v>8069</v>
      </c>
      <c r="C201" s="246" t="s">
        <v>8097</v>
      </c>
      <c r="D201" s="246" t="s">
        <v>8098</v>
      </c>
      <c r="E201" s="30" t="s">
        <v>7957</v>
      </c>
      <c r="F201" s="6" t="s">
        <v>8072</v>
      </c>
      <c r="G201" s="30" t="s">
        <v>8073</v>
      </c>
      <c r="H201" s="6" t="s">
        <v>8099</v>
      </c>
      <c r="I201" s="208" t="s">
        <v>8100</v>
      </c>
      <c r="J201" s="208" t="s">
        <v>845</v>
      </c>
    </row>
    <row r="202" customFormat="false" ht="72" hidden="false" customHeight="true" outlineLevel="0" collapsed="false">
      <c r="A202" s="30" t="s">
        <v>8101</v>
      </c>
      <c r="B202" s="30" t="s">
        <v>8069</v>
      </c>
      <c r="C202" s="246" t="s">
        <v>8102</v>
      </c>
      <c r="D202" s="246" t="s">
        <v>8103</v>
      </c>
      <c r="E202" s="30" t="s">
        <v>7957</v>
      </c>
      <c r="F202" s="6" t="s">
        <v>8072</v>
      </c>
      <c r="G202" s="30" t="s">
        <v>8073</v>
      </c>
      <c r="H202" s="6" t="s">
        <v>8104</v>
      </c>
      <c r="I202" s="208" t="s">
        <v>8105</v>
      </c>
      <c r="J202" s="208" t="s">
        <v>845</v>
      </c>
    </row>
    <row r="203" customFormat="false" ht="100.5" hidden="false" customHeight="true" outlineLevel="0" collapsed="false">
      <c r="A203" s="30" t="s">
        <v>8106</v>
      </c>
      <c r="B203" s="30" t="s">
        <v>8107</v>
      </c>
      <c r="C203" s="246" t="s">
        <v>8108</v>
      </c>
      <c r="D203" s="6" t="s">
        <v>8109</v>
      </c>
      <c r="E203" s="30" t="s">
        <v>7957</v>
      </c>
      <c r="F203" s="6" t="s">
        <v>8110</v>
      </c>
      <c r="G203" s="30" t="s">
        <v>8111</v>
      </c>
      <c r="H203" s="6" t="s">
        <v>8112</v>
      </c>
      <c r="I203" s="208" t="s">
        <v>8113</v>
      </c>
      <c r="J203" s="208" t="s">
        <v>845</v>
      </c>
    </row>
    <row r="204" customFormat="false" ht="86.25" hidden="false" customHeight="true" outlineLevel="0" collapsed="false">
      <c r="A204" s="30" t="s">
        <v>8114</v>
      </c>
      <c r="B204" s="30" t="s">
        <v>8107</v>
      </c>
      <c r="C204" s="246" t="s">
        <v>8115</v>
      </c>
      <c r="D204" s="6" t="s">
        <v>8116</v>
      </c>
      <c r="E204" s="30" t="s">
        <v>7957</v>
      </c>
      <c r="F204" s="6" t="s">
        <v>8110</v>
      </c>
      <c r="G204" s="30" t="s">
        <v>8111</v>
      </c>
      <c r="H204" s="6" t="s">
        <v>8117</v>
      </c>
      <c r="I204" s="208" t="s">
        <v>8118</v>
      </c>
      <c r="J204" s="208" t="s">
        <v>845</v>
      </c>
    </row>
    <row r="205" customFormat="false" ht="143.25" hidden="false" customHeight="true" outlineLevel="0" collapsed="false">
      <c r="A205" s="30" t="s">
        <v>8119</v>
      </c>
      <c r="B205" s="30" t="s">
        <v>8107</v>
      </c>
      <c r="C205" s="246" t="s">
        <v>8120</v>
      </c>
      <c r="D205" s="6" t="s">
        <v>8121</v>
      </c>
      <c r="E205" s="30" t="s">
        <v>7957</v>
      </c>
      <c r="F205" s="6" t="s">
        <v>8110</v>
      </c>
      <c r="G205" s="30" t="s">
        <v>8111</v>
      </c>
      <c r="H205" s="6" t="s">
        <v>8122</v>
      </c>
      <c r="I205" s="208" t="s">
        <v>8123</v>
      </c>
      <c r="J205" s="208" t="s">
        <v>845</v>
      </c>
    </row>
    <row r="206" customFormat="false" ht="100.5" hidden="false" customHeight="true" outlineLevel="0" collapsed="false">
      <c r="A206" s="30" t="s">
        <v>8124</v>
      </c>
      <c r="B206" s="30" t="s">
        <v>8107</v>
      </c>
      <c r="C206" s="246" t="s">
        <v>8125</v>
      </c>
      <c r="D206" s="246" t="s">
        <v>8126</v>
      </c>
      <c r="E206" s="30" t="s">
        <v>7957</v>
      </c>
      <c r="F206" s="6" t="s">
        <v>8110</v>
      </c>
      <c r="G206" s="30" t="s">
        <v>8111</v>
      </c>
      <c r="H206" s="6" t="s">
        <v>8127</v>
      </c>
      <c r="I206" s="208" t="s">
        <v>8128</v>
      </c>
      <c r="J206" s="208" t="s">
        <v>845</v>
      </c>
    </row>
    <row r="207" customFormat="false" ht="29.25" hidden="false" customHeight="true" outlineLevel="0" collapsed="false">
      <c r="A207" s="30" t="s">
        <v>8129</v>
      </c>
      <c r="B207" s="30" t="s">
        <v>8107</v>
      </c>
      <c r="C207" s="246" t="s">
        <v>8130</v>
      </c>
      <c r="D207" s="246" t="s">
        <v>8131</v>
      </c>
      <c r="E207" s="30" t="s">
        <v>7957</v>
      </c>
      <c r="F207" s="6" t="s">
        <v>8110</v>
      </c>
      <c r="G207" s="30" t="s">
        <v>8111</v>
      </c>
      <c r="H207" s="6" t="s">
        <v>8104</v>
      </c>
      <c r="I207" s="208" t="s">
        <v>8132</v>
      </c>
      <c r="J207" s="208" t="s">
        <v>845</v>
      </c>
    </row>
    <row r="208" customFormat="false" ht="171" hidden="false" customHeight="true" outlineLevel="0" collapsed="false">
      <c r="A208" s="30" t="s">
        <v>8133</v>
      </c>
      <c r="B208" s="30" t="s">
        <v>8134</v>
      </c>
      <c r="C208" s="246" t="s">
        <v>8135</v>
      </c>
      <c r="D208" s="246" t="s">
        <v>8136</v>
      </c>
      <c r="E208" s="30" t="s">
        <v>7957</v>
      </c>
      <c r="F208" s="6" t="s">
        <v>8137</v>
      </c>
      <c r="G208" s="30" t="s">
        <v>8138</v>
      </c>
      <c r="H208" s="6" t="s">
        <v>8139</v>
      </c>
      <c r="I208" s="208" t="s">
        <v>8140</v>
      </c>
      <c r="J208" s="208" t="s">
        <v>845</v>
      </c>
    </row>
    <row r="209" customFormat="false" ht="86.25" hidden="false" customHeight="true" outlineLevel="0" collapsed="false">
      <c r="A209" s="30" t="s">
        <v>8141</v>
      </c>
      <c r="B209" s="30" t="s">
        <v>8134</v>
      </c>
      <c r="C209" s="246" t="s">
        <v>8142</v>
      </c>
      <c r="D209" s="6" t="s">
        <v>8143</v>
      </c>
      <c r="E209" s="30" t="s">
        <v>7957</v>
      </c>
      <c r="F209" s="6" t="s">
        <v>8137</v>
      </c>
      <c r="G209" s="30" t="s">
        <v>8138</v>
      </c>
      <c r="H209" s="6" t="s">
        <v>8144</v>
      </c>
      <c r="I209" s="208" t="s">
        <v>8145</v>
      </c>
      <c r="J209" s="208" t="s">
        <v>845</v>
      </c>
    </row>
    <row r="210" customFormat="false" ht="72" hidden="false" customHeight="true" outlineLevel="0" collapsed="false">
      <c r="A210" s="30" t="s">
        <v>8146</v>
      </c>
      <c r="B210" s="30" t="s">
        <v>8134</v>
      </c>
      <c r="C210" s="246" t="s">
        <v>8147</v>
      </c>
      <c r="D210" s="246" t="s">
        <v>8148</v>
      </c>
      <c r="E210" s="30" t="s">
        <v>7957</v>
      </c>
      <c r="F210" s="6" t="s">
        <v>8137</v>
      </c>
      <c r="G210" s="208" t="s">
        <v>8149</v>
      </c>
      <c r="H210" s="6" t="s">
        <v>8150</v>
      </c>
      <c r="I210" s="208" t="s">
        <v>8151</v>
      </c>
      <c r="J210" s="208" t="s">
        <v>845</v>
      </c>
    </row>
    <row r="211" customFormat="false" ht="129" hidden="false" customHeight="true" outlineLevel="0" collapsed="false">
      <c r="A211" s="30" t="s">
        <v>8152</v>
      </c>
      <c r="B211" s="30" t="s">
        <v>8153</v>
      </c>
      <c r="C211" s="6" t="s">
        <v>8154</v>
      </c>
      <c r="D211" s="246" t="s">
        <v>8155</v>
      </c>
      <c r="E211" s="30" t="s">
        <v>7957</v>
      </c>
      <c r="F211" s="6" t="s">
        <v>8156</v>
      </c>
      <c r="G211" s="208" t="s">
        <v>8157</v>
      </c>
      <c r="H211" s="6" t="s">
        <v>8158</v>
      </c>
      <c r="I211" s="208" t="s">
        <v>8159</v>
      </c>
      <c r="J211" s="208" t="s">
        <v>845</v>
      </c>
    </row>
    <row r="212" customFormat="false" ht="100.5" hidden="false" customHeight="true" outlineLevel="0" collapsed="false">
      <c r="A212" s="30" t="s">
        <v>8160</v>
      </c>
      <c r="B212" s="30" t="s">
        <v>8153</v>
      </c>
      <c r="C212" s="6" t="s">
        <v>8161</v>
      </c>
      <c r="D212" s="246" t="s">
        <v>8162</v>
      </c>
      <c r="E212" s="30" t="s">
        <v>7957</v>
      </c>
      <c r="F212" s="6" t="s">
        <v>8156</v>
      </c>
      <c r="G212" s="208" t="s">
        <v>8157</v>
      </c>
      <c r="H212" s="6" t="s">
        <v>8163</v>
      </c>
      <c r="I212" s="208" t="s">
        <v>8164</v>
      </c>
      <c r="J212" s="208" t="s">
        <v>845</v>
      </c>
    </row>
    <row r="213" customFormat="false" ht="100.5" hidden="false" customHeight="true" outlineLevel="0" collapsed="false">
      <c r="A213" s="30" t="s">
        <v>5828</v>
      </c>
      <c r="B213" s="30" t="s">
        <v>8153</v>
      </c>
      <c r="C213" s="6" t="s">
        <v>8165</v>
      </c>
      <c r="D213" s="6" t="s">
        <v>8166</v>
      </c>
      <c r="E213" s="30" t="s">
        <v>7957</v>
      </c>
      <c r="F213" s="6" t="s">
        <v>8156</v>
      </c>
      <c r="G213" s="30" t="s">
        <v>8167</v>
      </c>
      <c r="H213" s="6" t="s">
        <v>8168</v>
      </c>
      <c r="I213" s="208" t="s">
        <v>8169</v>
      </c>
      <c r="J213" s="208" t="s">
        <v>845</v>
      </c>
    </row>
    <row r="214" customFormat="false" ht="129" hidden="false" customHeight="true" outlineLevel="0" collapsed="false">
      <c r="A214" s="30" t="s">
        <v>8170</v>
      </c>
      <c r="B214" s="30" t="s">
        <v>8153</v>
      </c>
      <c r="C214" s="6" t="s">
        <v>8171</v>
      </c>
      <c r="D214" s="6" t="s">
        <v>8172</v>
      </c>
      <c r="E214" s="30" t="s">
        <v>7957</v>
      </c>
      <c r="F214" s="6" t="s">
        <v>8156</v>
      </c>
      <c r="G214" s="30" t="s">
        <v>8167</v>
      </c>
      <c r="H214" s="6" t="s">
        <v>8173</v>
      </c>
      <c r="I214" s="208" t="s">
        <v>8174</v>
      </c>
      <c r="J214" s="208" t="s">
        <v>845</v>
      </c>
    </row>
    <row r="215" customFormat="false" ht="57.75" hidden="false" customHeight="true" outlineLevel="0" collapsed="false">
      <c r="A215" s="30" t="s">
        <v>8175</v>
      </c>
      <c r="B215" s="30" t="s">
        <v>8153</v>
      </c>
      <c r="C215" s="6" t="s">
        <v>8176</v>
      </c>
      <c r="D215" s="6" t="s">
        <v>8177</v>
      </c>
      <c r="E215" s="30" t="s">
        <v>7957</v>
      </c>
      <c r="F215" s="6" t="s">
        <v>8156</v>
      </c>
      <c r="G215" s="30" t="s">
        <v>8167</v>
      </c>
      <c r="H215" s="6" t="s">
        <v>8178</v>
      </c>
      <c r="I215" s="208" t="s">
        <v>8179</v>
      </c>
      <c r="J215" s="208" t="s">
        <v>845</v>
      </c>
    </row>
    <row r="216" customFormat="false" ht="114.75" hidden="false" customHeight="true" outlineLevel="0" collapsed="false">
      <c r="A216" s="30" t="s">
        <v>7213</v>
      </c>
      <c r="B216" s="30" t="s">
        <v>8180</v>
      </c>
      <c r="C216" s="246" t="s">
        <v>8181</v>
      </c>
      <c r="D216" s="246" t="s">
        <v>8182</v>
      </c>
      <c r="E216" s="30" t="s">
        <v>7957</v>
      </c>
      <c r="F216" s="6" t="s">
        <v>8183</v>
      </c>
      <c r="G216" s="30" t="s">
        <v>8184</v>
      </c>
      <c r="H216" s="6" t="s">
        <v>8185</v>
      </c>
      <c r="I216" s="208" t="s">
        <v>8186</v>
      </c>
      <c r="J216" s="208" t="s">
        <v>845</v>
      </c>
    </row>
    <row r="217" customFormat="false" ht="129" hidden="false" customHeight="true" outlineLevel="0" collapsed="false">
      <c r="A217" s="30" t="s">
        <v>8187</v>
      </c>
      <c r="B217" s="30" t="s">
        <v>8180</v>
      </c>
      <c r="C217" s="246" t="s">
        <v>8188</v>
      </c>
      <c r="D217" s="6" t="s">
        <v>8189</v>
      </c>
      <c r="E217" s="30" t="s">
        <v>7957</v>
      </c>
      <c r="F217" s="6" t="s">
        <v>8183</v>
      </c>
      <c r="G217" s="30" t="s">
        <v>8190</v>
      </c>
      <c r="H217" s="6" t="s">
        <v>8191</v>
      </c>
      <c r="I217" s="208" t="s">
        <v>8192</v>
      </c>
      <c r="J217" s="208" t="s">
        <v>845</v>
      </c>
    </row>
    <row r="218" customFormat="false" ht="43.5" hidden="false" customHeight="true" outlineLevel="0" collapsed="false">
      <c r="A218" s="30" t="s">
        <v>8193</v>
      </c>
      <c r="B218" s="30" t="s">
        <v>8180</v>
      </c>
      <c r="C218" s="246" t="s">
        <v>8194</v>
      </c>
      <c r="D218" s="6" t="s">
        <v>8195</v>
      </c>
      <c r="E218" s="30" t="s">
        <v>7957</v>
      </c>
      <c r="F218" s="6" t="s">
        <v>8183</v>
      </c>
      <c r="G218" s="30" t="s">
        <v>8184</v>
      </c>
      <c r="H218" s="6" t="s">
        <v>8196</v>
      </c>
      <c r="I218" s="208" t="s">
        <v>8197</v>
      </c>
      <c r="J218" s="208" t="s">
        <v>845</v>
      </c>
    </row>
    <row r="219" customFormat="false" ht="57.75" hidden="false" customHeight="true" outlineLevel="0" collapsed="false">
      <c r="A219" s="30" t="s">
        <v>8198</v>
      </c>
      <c r="B219" s="30" t="s">
        <v>8180</v>
      </c>
      <c r="C219" s="246" t="s">
        <v>8199</v>
      </c>
      <c r="D219" s="6" t="s">
        <v>8200</v>
      </c>
      <c r="E219" s="30" t="s">
        <v>7957</v>
      </c>
      <c r="F219" s="6" t="s">
        <v>8183</v>
      </c>
      <c r="G219" s="30" t="s">
        <v>8184</v>
      </c>
      <c r="H219" s="246" t="s">
        <v>8201</v>
      </c>
      <c r="I219" s="208" t="s">
        <v>8202</v>
      </c>
      <c r="J219" s="208" t="s">
        <v>845</v>
      </c>
    </row>
    <row r="220" customFormat="false" ht="43.5" hidden="false" customHeight="true" outlineLevel="0" collapsed="false">
      <c r="A220" s="30" t="s">
        <v>8203</v>
      </c>
      <c r="B220" s="30" t="s">
        <v>8180</v>
      </c>
      <c r="C220" s="246" t="s">
        <v>8204</v>
      </c>
      <c r="D220" s="246" t="s">
        <v>8205</v>
      </c>
      <c r="E220" s="30" t="s">
        <v>7957</v>
      </c>
      <c r="F220" s="6" t="s">
        <v>8183</v>
      </c>
      <c r="G220" s="30" t="s">
        <v>8184</v>
      </c>
      <c r="H220" s="6" t="s">
        <v>8206</v>
      </c>
      <c r="I220" s="208" t="s">
        <v>8207</v>
      </c>
      <c r="J220" s="208" t="s">
        <v>845</v>
      </c>
    </row>
    <row r="221" customFormat="false" ht="43.5" hidden="false" customHeight="true" outlineLevel="0" collapsed="false">
      <c r="A221" s="30" t="s">
        <v>8208</v>
      </c>
      <c r="B221" s="30" t="s">
        <v>8180</v>
      </c>
      <c r="C221" s="246" t="s">
        <v>8209</v>
      </c>
      <c r="D221" s="6" t="s">
        <v>8210</v>
      </c>
      <c r="E221" s="30" t="s">
        <v>7957</v>
      </c>
      <c r="F221" s="6" t="s">
        <v>8183</v>
      </c>
      <c r="G221" s="208" t="s">
        <v>8211</v>
      </c>
      <c r="H221" s="6" t="s">
        <v>8212</v>
      </c>
      <c r="I221" s="208" t="s">
        <v>8213</v>
      </c>
      <c r="J221" s="208" t="s">
        <v>845</v>
      </c>
    </row>
    <row r="222" customFormat="false" ht="72" hidden="false" customHeight="true" outlineLevel="0" collapsed="false">
      <c r="A222" s="30" t="s">
        <v>8214</v>
      </c>
      <c r="B222" s="30" t="s">
        <v>8180</v>
      </c>
      <c r="C222" s="246" t="s">
        <v>8215</v>
      </c>
      <c r="D222" s="6" t="s">
        <v>8216</v>
      </c>
      <c r="E222" s="30" t="s">
        <v>7957</v>
      </c>
      <c r="F222" s="6" t="s">
        <v>8183</v>
      </c>
      <c r="G222" s="208" t="s">
        <v>8217</v>
      </c>
      <c r="H222" s="6" t="s">
        <v>8218</v>
      </c>
      <c r="I222" s="208" t="s">
        <v>8219</v>
      </c>
      <c r="J222" s="208" t="s">
        <v>845</v>
      </c>
    </row>
    <row r="223" customFormat="false" ht="228" hidden="false" customHeight="true" outlineLevel="0" collapsed="false">
      <c r="A223" s="30" t="s">
        <v>8220</v>
      </c>
      <c r="B223" s="30" t="s">
        <v>8221</v>
      </c>
      <c r="C223" s="246" t="s">
        <v>8222</v>
      </c>
      <c r="D223" s="246" t="s">
        <v>8223</v>
      </c>
      <c r="E223" s="30" t="s">
        <v>7957</v>
      </c>
      <c r="F223" s="6" t="s">
        <v>8224</v>
      </c>
      <c r="G223" s="208" t="s">
        <v>8225</v>
      </c>
      <c r="H223" s="6" t="s">
        <v>8226</v>
      </c>
      <c r="I223" s="208" t="s">
        <v>8227</v>
      </c>
      <c r="J223" s="208" t="s">
        <v>845</v>
      </c>
    </row>
    <row r="224" customFormat="false" ht="199.5" hidden="false" customHeight="true" outlineLevel="0" collapsed="false">
      <c r="A224" s="30" t="s">
        <v>7227</v>
      </c>
      <c r="B224" s="30" t="s">
        <v>8221</v>
      </c>
      <c r="C224" s="246" t="s">
        <v>8228</v>
      </c>
      <c r="D224" s="246" t="s">
        <v>8229</v>
      </c>
      <c r="E224" s="30" t="s">
        <v>7957</v>
      </c>
      <c r="F224" s="6" t="s">
        <v>8224</v>
      </c>
      <c r="G224" s="30" t="s">
        <v>8230</v>
      </c>
      <c r="H224" s="6" t="s">
        <v>8231</v>
      </c>
      <c r="I224" s="208" t="s">
        <v>8232</v>
      </c>
      <c r="J224" s="208" t="s">
        <v>845</v>
      </c>
    </row>
    <row r="225" customFormat="false" ht="86.25" hidden="false" customHeight="true" outlineLevel="0" collapsed="false">
      <c r="A225" s="30" t="s">
        <v>8233</v>
      </c>
      <c r="B225" s="30" t="s">
        <v>8221</v>
      </c>
      <c r="C225" s="246" t="s">
        <v>8234</v>
      </c>
      <c r="D225" s="6" t="s">
        <v>8235</v>
      </c>
      <c r="E225" s="30" t="s">
        <v>7957</v>
      </c>
      <c r="F225" s="6" t="s">
        <v>8224</v>
      </c>
      <c r="G225" s="30" t="s">
        <v>8236</v>
      </c>
      <c r="H225" s="6" t="s">
        <v>8237</v>
      </c>
      <c r="I225" s="208" t="s">
        <v>8238</v>
      </c>
      <c r="J225" s="208" t="s">
        <v>845</v>
      </c>
    </row>
    <row r="226" customFormat="false" ht="86.25" hidden="false" customHeight="true" outlineLevel="0" collapsed="false">
      <c r="A226" s="30" t="s">
        <v>8239</v>
      </c>
      <c r="B226" s="30" t="s">
        <v>8221</v>
      </c>
      <c r="C226" s="246" t="s">
        <v>8240</v>
      </c>
      <c r="D226" s="6" t="s">
        <v>8241</v>
      </c>
      <c r="E226" s="30" t="s">
        <v>7957</v>
      </c>
      <c r="F226" s="6" t="s">
        <v>8224</v>
      </c>
      <c r="G226" s="30" t="s">
        <v>8236</v>
      </c>
      <c r="H226" s="6" t="s">
        <v>8242</v>
      </c>
      <c r="I226" s="208" t="s">
        <v>8243</v>
      </c>
      <c r="J226" s="208" t="s">
        <v>845</v>
      </c>
    </row>
    <row r="227" customFormat="false" ht="114.75" hidden="false" customHeight="true" outlineLevel="0" collapsed="false">
      <c r="A227" s="30" t="s">
        <v>7234</v>
      </c>
      <c r="B227" s="30" t="s">
        <v>8244</v>
      </c>
      <c r="C227" s="6" t="s">
        <v>8245</v>
      </c>
      <c r="D227" s="246" t="s">
        <v>8246</v>
      </c>
      <c r="E227" s="30" t="s">
        <v>7957</v>
      </c>
      <c r="F227" s="6" t="s">
        <v>8247</v>
      </c>
      <c r="G227" s="30" t="s">
        <v>8248</v>
      </c>
      <c r="H227" s="6" t="s">
        <v>8249</v>
      </c>
      <c r="I227" s="208" t="s">
        <v>8250</v>
      </c>
      <c r="J227" s="208" t="s">
        <v>845</v>
      </c>
    </row>
    <row r="228" customFormat="false" ht="171" hidden="false" customHeight="true" outlineLevel="0" collapsed="false">
      <c r="A228" s="30" t="s">
        <v>8251</v>
      </c>
      <c r="B228" s="30" t="s">
        <v>8244</v>
      </c>
      <c r="C228" s="6" t="s">
        <v>8252</v>
      </c>
      <c r="D228" s="6" t="s">
        <v>8253</v>
      </c>
      <c r="E228" s="30" t="s">
        <v>7957</v>
      </c>
      <c r="F228" s="6" t="s">
        <v>8247</v>
      </c>
      <c r="G228" s="30" t="s">
        <v>8248</v>
      </c>
      <c r="H228" s="6" t="s">
        <v>8254</v>
      </c>
      <c r="I228" s="208" t="s">
        <v>8255</v>
      </c>
      <c r="J228" s="208" t="s">
        <v>845</v>
      </c>
    </row>
    <row r="229" customFormat="false" ht="72" hidden="false" customHeight="true" outlineLevel="0" collapsed="false">
      <c r="A229" s="30" t="s">
        <v>7239</v>
      </c>
      <c r="B229" s="30" t="s">
        <v>8244</v>
      </c>
      <c r="C229" s="6" t="s">
        <v>8256</v>
      </c>
      <c r="D229" s="246" t="s">
        <v>8257</v>
      </c>
      <c r="E229" s="30" t="s">
        <v>7957</v>
      </c>
      <c r="F229" s="6" t="s">
        <v>8247</v>
      </c>
      <c r="G229" s="30" t="s">
        <v>8248</v>
      </c>
      <c r="H229" s="6" t="s">
        <v>8258</v>
      </c>
      <c r="I229" s="208" t="s">
        <v>8259</v>
      </c>
      <c r="J229" s="208" t="s">
        <v>845</v>
      </c>
    </row>
    <row r="230" customFormat="false" ht="114.75" hidden="false" customHeight="true" outlineLevel="0" collapsed="false">
      <c r="A230" s="30" t="s">
        <v>6023</v>
      </c>
      <c r="B230" s="30" t="s">
        <v>8244</v>
      </c>
      <c r="C230" s="6" t="s">
        <v>8260</v>
      </c>
      <c r="D230" s="246" t="s">
        <v>8261</v>
      </c>
      <c r="E230" s="30" t="s">
        <v>7957</v>
      </c>
      <c r="F230" s="6" t="s">
        <v>8247</v>
      </c>
      <c r="G230" s="30" t="s">
        <v>8262</v>
      </c>
      <c r="H230" s="6" t="s">
        <v>8263</v>
      </c>
      <c r="I230" s="208" t="s">
        <v>8264</v>
      </c>
      <c r="J230" s="208" t="s">
        <v>845</v>
      </c>
    </row>
    <row r="231" customFormat="false" ht="171" hidden="false" customHeight="true" outlineLevel="0" collapsed="false">
      <c r="A231" s="30" t="s">
        <v>8265</v>
      </c>
      <c r="B231" s="30" t="s">
        <v>8244</v>
      </c>
      <c r="C231" s="6" t="s">
        <v>8266</v>
      </c>
      <c r="D231" s="6" t="s">
        <v>8267</v>
      </c>
      <c r="E231" s="30" t="s">
        <v>7957</v>
      </c>
      <c r="F231" s="6" t="s">
        <v>8247</v>
      </c>
      <c r="G231" s="30" t="s">
        <v>8248</v>
      </c>
      <c r="H231" s="6" t="s">
        <v>8268</v>
      </c>
      <c r="I231" s="208" t="s">
        <v>8269</v>
      </c>
      <c r="J231" s="208" t="s">
        <v>845</v>
      </c>
    </row>
    <row r="232" customFormat="false" ht="100.5" hidden="false" customHeight="true" outlineLevel="0" collapsed="false">
      <c r="A232" s="30" t="s">
        <v>8270</v>
      </c>
      <c r="B232" s="30" t="s">
        <v>8244</v>
      </c>
      <c r="C232" s="6" t="s">
        <v>8271</v>
      </c>
      <c r="D232" s="246" t="s">
        <v>8272</v>
      </c>
      <c r="E232" s="30" t="s">
        <v>7957</v>
      </c>
      <c r="F232" s="6" t="s">
        <v>8247</v>
      </c>
      <c r="G232" s="30" t="s">
        <v>8248</v>
      </c>
      <c r="H232" s="246" t="s">
        <v>8273</v>
      </c>
      <c r="I232" s="208" t="s">
        <v>8274</v>
      </c>
      <c r="J232" s="208" t="s">
        <v>845</v>
      </c>
    </row>
    <row r="233" customFormat="false" ht="100.5" hidden="false" customHeight="true" outlineLevel="0" collapsed="false">
      <c r="A233" s="30" t="s">
        <v>8275</v>
      </c>
      <c r="B233" s="30" t="s">
        <v>8244</v>
      </c>
      <c r="C233" s="6" t="s">
        <v>8276</v>
      </c>
      <c r="D233" s="246" t="s">
        <v>8277</v>
      </c>
      <c r="E233" s="30" t="s">
        <v>7957</v>
      </c>
      <c r="F233" s="6" t="s">
        <v>8247</v>
      </c>
      <c r="G233" s="30" t="s">
        <v>8248</v>
      </c>
      <c r="H233" s="6" t="s">
        <v>8278</v>
      </c>
      <c r="I233" s="208" t="s">
        <v>8279</v>
      </c>
      <c r="J233" s="208" t="s">
        <v>845</v>
      </c>
    </row>
    <row r="234" customFormat="false" ht="143.25" hidden="false" customHeight="true" outlineLevel="0" collapsed="false">
      <c r="A234" s="30" t="s">
        <v>8280</v>
      </c>
      <c r="B234" s="30" t="s">
        <v>8281</v>
      </c>
      <c r="C234" s="6" t="s">
        <v>8282</v>
      </c>
      <c r="D234" s="246" t="s">
        <v>8283</v>
      </c>
      <c r="E234" s="30" t="s">
        <v>8284</v>
      </c>
      <c r="F234" s="6" t="s">
        <v>8285</v>
      </c>
      <c r="G234" s="30" t="s">
        <v>8286</v>
      </c>
      <c r="H234" s="6" t="s">
        <v>8287</v>
      </c>
      <c r="I234" s="208" t="s">
        <v>8288</v>
      </c>
      <c r="J234" s="208" t="s">
        <v>845</v>
      </c>
    </row>
    <row r="235" customFormat="false" ht="129" hidden="false" customHeight="true" outlineLevel="0" collapsed="false">
      <c r="A235" s="30" t="s">
        <v>8289</v>
      </c>
      <c r="B235" s="30" t="s">
        <v>8281</v>
      </c>
      <c r="C235" s="6" t="s">
        <v>8290</v>
      </c>
      <c r="D235" s="246" t="s">
        <v>8291</v>
      </c>
      <c r="E235" s="30" t="s">
        <v>8284</v>
      </c>
      <c r="F235" s="6" t="s">
        <v>8285</v>
      </c>
      <c r="G235" s="30" t="s">
        <v>8286</v>
      </c>
      <c r="H235" s="6" t="s">
        <v>8292</v>
      </c>
      <c r="I235" s="208" t="s">
        <v>8293</v>
      </c>
      <c r="J235" s="208" t="s">
        <v>845</v>
      </c>
    </row>
    <row r="236" customFormat="false" ht="100.5" hidden="false" customHeight="true" outlineLevel="0" collapsed="false">
      <c r="A236" s="30" t="s">
        <v>8294</v>
      </c>
      <c r="B236" s="30" t="s">
        <v>8281</v>
      </c>
      <c r="C236" s="6" t="s">
        <v>8295</v>
      </c>
      <c r="D236" s="246" t="s">
        <v>8296</v>
      </c>
      <c r="E236" s="30" t="s">
        <v>8284</v>
      </c>
      <c r="F236" s="6" t="s">
        <v>8285</v>
      </c>
      <c r="G236" s="30" t="s">
        <v>8286</v>
      </c>
      <c r="H236" s="6" t="s">
        <v>8297</v>
      </c>
      <c r="I236" s="208" t="s">
        <v>8298</v>
      </c>
      <c r="J236" s="208" t="s">
        <v>845</v>
      </c>
    </row>
    <row r="237" customFormat="false" ht="72" hidden="false" customHeight="true" outlineLevel="0" collapsed="false">
      <c r="A237" s="30" t="s">
        <v>8299</v>
      </c>
      <c r="B237" s="30" t="s">
        <v>8281</v>
      </c>
      <c r="C237" s="6" t="s">
        <v>8300</v>
      </c>
      <c r="D237" s="246" t="s">
        <v>8301</v>
      </c>
      <c r="E237" s="30" t="s">
        <v>8284</v>
      </c>
      <c r="F237" s="6" t="s">
        <v>8285</v>
      </c>
      <c r="G237" s="30" t="s">
        <v>8286</v>
      </c>
      <c r="H237" s="6" t="s">
        <v>8302</v>
      </c>
      <c r="I237" s="208" t="s">
        <v>8303</v>
      </c>
      <c r="J237" s="208" t="s">
        <v>845</v>
      </c>
    </row>
    <row r="238" customFormat="false" ht="129" hidden="false" customHeight="true" outlineLevel="0" collapsed="false">
      <c r="A238" s="30" t="s">
        <v>8304</v>
      </c>
      <c r="B238" s="30" t="s">
        <v>8281</v>
      </c>
      <c r="C238" s="6" t="s">
        <v>8305</v>
      </c>
      <c r="D238" s="246" t="s">
        <v>8306</v>
      </c>
      <c r="E238" s="30" t="s">
        <v>8284</v>
      </c>
      <c r="F238" s="6" t="s">
        <v>8285</v>
      </c>
      <c r="G238" s="30" t="s">
        <v>8286</v>
      </c>
      <c r="H238" s="6" t="s">
        <v>8307</v>
      </c>
      <c r="I238" s="208" t="s">
        <v>8308</v>
      </c>
      <c r="J238" s="208" t="s">
        <v>845</v>
      </c>
    </row>
    <row r="239" customFormat="false" ht="57.75" hidden="false" customHeight="true" outlineLevel="0" collapsed="false">
      <c r="A239" s="30" t="s">
        <v>5954</v>
      </c>
      <c r="B239" s="30" t="s">
        <v>8309</v>
      </c>
      <c r="C239" s="6" t="s">
        <v>8310</v>
      </c>
      <c r="D239" s="246" t="s">
        <v>8311</v>
      </c>
      <c r="E239" s="30" t="s">
        <v>8284</v>
      </c>
      <c r="F239" s="6" t="s">
        <v>8312</v>
      </c>
      <c r="G239" s="30" t="s">
        <v>8313</v>
      </c>
      <c r="H239" s="6" t="s">
        <v>8314</v>
      </c>
      <c r="I239" s="208" t="s">
        <v>8315</v>
      </c>
      <c r="J239" s="208" t="s">
        <v>845</v>
      </c>
    </row>
    <row r="240" customFormat="false" ht="57.75" hidden="false" customHeight="true" outlineLevel="0" collapsed="false">
      <c r="A240" s="30" t="s">
        <v>6050</v>
      </c>
      <c r="B240" s="30" t="s">
        <v>8309</v>
      </c>
      <c r="C240" s="6" t="s">
        <v>8316</v>
      </c>
      <c r="D240" s="246" t="s">
        <v>8317</v>
      </c>
      <c r="E240" s="30" t="s">
        <v>8284</v>
      </c>
      <c r="F240" s="6" t="s">
        <v>8312</v>
      </c>
      <c r="G240" s="30" t="s">
        <v>8313</v>
      </c>
      <c r="H240" s="6" t="s">
        <v>8318</v>
      </c>
      <c r="I240" s="208" t="s">
        <v>8315</v>
      </c>
      <c r="J240" s="208" t="s">
        <v>845</v>
      </c>
    </row>
    <row r="241" customFormat="false" ht="57.75" hidden="false" customHeight="true" outlineLevel="0" collapsed="false">
      <c r="A241" s="30" t="s">
        <v>5529</v>
      </c>
      <c r="B241" s="30" t="s">
        <v>8309</v>
      </c>
      <c r="C241" s="6" t="s">
        <v>8319</v>
      </c>
      <c r="D241" s="246" t="s">
        <v>8320</v>
      </c>
      <c r="E241" s="30" t="s">
        <v>8284</v>
      </c>
      <c r="F241" s="6" t="s">
        <v>8312</v>
      </c>
      <c r="G241" s="30" t="s">
        <v>8313</v>
      </c>
      <c r="H241" s="6" t="s">
        <v>8321</v>
      </c>
      <c r="I241" s="208" t="s">
        <v>8315</v>
      </c>
      <c r="J241" s="208" t="s">
        <v>845</v>
      </c>
    </row>
    <row r="242" customFormat="false" ht="72" hidden="false" customHeight="true" outlineLevel="0" collapsed="false">
      <c r="A242" s="30" t="s">
        <v>5339</v>
      </c>
      <c r="B242" s="30" t="s">
        <v>8309</v>
      </c>
      <c r="C242" s="6" t="s">
        <v>8322</v>
      </c>
      <c r="D242" s="6" t="s">
        <v>8323</v>
      </c>
      <c r="E242" s="30" t="s">
        <v>8284</v>
      </c>
      <c r="F242" s="6" t="s">
        <v>8312</v>
      </c>
      <c r="G242" s="30" t="s">
        <v>8313</v>
      </c>
      <c r="H242" s="6" t="s">
        <v>8324</v>
      </c>
      <c r="I242" s="208" t="s">
        <v>8315</v>
      </c>
      <c r="J242" s="208" t="s">
        <v>845</v>
      </c>
    </row>
    <row r="243" customFormat="false" ht="57.75" hidden="false" customHeight="true" outlineLevel="0" collapsed="false">
      <c r="A243" s="30" t="s">
        <v>5875</v>
      </c>
      <c r="B243" s="30" t="s">
        <v>8309</v>
      </c>
      <c r="C243" s="6" t="s">
        <v>8325</v>
      </c>
      <c r="D243" s="6" t="s">
        <v>8326</v>
      </c>
      <c r="E243" s="30" t="s">
        <v>8284</v>
      </c>
      <c r="F243" s="6" t="s">
        <v>8312</v>
      </c>
      <c r="G243" s="30" t="s">
        <v>8313</v>
      </c>
      <c r="H243" s="6" t="s">
        <v>8327</v>
      </c>
      <c r="I243" s="208" t="s">
        <v>8315</v>
      </c>
      <c r="J243" s="208" t="s">
        <v>845</v>
      </c>
    </row>
    <row r="244" customFormat="false" ht="57.75" hidden="false" customHeight="true" outlineLevel="0" collapsed="false">
      <c r="A244" s="30" t="s">
        <v>5612</v>
      </c>
      <c r="B244" s="30" t="s">
        <v>8309</v>
      </c>
      <c r="C244" s="6" t="s">
        <v>8328</v>
      </c>
      <c r="D244" s="6" t="s">
        <v>8329</v>
      </c>
      <c r="E244" s="30" t="s">
        <v>8284</v>
      </c>
      <c r="F244" s="6" t="s">
        <v>8312</v>
      </c>
      <c r="G244" s="30" t="s">
        <v>8313</v>
      </c>
      <c r="H244" s="6" t="s">
        <v>8330</v>
      </c>
      <c r="I244" s="208" t="s">
        <v>8315</v>
      </c>
      <c r="J244" s="208" t="s">
        <v>845</v>
      </c>
    </row>
    <row r="245" customFormat="false" ht="57.75" hidden="false" customHeight="true" outlineLevel="0" collapsed="false">
      <c r="A245" s="30" t="s">
        <v>6135</v>
      </c>
      <c r="B245" s="30" t="s">
        <v>8309</v>
      </c>
      <c r="C245" s="6" t="s">
        <v>8331</v>
      </c>
      <c r="D245" s="6" t="s">
        <v>8332</v>
      </c>
      <c r="E245" s="30" t="s">
        <v>8284</v>
      </c>
      <c r="F245" s="6" t="s">
        <v>8312</v>
      </c>
      <c r="G245" s="30" t="s">
        <v>8313</v>
      </c>
      <c r="H245" s="6" t="s">
        <v>8333</v>
      </c>
      <c r="I245" s="208" t="s">
        <v>8315</v>
      </c>
      <c r="J245" s="208" t="s">
        <v>845</v>
      </c>
    </row>
    <row r="246" customFormat="false" ht="57.75" hidden="false" customHeight="true" outlineLevel="0" collapsed="false">
      <c r="A246" s="30" t="s">
        <v>6577</v>
      </c>
      <c r="B246" s="30" t="s">
        <v>8309</v>
      </c>
      <c r="C246" s="6" t="s">
        <v>8334</v>
      </c>
      <c r="D246" s="6" t="s">
        <v>8335</v>
      </c>
      <c r="E246" s="30" t="s">
        <v>8284</v>
      </c>
      <c r="F246" s="6" t="s">
        <v>8312</v>
      </c>
      <c r="G246" s="30" t="s">
        <v>8313</v>
      </c>
      <c r="H246" s="6" t="s">
        <v>8336</v>
      </c>
      <c r="I246" s="208" t="s">
        <v>8315</v>
      </c>
      <c r="J246" s="208" t="s">
        <v>845</v>
      </c>
    </row>
    <row r="247" customFormat="false" ht="57.75" hidden="false" customHeight="true" outlineLevel="0" collapsed="false">
      <c r="A247" s="30" t="s">
        <v>6040</v>
      </c>
      <c r="B247" s="30" t="s">
        <v>8309</v>
      </c>
      <c r="C247" s="6" t="s">
        <v>8337</v>
      </c>
      <c r="D247" s="246" t="s">
        <v>8338</v>
      </c>
      <c r="E247" s="30" t="s">
        <v>8284</v>
      </c>
      <c r="F247" s="6" t="s">
        <v>8312</v>
      </c>
      <c r="G247" s="30" t="s">
        <v>8313</v>
      </c>
      <c r="H247" s="6" t="s">
        <v>8339</v>
      </c>
      <c r="I247" s="208" t="s">
        <v>8315</v>
      </c>
      <c r="J247" s="208" t="s">
        <v>845</v>
      </c>
    </row>
    <row r="248" customFormat="false" ht="86.25" hidden="false" customHeight="true" outlineLevel="0" collapsed="false">
      <c r="A248" s="30" t="s">
        <v>8340</v>
      </c>
      <c r="B248" s="30" t="s">
        <v>8309</v>
      </c>
      <c r="C248" s="6" t="s">
        <v>8341</v>
      </c>
      <c r="D248" s="6" t="s">
        <v>8342</v>
      </c>
      <c r="E248" s="30" t="s">
        <v>8284</v>
      </c>
      <c r="F248" s="6" t="s">
        <v>8312</v>
      </c>
      <c r="G248" s="30" t="s">
        <v>8343</v>
      </c>
      <c r="H248" s="6" t="s">
        <v>8344</v>
      </c>
      <c r="I248" s="208" t="s">
        <v>8315</v>
      </c>
      <c r="J248" s="208" t="s">
        <v>845</v>
      </c>
    </row>
    <row r="249" customFormat="false" ht="86.25" hidden="false" customHeight="true" outlineLevel="0" collapsed="false">
      <c r="A249" s="30" t="s">
        <v>8345</v>
      </c>
      <c r="B249" s="30" t="s">
        <v>8309</v>
      </c>
      <c r="C249" s="6" t="s">
        <v>8346</v>
      </c>
      <c r="D249" s="6" t="s">
        <v>8347</v>
      </c>
      <c r="E249" s="30" t="s">
        <v>8284</v>
      </c>
      <c r="F249" s="6" t="s">
        <v>8312</v>
      </c>
      <c r="G249" s="30" t="s">
        <v>8348</v>
      </c>
      <c r="H249" s="6" t="s">
        <v>8349</v>
      </c>
      <c r="I249" s="208" t="s">
        <v>8315</v>
      </c>
      <c r="J249" s="208" t="s">
        <v>845</v>
      </c>
    </row>
    <row r="250" customFormat="false" ht="57.75" hidden="false" customHeight="true" outlineLevel="0" collapsed="false">
      <c r="A250" s="30" t="s">
        <v>8350</v>
      </c>
      <c r="B250" s="30" t="s">
        <v>8309</v>
      </c>
      <c r="C250" s="6" t="s">
        <v>8351</v>
      </c>
      <c r="D250" s="6" t="s">
        <v>8352</v>
      </c>
      <c r="E250" s="30" t="s">
        <v>8284</v>
      </c>
      <c r="F250" s="6" t="s">
        <v>8312</v>
      </c>
      <c r="G250" s="30" t="s">
        <v>8343</v>
      </c>
      <c r="H250" s="6" t="s">
        <v>8353</v>
      </c>
      <c r="I250" s="208" t="s">
        <v>8315</v>
      </c>
      <c r="J250" s="208" t="s">
        <v>845</v>
      </c>
    </row>
    <row r="251" customFormat="false" ht="100.5" hidden="false" customHeight="true" outlineLevel="0" collapsed="false">
      <c r="A251" s="30" t="s">
        <v>8354</v>
      </c>
      <c r="B251" s="30" t="s">
        <v>8355</v>
      </c>
      <c r="C251" s="246" t="s">
        <v>8356</v>
      </c>
      <c r="D251" s="6" t="s">
        <v>8357</v>
      </c>
      <c r="E251" s="30" t="s">
        <v>8284</v>
      </c>
      <c r="F251" s="6" t="s">
        <v>8358</v>
      </c>
      <c r="G251" s="30" t="s">
        <v>8359</v>
      </c>
      <c r="H251" s="246" t="s">
        <v>8360</v>
      </c>
      <c r="I251" s="208" t="s">
        <v>8361</v>
      </c>
      <c r="J251" s="208" t="s">
        <v>845</v>
      </c>
    </row>
    <row r="252" customFormat="false" ht="114.75" hidden="false" customHeight="true" outlineLevel="0" collapsed="false">
      <c r="A252" s="30" t="s">
        <v>8362</v>
      </c>
      <c r="B252" s="30" t="s">
        <v>8355</v>
      </c>
      <c r="C252" s="246" t="s">
        <v>8363</v>
      </c>
      <c r="D252" s="246" t="s">
        <v>8364</v>
      </c>
      <c r="E252" s="30" t="s">
        <v>8284</v>
      </c>
      <c r="F252" s="6" t="s">
        <v>8358</v>
      </c>
      <c r="G252" s="30" t="s">
        <v>8359</v>
      </c>
      <c r="H252" s="6" t="s">
        <v>8365</v>
      </c>
      <c r="I252" s="208" t="s">
        <v>8366</v>
      </c>
      <c r="J252" s="208" t="s">
        <v>845</v>
      </c>
    </row>
    <row r="253" customFormat="false" ht="72" hidden="false" customHeight="true" outlineLevel="0" collapsed="false">
      <c r="A253" s="30" t="s">
        <v>8367</v>
      </c>
      <c r="B253" s="30" t="s">
        <v>8355</v>
      </c>
      <c r="C253" s="246" t="s">
        <v>8368</v>
      </c>
      <c r="D253" s="6" t="s">
        <v>8369</v>
      </c>
      <c r="E253" s="30" t="s">
        <v>8284</v>
      </c>
      <c r="F253" s="6" t="s">
        <v>8358</v>
      </c>
      <c r="G253" s="208" t="s">
        <v>8370</v>
      </c>
      <c r="H253" s="6" t="s">
        <v>8371</v>
      </c>
      <c r="I253" s="208" t="s">
        <v>8372</v>
      </c>
      <c r="J253" s="208" t="s">
        <v>845</v>
      </c>
    </row>
    <row r="254" customFormat="false" ht="72" hidden="false" customHeight="true" outlineLevel="0" collapsed="false">
      <c r="A254" s="30" t="s">
        <v>8373</v>
      </c>
      <c r="B254" s="30" t="s">
        <v>8355</v>
      </c>
      <c r="C254" s="246" t="s">
        <v>8374</v>
      </c>
      <c r="D254" s="246" t="s">
        <v>8375</v>
      </c>
      <c r="E254" s="30" t="s">
        <v>8284</v>
      </c>
      <c r="F254" s="6" t="s">
        <v>8358</v>
      </c>
      <c r="G254" s="30" t="s">
        <v>8359</v>
      </c>
      <c r="H254" s="6" t="s">
        <v>8376</v>
      </c>
      <c r="I254" s="208" t="s">
        <v>8377</v>
      </c>
      <c r="J254" s="208" t="s">
        <v>845</v>
      </c>
    </row>
    <row r="255" customFormat="false" ht="57.75" hidden="false" customHeight="true" outlineLevel="0" collapsed="false">
      <c r="A255" s="30" t="s">
        <v>8378</v>
      </c>
      <c r="B255" s="30" t="s">
        <v>8355</v>
      </c>
      <c r="C255" s="246" t="s">
        <v>8379</v>
      </c>
      <c r="D255" s="246" t="s">
        <v>8380</v>
      </c>
      <c r="E255" s="30" t="s">
        <v>8284</v>
      </c>
      <c r="F255" s="6" t="s">
        <v>8358</v>
      </c>
      <c r="G255" s="30" t="s">
        <v>8359</v>
      </c>
      <c r="H255" s="246" t="s">
        <v>8381</v>
      </c>
      <c r="I255" s="208" t="s">
        <v>8382</v>
      </c>
      <c r="J255" s="208" t="s">
        <v>845</v>
      </c>
    </row>
    <row r="256" customFormat="false" ht="156.75" hidden="false" customHeight="true" outlineLevel="0" collapsed="false">
      <c r="A256" s="30" t="s">
        <v>8383</v>
      </c>
      <c r="B256" s="30" t="s">
        <v>8384</v>
      </c>
      <c r="C256" s="6" t="s">
        <v>8385</v>
      </c>
      <c r="D256" s="6" t="s">
        <v>8386</v>
      </c>
      <c r="E256" s="30" t="s">
        <v>8284</v>
      </c>
      <c r="F256" s="6" t="s">
        <v>8387</v>
      </c>
      <c r="G256" s="30" t="s">
        <v>8388</v>
      </c>
      <c r="H256" s="6" t="s">
        <v>8371</v>
      </c>
      <c r="I256" s="208" t="s">
        <v>8389</v>
      </c>
      <c r="J256" s="208" t="s">
        <v>845</v>
      </c>
    </row>
    <row r="257" customFormat="false" ht="72" hidden="false" customHeight="true" outlineLevel="0" collapsed="false">
      <c r="A257" s="30" t="s">
        <v>8390</v>
      </c>
      <c r="B257" s="30" t="s">
        <v>8384</v>
      </c>
      <c r="C257" s="6" t="s">
        <v>8391</v>
      </c>
      <c r="D257" s="6" t="s">
        <v>8392</v>
      </c>
      <c r="E257" s="30" t="s">
        <v>8284</v>
      </c>
      <c r="F257" s="6" t="s">
        <v>8387</v>
      </c>
      <c r="G257" s="30" t="s">
        <v>8388</v>
      </c>
      <c r="H257" s="6" t="s">
        <v>8393</v>
      </c>
      <c r="I257" s="208" t="s">
        <v>8394</v>
      </c>
      <c r="J257" s="208" t="s">
        <v>845</v>
      </c>
    </row>
    <row r="258" customFormat="false" ht="57.75" hidden="false" customHeight="true" outlineLevel="0" collapsed="false">
      <c r="A258" s="30" t="s">
        <v>8395</v>
      </c>
      <c r="B258" s="30" t="s">
        <v>8384</v>
      </c>
      <c r="C258" s="6" t="s">
        <v>8396</v>
      </c>
      <c r="D258" s="246" t="s">
        <v>8397</v>
      </c>
      <c r="E258" s="30" t="s">
        <v>8284</v>
      </c>
      <c r="F258" s="6" t="s">
        <v>8387</v>
      </c>
      <c r="G258" s="30" t="s">
        <v>8388</v>
      </c>
      <c r="H258" s="6" t="s">
        <v>8398</v>
      </c>
      <c r="I258" s="208" t="s">
        <v>8399</v>
      </c>
      <c r="J258" s="208" t="s">
        <v>845</v>
      </c>
    </row>
    <row r="259" customFormat="false" ht="753" hidden="false" customHeight="true" outlineLevel="0" collapsed="false">
      <c r="A259" s="30" t="s">
        <v>8400</v>
      </c>
      <c r="B259" s="30" t="s">
        <v>8384</v>
      </c>
      <c r="C259" s="6" t="s">
        <v>8401</v>
      </c>
      <c r="D259" s="6" t="s">
        <v>8402</v>
      </c>
      <c r="E259" s="30" t="s">
        <v>8284</v>
      </c>
      <c r="F259" s="6" t="s">
        <v>8387</v>
      </c>
      <c r="G259" s="30" t="s">
        <v>8388</v>
      </c>
      <c r="H259" s="246" t="s">
        <v>8403</v>
      </c>
      <c r="I259" s="208" t="s">
        <v>8404</v>
      </c>
      <c r="J259" s="208" t="s">
        <v>845</v>
      </c>
    </row>
    <row r="260" customFormat="false" ht="242.25" hidden="false" customHeight="true" outlineLevel="0" collapsed="false">
      <c r="A260" s="30" t="s">
        <v>8405</v>
      </c>
      <c r="B260" s="30" t="s">
        <v>8384</v>
      </c>
      <c r="C260" s="6" t="s">
        <v>8406</v>
      </c>
      <c r="D260" s="6" t="s">
        <v>8407</v>
      </c>
      <c r="E260" s="30" t="s">
        <v>8284</v>
      </c>
      <c r="F260" s="6" t="s">
        <v>8387</v>
      </c>
      <c r="G260" s="30" t="s">
        <v>8388</v>
      </c>
      <c r="H260" s="6" t="s">
        <v>8408</v>
      </c>
      <c r="I260" s="208" t="s">
        <v>8409</v>
      </c>
      <c r="J260" s="208" t="s">
        <v>845</v>
      </c>
    </row>
    <row r="261" customFormat="false" ht="156.75" hidden="false" customHeight="true" outlineLevel="0" collapsed="false">
      <c r="A261" s="30" t="s">
        <v>8410</v>
      </c>
      <c r="B261" s="30" t="s">
        <v>8384</v>
      </c>
      <c r="C261" s="6" t="s">
        <v>8411</v>
      </c>
      <c r="D261" s="6" t="s">
        <v>8412</v>
      </c>
      <c r="E261" s="30" t="s">
        <v>8284</v>
      </c>
      <c r="F261" s="6" t="s">
        <v>8387</v>
      </c>
      <c r="G261" s="30" t="s">
        <v>8388</v>
      </c>
      <c r="H261" s="6" t="s">
        <v>8413</v>
      </c>
      <c r="I261" s="208" t="s">
        <v>8414</v>
      </c>
      <c r="J261" s="208" t="s">
        <v>845</v>
      </c>
    </row>
    <row r="262" customFormat="false" ht="156.75" hidden="false" customHeight="true" outlineLevel="0" collapsed="false">
      <c r="A262" s="30" t="s">
        <v>8415</v>
      </c>
      <c r="B262" s="30" t="s">
        <v>8416</v>
      </c>
      <c r="C262" s="6" t="s">
        <v>8417</v>
      </c>
      <c r="D262" s="6" t="s">
        <v>8418</v>
      </c>
      <c r="E262" s="30" t="s">
        <v>8284</v>
      </c>
      <c r="F262" s="6" t="s">
        <v>8419</v>
      </c>
      <c r="G262" s="30" t="s">
        <v>8420</v>
      </c>
      <c r="H262" s="6" t="s">
        <v>8421</v>
      </c>
      <c r="I262" s="208" t="s">
        <v>8422</v>
      </c>
      <c r="J262" s="208" t="s">
        <v>845</v>
      </c>
    </row>
    <row r="263" customFormat="false" ht="57.75" hidden="false" customHeight="true" outlineLevel="0" collapsed="false">
      <c r="A263" s="30" t="s">
        <v>8423</v>
      </c>
      <c r="B263" s="30" t="s">
        <v>8416</v>
      </c>
      <c r="C263" s="6" t="s">
        <v>8424</v>
      </c>
      <c r="D263" s="246" t="s">
        <v>8425</v>
      </c>
      <c r="E263" s="30" t="s">
        <v>8284</v>
      </c>
      <c r="F263" s="6" t="s">
        <v>8419</v>
      </c>
      <c r="G263" s="30" t="s">
        <v>8420</v>
      </c>
      <c r="H263" s="6" t="s">
        <v>8426</v>
      </c>
      <c r="I263" s="208" t="s">
        <v>8427</v>
      </c>
      <c r="J263" s="208" t="s">
        <v>845</v>
      </c>
    </row>
    <row r="264" customFormat="false" ht="72" hidden="false" customHeight="true" outlineLevel="0" collapsed="false">
      <c r="A264" s="30" t="s">
        <v>8428</v>
      </c>
      <c r="B264" s="30" t="s">
        <v>8416</v>
      </c>
      <c r="C264" s="6" t="s">
        <v>8429</v>
      </c>
      <c r="D264" s="6" t="s">
        <v>8430</v>
      </c>
      <c r="E264" s="30" t="s">
        <v>8284</v>
      </c>
      <c r="F264" s="6" t="s">
        <v>8419</v>
      </c>
      <c r="G264" s="30" t="s">
        <v>8431</v>
      </c>
      <c r="H264" s="6" t="s">
        <v>8432</v>
      </c>
      <c r="I264" s="208" t="s">
        <v>8433</v>
      </c>
      <c r="J264" s="208" t="s">
        <v>845</v>
      </c>
    </row>
    <row r="265" customFormat="false" ht="129.1" hidden="false" customHeight="false" outlineLevel="0" collapsed="false">
      <c r="A265" s="62" t="s">
        <v>8434</v>
      </c>
      <c r="B265" s="62" t="s">
        <v>8435</v>
      </c>
      <c r="C265" s="6" t="s">
        <v>8436</v>
      </c>
      <c r="D265" s="6" t="s">
        <v>8437</v>
      </c>
      <c r="E265" s="62" t="s">
        <v>8284</v>
      </c>
      <c r="F265" s="6" t="s">
        <v>8438</v>
      </c>
      <c r="G265" s="62" t="s">
        <v>8439</v>
      </c>
      <c r="H265" s="6" t="s">
        <v>8440</v>
      </c>
      <c r="I265" s="61" t="s">
        <v>8441</v>
      </c>
      <c r="J265" s="61" t="s">
        <v>845</v>
      </c>
    </row>
    <row r="266" customFormat="false" ht="129.1" hidden="false" customHeight="false" outlineLevel="0" collapsed="false">
      <c r="A266" s="62" t="s">
        <v>8442</v>
      </c>
      <c r="B266" s="62" t="s">
        <v>8435</v>
      </c>
      <c r="C266" s="6" t="s">
        <v>8443</v>
      </c>
      <c r="D266" s="6" t="s">
        <v>8444</v>
      </c>
      <c r="E266" s="62" t="s">
        <v>8284</v>
      </c>
      <c r="F266" s="6" t="s">
        <v>8438</v>
      </c>
      <c r="G266" s="62" t="s">
        <v>8439</v>
      </c>
      <c r="H266" s="6" t="s">
        <v>8445</v>
      </c>
      <c r="I266" s="61" t="s">
        <v>8446</v>
      </c>
      <c r="J266" s="61" t="s">
        <v>845</v>
      </c>
    </row>
    <row r="267" customFormat="false" ht="100.7" hidden="false" customHeight="false" outlineLevel="0" collapsed="false">
      <c r="A267" s="62" t="s">
        <v>8447</v>
      </c>
      <c r="B267" s="62" t="s">
        <v>8435</v>
      </c>
      <c r="C267" s="6" t="s">
        <v>8448</v>
      </c>
      <c r="D267" s="6" t="s">
        <v>8449</v>
      </c>
      <c r="E267" s="62" t="s">
        <v>8284</v>
      </c>
      <c r="F267" s="6" t="s">
        <v>8438</v>
      </c>
      <c r="G267" s="62" t="s">
        <v>8439</v>
      </c>
      <c r="H267" s="6" t="s">
        <v>8450</v>
      </c>
      <c r="I267" s="61" t="s">
        <v>8451</v>
      </c>
      <c r="J267" s="61" t="s">
        <v>845</v>
      </c>
    </row>
    <row r="268" customFormat="false" ht="100.7" hidden="false" customHeight="false" outlineLevel="0" collapsed="false">
      <c r="A268" s="62" t="s">
        <v>8452</v>
      </c>
      <c r="B268" s="62" t="s">
        <v>8435</v>
      </c>
      <c r="C268" s="6" t="s">
        <v>8453</v>
      </c>
      <c r="D268" s="6" t="s">
        <v>8454</v>
      </c>
      <c r="E268" s="62" t="s">
        <v>8284</v>
      </c>
      <c r="F268" s="6" t="s">
        <v>8438</v>
      </c>
      <c r="G268" s="62" t="s">
        <v>8439</v>
      </c>
      <c r="H268" s="6" t="s">
        <v>8455</v>
      </c>
      <c r="I268" s="61" t="s">
        <v>8451</v>
      </c>
      <c r="J268" s="61" t="s">
        <v>845</v>
      </c>
    </row>
    <row r="269" customFormat="false" ht="129.1" hidden="false" customHeight="false" outlineLevel="0" collapsed="false">
      <c r="A269" s="62" t="s">
        <v>8456</v>
      </c>
      <c r="B269" s="62" t="s">
        <v>8435</v>
      </c>
      <c r="C269" s="6" t="s">
        <v>8457</v>
      </c>
      <c r="D269" s="6" t="s">
        <v>8458</v>
      </c>
      <c r="E269" s="62" t="s">
        <v>8284</v>
      </c>
      <c r="F269" s="6" t="s">
        <v>8438</v>
      </c>
      <c r="G269" s="62" t="s">
        <v>8439</v>
      </c>
      <c r="H269" s="6" t="s">
        <v>8459</v>
      </c>
      <c r="I269" s="61" t="s">
        <v>8451</v>
      </c>
      <c r="J269" s="61" t="s">
        <v>845</v>
      </c>
    </row>
    <row r="270" customFormat="false" ht="100.7" hidden="false" customHeight="false" outlineLevel="0" collapsed="false">
      <c r="A270" s="62" t="s">
        <v>8460</v>
      </c>
      <c r="B270" s="62" t="s">
        <v>8435</v>
      </c>
      <c r="C270" s="6" t="s">
        <v>8461</v>
      </c>
      <c r="D270" s="6" t="s">
        <v>8462</v>
      </c>
      <c r="E270" s="62" t="s">
        <v>8284</v>
      </c>
      <c r="F270" s="6" t="s">
        <v>8438</v>
      </c>
      <c r="G270" s="62" t="s">
        <v>8439</v>
      </c>
      <c r="H270" s="6" t="s">
        <v>8463</v>
      </c>
      <c r="I270" s="61" t="s">
        <v>8451</v>
      </c>
      <c r="J270" s="61" t="s">
        <v>845</v>
      </c>
    </row>
    <row r="271" customFormat="false" ht="185.8" hidden="false" customHeight="false" outlineLevel="0" collapsed="false">
      <c r="A271" s="62" t="s">
        <v>8464</v>
      </c>
      <c r="B271" s="62" t="s">
        <v>8435</v>
      </c>
      <c r="C271" s="6" t="s">
        <v>8465</v>
      </c>
      <c r="D271" s="6" t="s">
        <v>8466</v>
      </c>
      <c r="E271" s="62" t="s">
        <v>8284</v>
      </c>
      <c r="F271" s="6" t="s">
        <v>8438</v>
      </c>
      <c r="G271" s="62" t="s">
        <v>8439</v>
      </c>
      <c r="H271" s="5" t="s">
        <v>8467</v>
      </c>
      <c r="I271" s="61" t="s">
        <v>8451</v>
      </c>
      <c r="J271" s="61" t="s">
        <v>845</v>
      </c>
    </row>
    <row r="272" customFormat="false" ht="100.7" hidden="false" customHeight="false" outlineLevel="0" collapsed="false">
      <c r="A272" s="62" t="s">
        <v>8468</v>
      </c>
      <c r="B272" s="62" t="s">
        <v>8435</v>
      </c>
      <c r="C272" s="6" t="s">
        <v>8469</v>
      </c>
      <c r="D272" s="6" t="s">
        <v>8470</v>
      </c>
      <c r="E272" s="62" t="s">
        <v>8284</v>
      </c>
      <c r="F272" s="6" t="s">
        <v>8438</v>
      </c>
      <c r="G272" s="62" t="s">
        <v>8439</v>
      </c>
      <c r="H272" s="6" t="s">
        <v>8471</v>
      </c>
      <c r="I272" s="61" t="s">
        <v>8472</v>
      </c>
      <c r="J272" s="61" t="s">
        <v>845</v>
      </c>
    </row>
    <row r="273" customFormat="false" ht="100.7" hidden="false" customHeight="false" outlineLevel="0" collapsed="false">
      <c r="A273" s="62" t="s">
        <v>8473</v>
      </c>
      <c r="B273" s="62" t="s">
        <v>8435</v>
      </c>
      <c r="C273" s="6" t="s">
        <v>8474</v>
      </c>
      <c r="D273" s="6" t="s">
        <v>8475</v>
      </c>
      <c r="E273" s="62" t="s">
        <v>8284</v>
      </c>
      <c r="F273" s="6" t="s">
        <v>8438</v>
      </c>
      <c r="G273" s="62" t="s">
        <v>8439</v>
      </c>
      <c r="H273" s="6" t="s">
        <v>8476</v>
      </c>
      <c r="I273" s="61" t="s">
        <v>8477</v>
      </c>
      <c r="J273" s="61" t="s">
        <v>845</v>
      </c>
    </row>
    <row r="274" customFormat="false" ht="100.7" hidden="false" customHeight="false" outlineLevel="0" collapsed="false">
      <c r="A274" s="62" t="s">
        <v>8478</v>
      </c>
      <c r="B274" s="62" t="s">
        <v>8435</v>
      </c>
      <c r="C274" s="6" t="s">
        <v>8479</v>
      </c>
      <c r="D274" s="6" t="s">
        <v>8480</v>
      </c>
      <c r="E274" s="62" t="s">
        <v>8284</v>
      </c>
      <c r="F274" s="6" t="s">
        <v>8438</v>
      </c>
      <c r="G274" s="62" t="s">
        <v>8439</v>
      </c>
      <c r="H274" s="6" t="s">
        <v>8481</v>
      </c>
      <c r="I274" s="61" t="s">
        <v>8482</v>
      </c>
      <c r="J274" s="61" t="s">
        <v>845</v>
      </c>
    </row>
    <row r="275" customFormat="false" ht="100.7" hidden="false" customHeight="false" outlineLevel="0" collapsed="false">
      <c r="A275" s="62" t="s">
        <v>8483</v>
      </c>
      <c r="B275" s="62" t="s">
        <v>8435</v>
      </c>
      <c r="C275" s="6" t="s">
        <v>8484</v>
      </c>
      <c r="D275" s="6" t="s">
        <v>8485</v>
      </c>
      <c r="E275" s="62" t="s">
        <v>8284</v>
      </c>
      <c r="F275" s="6" t="s">
        <v>8438</v>
      </c>
      <c r="G275" s="62" t="s">
        <v>8439</v>
      </c>
      <c r="H275" s="6" t="s">
        <v>8486</v>
      </c>
      <c r="I275" s="61" t="s">
        <v>8487</v>
      </c>
      <c r="J275" s="61" t="s">
        <v>845</v>
      </c>
    </row>
    <row r="276" customFormat="false" ht="100.7" hidden="false" customHeight="false" outlineLevel="0" collapsed="false">
      <c r="A276" s="62" t="s">
        <v>8488</v>
      </c>
      <c r="B276" s="62" t="s">
        <v>8435</v>
      </c>
      <c r="C276" s="6" t="s">
        <v>8489</v>
      </c>
      <c r="D276" s="6" t="s">
        <v>8490</v>
      </c>
      <c r="E276" s="62" t="s">
        <v>8284</v>
      </c>
      <c r="F276" s="6" t="s">
        <v>8438</v>
      </c>
      <c r="G276" s="62" t="s">
        <v>8439</v>
      </c>
      <c r="H276" s="5" t="s">
        <v>8491</v>
      </c>
      <c r="I276" s="61" t="s">
        <v>8492</v>
      </c>
      <c r="J276" s="61" t="s">
        <v>845</v>
      </c>
    </row>
    <row r="277" customFormat="false" ht="100.7" hidden="false" customHeight="false" outlineLevel="0" collapsed="false">
      <c r="A277" s="62" t="s">
        <v>8493</v>
      </c>
      <c r="B277" s="62" t="s">
        <v>8435</v>
      </c>
      <c r="C277" s="6" t="s">
        <v>8494</v>
      </c>
      <c r="D277" s="6" t="s">
        <v>8495</v>
      </c>
      <c r="E277" s="62" t="s">
        <v>8284</v>
      </c>
      <c r="F277" s="6" t="s">
        <v>8438</v>
      </c>
      <c r="G277" s="62" t="s">
        <v>8439</v>
      </c>
      <c r="H277" s="6" t="s">
        <v>8496</v>
      </c>
      <c r="I277" s="61" t="s">
        <v>8497</v>
      </c>
      <c r="J277" s="61" t="s">
        <v>845</v>
      </c>
    </row>
    <row r="278" customFormat="false" ht="100.7" hidden="false" customHeight="false" outlineLevel="0" collapsed="false">
      <c r="A278" s="62" t="s">
        <v>8498</v>
      </c>
      <c r="B278" s="62" t="s">
        <v>8435</v>
      </c>
      <c r="C278" s="6" t="s">
        <v>8499</v>
      </c>
      <c r="D278" s="6" t="s">
        <v>8500</v>
      </c>
      <c r="E278" s="62" t="s">
        <v>8284</v>
      </c>
      <c r="F278" s="6" t="s">
        <v>8438</v>
      </c>
      <c r="G278" s="62" t="s">
        <v>8439</v>
      </c>
      <c r="H278" s="6" t="s">
        <v>8501</v>
      </c>
      <c r="I278" s="61" t="s">
        <v>8502</v>
      </c>
      <c r="J278" s="61" t="s">
        <v>845</v>
      </c>
    </row>
    <row r="279" customFormat="false" ht="100.7" hidden="false" customHeight="false" outlineLevel="0" collapsed="false">
      <c r="A279" s="62" t="s">
        <v>8503</v>
      </c>
      <c r="B279" s="62" t="s">
        <v>8435</v>
      </c>
      <c r="C279" s="6" t="s">
        <v>8504</v>
      </c>
      <c r="D279" s="6" t="s">
        <v>8505</v>
      </c>
      <c r="E279" s="62" t="s">
        <v>8284</v>
      </c>
      <c r="F279" s="6" t="s">
        <v>8438</v>
      </c>
      <c r="G279" s="62" t="s">
        <v>8439</v>
      </c>
      <c r="H279" s="6" t="s">
        <v>8506</v>
      </c>
      <c r="I279" s="61" t="s">
        <v>8507</v>
      </c>
      <c r="J279" s="61" t="s">
        <v>845</v>
      </c>
    </row>
    <row r="280" customFormat="false" ht="100.7" hidden="false" customHeight="false" outlineLevel="0" collapsed="false">
      <c r="A280" s="62" t="s">
        <v>8508</v>
      </c>
      <c r="B280" s="62" t="s">
        <v>8435</v>
      </c>
      <c r="C280" s="6" t="s">
        <v>8509</v>
      </c>
      <c r="D280" s="6" t="s">
        <v>8510</v>
      </c>
      <c r="E280" s="62" t="s">
        <v>8284</v>
      </c>
      <c r="F280" s="6" t="s">
        <v>8438</v>
      </c>
      <c r="G280" s="62" t="s">
        <v>8439</v>
      </c>
      <c r="H280" s="6" t="s">
        <v>8511</v>
      </c>
      <c r="I280" s="61" t="s">
        <v>8512</v>
      </c>
      <c r="J280" s="61" t="s">
        <v>845</v>
      </c>
    </row>
    <row r="281" customFormat="false" ht="100.7" hidden="false" customHeight="false" outlineLevel="0" collapsed="false">
      <c r="A281" s="62" t="s">
        <v>8513</v>
      </c>
      <c r="B281" s="62" t="s">
        <v>8435</v>
      </c>
      <c r="C281" s="6" t="s">
        <v>8514</v>
      </c>
      <c r="D281" s="6" t="s">
        <v>8515</v>
      </c>
      <c r="E281" s="62" t="s">
        <v>8284</v>
      </c>
      <c r="F281" s="6" t="s">
        <v>8438</v>
      </c>
      <c r="G281" s="62" t="s">
        <v>8439</v>
      </c>
      <c r="H281" s="6" t="s">
        <v>8516</v>
      </c>
      <c r="I281" s="61" t="s">
        <v>8517</v>
      </c>
      <c r="J281" s="61" t="s">
        <v>845</v>
      </c>
    </row>
    <row r="282" customFormat="false" ht="100.7" hidden="false" customHeight="false" outlineLevel="0" collapsed="false">
      <c r="A282" s="62" t="s">
        <v>8518</v>
      </c>
      <c r="B282" s="62" t="s">
        <v>8435</v>
      </c>
      <c r="C282" s="6" t="s">
        <v>8519</v>
      </c>
      <c r="D282" s="6" t="s">
        <v>8520</v>
      </c>
      <c r="E282" s="62" t="s">
        <v>8284</v>
      </c>
      <c r="F282" s="6" t="s">
        <v>8438</v>
      </c>
      <c r="G282" s="62" t="s">
        <v>8439</v>
      </c>
      <c r="H282" s="6" t="s">
        <v>8521</v>
      </c>
      <c r="I282" s="61" t="s">
        <v>8522</v>
      </c>
      <c r="J282" s="61" t="s">
        <v>845</v>
      </c>
    </row>
    <row r="283" customFormat="false" ht="100.7" hidden="false" customHeight="false" outlineLevel="0" collapsed="false">
      <c r="A283" s="62" t="s">
        <v>8523</v>
      </c>
      <c r="B283" s="62" t="s">
        <v>8435</v>
      </c>
      <c r="C283" s="6" t="s">
        <v>8524</v>
      </c>
      <c r="D283" s="6" t="s">
        <v>8525</v>
      </c>
      <c r="E283" s="62" t="s">
        <v>8284</v>
      </c>
      <c r="F283" s="6" t="s">
        <v>8438</v>
      </c>
      <c r="G283" s="62" t="s">
        <v>8439</v>
      </c>
      <c r="H283" s="6" t="s">
        <v>8526</v>
      </c>
      <c r="I283" s="61" t="s">
        <v>8527</v>
      </c>
      <c r="J283" s="61" t="s">
        <v>845</v>
      </c>
    </row>
    <row r="284" customFormat="false" ht="100.7" hidden="false" customHeight="false" outlineLevel="0" collapsed="false">
      <c r="A284" s="62" t="s">
        <v>8528</v>
      </c>
      <c r="B284" s="62" t="s">
        <v>8435</v>
      </c>
      <c r="C284" s="6" t="s">
        <v>8529</v>
      </c>
      <c r="D284" s="6" t="s">
        <v>8530</v>
      </c>
      <c r="E284" s="62" t="s">
        <v>8284</v>
      </c>
      <c r="F284" s="6" t="s">
        <v>8438</v>
      </c>
      <c r="G284" s="62" t="s">
        <v>8439</v>
      </c>
      <c r="H284" s="5" t="s">
        <v>8531</v>
      </c>
      <c r="I284" s="61" t="s">
        <v>8532</v>
      </c>
      <c r="J284" s="61" t="s">
        <v>845</v>
      </c>
    </row>
    <row r="285" customFormat="false" ht="100.7" hidden="false" customHeight="false" outlineLevel="0" collapsed="false">
      <c r="A285" s="62" t="s">
        <v>8533</v>
      </c>
      <c r="B285" s="62" t="s">
        <v>8435</v>
      </c>
      <c r="C285" s="6" t="s">
        <v>8534</v>
      </c>
      <c r="D285" s="6" t="s">
        <v>8535</v>
      </c>
      <c r="E285" s="62" t="s">
        <v>8284</v>
      </c>
      <c r="F285" s="6" t="s">
        <v>8438</v>
      </c>
      <c r="G285" s="62" t="s">
        <v>8439</v>
      </c>
      <c r="H285" s="6" t="s">
        <v>4220</v>
      </c>
      <c r="I285" s="61" t="s">
        <v>8536</v>
      </c>
      <c r="J285" s="61" t="s">
        <v>845</v>
      </c>
    </row>
    <row r="286" customFormat="false" ht="100.7" hidden="false" customHeight="false" outlineLevel="0" collapsed="false">
      <c r="A286" s="62" t="s">
        <v>8537</v>
      </c>
      <c r="B286" s="62" t="s">
        <v>8435</v>
      </c>
      <c r="C286" s="6" t="s">
        <v>8538</v>
      </c>
      <c r="D286" s="6" t="s">
        <v>8539</v>
      </c>
      <c r="E286" s="62" t="s">
        <v>8284</v>
      </c>
      <c r="F286" s="6" t="s">
        <v>8438</v>
      </c>
      <c r="G286" s="62" t="s">
        <v>8439</v>
      </c>
      <c r="H286" s="6" t="s">
        <v>8540</v>
      </c>
      <c r="I286" s="61" t="s">
        <v>8541</v>
      </c>
      <c r="J286" s="61" t="s">
        <v>845</v>
      </c>
    </row>
    <row r="287" customFormat="false" ht="140.25" hidden="false" customHeight="false" outlineLevel="0" collapsed="false">
      <c r="A287" s="62" t="s">
        <v>8542</v>
      </c>
      <c r="B287" s="62" t="s">
        <v>8435</v>
      </c>
      <c r="C287" s="6" t="s">
        <v>8543</v>
      </c>
      <c r="D287" s="6" t="s">
        <v>8544</v>
      </c>
      <c r="E287" s="62" t="s">
        <v>8284</v>
      </c>
      <c r="F287" s="6" t="s">
        <v>8545</v>
      </c>
      <c r="G287" s="62" t="s">
        <v>8439</v>
      </c>
      <c r="H287" s="6" t="s">
        <v>8546</v>
      </c>
      <c r="I287" s="61" t="s">
        <v>8547</v>
      </c>
      <c r="J287" s="61" t="s">
        <v>845</v>
      </c>
    </row>
    <row r="288" customFormat="false" ht="157.45" hidden="false" customHeight="false" outlineLevel="0" collapsed="false">
      <c r="A288" s="62" t="s">
        <v>8548</v>
      </c>
      <c r="B288" s="62" t="s">
        <v>8435</v>
      </c>
      <c r="C288" s="6" t="s">
        <v>8549</v>
      </c>
      <c r="D288" s="6" t="s">
        <v>8550</v>
      </c>
      <c r="E288" s="62" t="s">
        <v>8284</v>
      </c>
      <c r="F288" s="6" t="s">
        <v>8545</v>
      </c>
      <c r="G288" s="62" t="s">
        <v>8439</v>
      </c>
      <c r="H288" s="6" t="s">
        <v>8551</v>
      </c>
      <c r="I288" s="61" t="s">
        <v>8552</v>
      </c>
      <c r="J288" s="61" t="s">
        <v>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8553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29.25" hidden="false" customHeight="true" outlineLevel="0" collapsed="false">
      <c r="A5" s="30" t="s">
        <v>5438</v>
      </c>
      <c r="B5" s="6" t="s">
        <v>8574</v>
      </c>
      <c r="C5" s="256" t="n">
        <v>10.2</v>
      </c>
      <c r="D5" s="254"/>
      <c r="E5" s="254"/>
      <c r="F5" s="30" t="s">
        <v>8575</v>
      </c>
      <c r="G5" s="254" t="s">
        <v>8576</v>
      </c>
      <c r="H5" s="30" t="s">
        <v>8577</v>
      </c>
      <c r="I5" s="30" t="s">
        <v>8578</v>
      </c>
      <c r="J5" s="6" t="s">
        <v>8579</v>
      </c>
      <c r="K5" s="254" t="n">
        <v>1</v>
      </c>
      <c r="L5" s="254" t="s">
        <v>8580</v>
      </c>
      <c r="M5" s="6" t="s">
        <v>8581</v>
      </c>
      <c r="N5" s="254" t="s">
        <v>8582</v>
      </c>
      <c r="O5" s="30" t="s">
        <v>8583</v>
      </c>
      <c r="P5" s="30" t="s">
        <v>814</v>
      </c>
      <c r="Q5" s="30" t="s">
        <v>8584</v>
      </c>
      <c r="R5" s="30" t="s">
        <v>814</v>
      </c>
      <c r="S5" s="30" t="s">
        <v>7535</v>
      </c>
      <c r="T5" s="30" t="s">
        <v>814</v>
      </c>
      <c r="U5" s="30" t="s">
        <v>7531</v>
      </c>
      <c r="V5" s="6" t="s">
        <v>8585</v>
      </c>
      <c r="W5" s="6" t="s">
        <v>8586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8587</v>
      </c>
      <c r="B6" s="6" t="s">
        <v>8588</v>
      </c>
      <c r="C6" s="256" t="n">
        <v>30000</v>
      </c>
      <c r="D6" s="254"/>
      <c r="E6" s="254"/>
      <c r="F6" s="30" t="s">
        <v>149</v>
      </c>
      <c r="G6" s="254" t="s">
        <v>8589</v>
      </c>
      <c r="H6" s="30" t="s">
        <v>205</v>
      </c>
      <c r="I6" s="30" t="s">
        <v>8590</v>
      </c>
      <c r="J6" s="6" t="s">
        <v>8591</v>
      </c>
      <c r="K6" s="254" t="n">
        <v>3</v>
      </c>
      <c r="L6" s="254" t="s">
        <v>8580</v>
      </c>
      <c r="M6" s="6" t="s">
        <v>8592</v>
      </c>
      <c r="N6" s="254" t="s">
        <v>8593</v>
      </c>
      <c r="O6" s="30" t="s">
        <v>8583</v>
      </c>
      <c r="P6" s="30" t="s">
        <v>814</v>
      </c>
      <c r="Q6" s="30" t="s">
        <v>8594</v>
      </c>
      <c r="R6" s="30" t="s">
        <v>814</v>
      </c>
      <c r="S6" s="30" t="s">
        <v>814</v>
      </c>
      <c r="T6" s="30" t="s">
        <v>814</v>
      </c>
      <c r="U6" s="30" t="s">
        <v>7540</v>
      </c>
      <c r="V6" s="6" t="s">
        <v>814</v>
      </c>
      <c r="W6" s="6" t="s">
        <v>814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5464</v>
      </c>
      <c r="B7" s="6" t="s">
        <v>8595</v>
      </c>
      <c r="C7" s="254"/>
      <c r="D7" s="256" t="n">
        <v>220000</v>
      </c>
      <c r="E7" s="256" t="n">
        <v>320000</v>
      </c>
      <c r="F7" s="30" t="s">
        <v>8596</v>
      </c>
      <c r="G7" s="254" t="s">
        <v>8597</v>
      </c>
      <c r="H7" s="30" t="s">
        <v>205</v>
      </c>
      <c r="I7" s="30" t="s">
        <v>8590</v>
      </c>
      <c r="J7" s="6" t="s">
        <v>8591</v>
      </c>
      <c r="K7" s="254" t="n">
        <v>2</v>
      </c>
      <c r="L7" s="254" t="s">
        <v>8580</v>
      </c>
      <c r="M7" s="6" t="s">
        <v>8592</v>
      </c>
      <c r="N7" s="254" t="s">
        <v>8593</v>
      </c>
      <c r="O7" s="30" t="s">
        <v>8583</v>
      </c>
      <c r="P7" s="30" t="s">
        <v>814</v>
      </c>
      <c r="Q7" s="30" t="s">
        <v>8598</v>
      </c>
      <c r="R7" s="30" t="s">
        <v>814</v>
      </c>
      <c r="S7" s="30" t="s">
        <v>7535</v>
      </c>
      <c r="T7" s="30" t="s">
        <v>814</v>
      </c>
      <c r="U7" s="30" t="s">
        <v>7540</v>
      </c>
      <c r="V7" s="6" t="s">
        <v>8599</v>
      </c>
      <c r="W7" s="6" t="s">
        <v>8600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5428</v>
      </c>
      <c r="B8" s="6" t="s">
        <v>8601</v>
      </c>
      <c r="C8" s="254"/>
      <c r="D8" s="256" t="n">
        <v>120</v>
      </c>
      <c r="E8" s="256" t="n">
        <v>132</v>
      </c>
      <c r="F8" s="30" t="s">
        <v>8602</v>
      </c>
      <c r="G8" s="254" t="s">
        <v>8603</v>
      </c>
      <c r="H8" s="30" t="s">
        <v>206</v>
      </c>
      <c r="I8" s="30" t="s">
        <v>8604</v>
      </c>
      <c r="J8" s="6" t="s">
        <v>8605</v>
      </c>
      <c r="K8" s="254" t="n">
        <v>1</v>
      </c>
      <c r="L8" s="254" t="s">
        <v>8580</v>
      </c>
      <c r="M8" s="6" t="s">
        <v>8606</v>
      </c>
      <c r="N8" s="254" t="s">
        <v>8582</v>
      </c>
      <c r="O8" s="30" t="s">
        <v>8583</v>
      </c>
      <c r="P8" s="30" t="s">
        <v>814</v>
      </c>
      <c r="Q8" s="30" t="s">
        <v>8607</v>
      </c>
      <c r="R8" s="30" t="s">
        <v>814</v>
      </c>
      <c r="S8" s="30" t="s">
        <v>7535</v>
      </c>
      <c r="T8" s="30" t="s">
        <v>814</v>
      </c>
      <c r="U8" s="30" t="s">
        <v>8608</v>
      </c>
      <c r="V8" s="6" t="s">
        <v>8609</v>
      </c>
      <c r="W8" s="20" t="s">
        <v>8610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5430</v>
      </c>
      <c r="B9" s="6" t="s">
        <v>8611</v>
      </c>
      <c r="C9" s="254"/>
      <c r="D9" s="256" t="n">
        <v>132</v>
      </c>
      <c r="E9" s="256" t="n">
        <v>140</v>
      </c>
      <c r="F9" s="30" t="s">
        <v>8602</v>
      </c>
      <c r="G9" s="254" t="s">
        <v>8612</v>
      </c>
      <c r="H9" s="30" t="s">
        <v>207</v>
      </c>
      <c r="I9" s="30" t="s">
        <v>8604</v>
      </c>
      <c r="J9" s="6" t="s">
        <v>8613</v>
      </c>
      <c r="K9" s="254" t="n">
        <v>2</v>
      </c>
      <c r="L9" s="254" t="s">
        <v>8580</v>
      </c>
      <c r="M9" s="6" t="s">
        <v>8606</v>
      </c>
      <c r="N9" s="254" t="s">
        <v>8593</v>
      </c>
      <c r="O9" s="30" t="s">
        <v>8583</v>
      </c>
      <c r="P9" s="30" t="s">
        <v>814</v>
      </c>
      <c r="Q9" s="30" t="s">
        <v>8614</v>
      </c>
      <c r="R9" s="30" t="s">
        <v>814</v>
      </c>
      <c r="S9" s="30" t="s">
        <v>7535</v>
      </c>
      <c r="T9" s="30" t="s">
        <v>814</v>
      </c>
      <c r="U9" s="30" t="s">
        <v>8608</v>
      </c>
      <c r="V9" s="6" t="s">
        <v>8615</v>
      </c>
      <c r="W9" s="20" t="s">
        <v>8616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5468</v>
      </c>
      <c r="B10" s="6" t="s">
        <v>8617</v>
      </c>
      <c r="C10" s="254"/>
      <c r="D10" s="256" t="n">
        <v>2.8</v>
      </c>
      <c r="E10" s="256" t="n">
        <v>3.4</v>
      </c>
      <c r="F10" s="30" t="s">
        <v>8618</v>
      </c>
      <c r="G10" s="254" t="s">
        <v>8619</v>
      </c>
      <c r="H10" s="30" t="s">
        <v>206</v>
      </c>
      <c r="I10" s="30" t="s">
        <v>8620</v>
      </c>
      <c r="J10" s="6" t="s">
        <v>8621</v>
      </c>
      <c r="K10" s="254" t="n">
        <v>2</v>
      </c>
      <c r="L10" s="254" t="s">
        <v>8580</v>
      </c>
      <c r="M10" s="20" t="s">
        <v>8622</v>
      </c>
      <c r="N10" s="254" t="s">
        <v>8593</v>
      </c>
      <c r="O10" s="30" t="s">
        <v>8583</v>
      </c>
      <c r="P10" s="30" t="s">
        <v>814</v>
      </c>
      <c r="Q10" s="30" t="s">
        <v>8623</v>
      </c>
      <c r="R10" s="30" t="s">
        <v>814</v>
      </c>
      <c r="S10" s="30" t="s">
        <v>7535</v>
      </c>
      <c r="T10" s="30" t="s">
        <v>814</v>
      </c>
      <c r="U10" s="30" t="s">
        <v>8624</v>
      </c>
      <c r="V10" s="6" t="s">
        <v>8625</v>
      </c>
      <c r="W10" s="20" t="s">
        <v>8626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8627</v>
      </c>
      <c r="B11" s="6" t="s">
        <v>8628</v>
      </c>
      <c r="C11" s="254"/>
      <c r="D11" s="256" t="n">
        <v>6</v>
      </c>
      <c r="E11" s="256" t="n">
        <v>6.5</v>
      </c>
      <c r="F11" s="30" t="s">
        <v>8618</v>
      </c>
      <c r="G11" s="254" t="s">
        <v>8619</v>
      </c>
      <c r="H11" s="30" t="s">
        <v>207</v>
      </c>
      <c r="I11" s="30" t="s">
        <v>8620</v>
      </c>
      <c r="J11" s="6" t="s">
        <v>8621</v>
      </c>
      <c r="K11" s="254" t="n">
        <v>3</v>
      </c>
      <c r="L11" s="254" t="s">
        <v>8580</v>
      </c>
      <c r="M11" s="20" t="s">
        <v>8622</v>
      </c>
      <c r="N11" s="254" t="s">
        <v>8593</v>
      </c>
      <c r="O11" s="30" t="s">
        <v>8629</v>
      </c>
      <c r="P11" s="30" t="s">
        <v>814</v>
      </c>
      <c r="Q11" s="30" t="s">
        <v>8630</v>
      </c>
      <c r="R11" s="30" t="s">
        <v>814</v>
      </c>
      <c r="S11" s="30" t="s">
        <v>814</v>
      </c>
      <c r="T11" s="30" t="s">
        <v>814</v>
      </c>
      <c r="U11" s="30" t="s">
        <v>8624</v>
      </c>
      <c r="V11" s="246" t="s">
        <v>8631</v>
      </c>
      <c r="W11" s="6" t="s">
        <v>8632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8633</v>
      </c>
      <c r="B12" s="6" t="s">
        <v>8634</v>
      </c>
      <c r="C12" s="254"/>
      <c r="D12" s="256" t="n">
        <v>5</v>
      </c>
      <c r="E12" s="256" t="n">
        <v>7</v>
      </c>
      <c r="F12" s="30" t="s">
        <v>8618</v>
      </c>
      <c r="G12" s="254" t="s">
        <v>8619</v>
      </c>
      <c r="H12" s="30" t="s">
        <v>208</v>
      </c>
      <c r="I12" s="30" t="s">
        <v>8620</v>
      </c>
      <c r="J12" s="6" t="s">
        <v>8621</v>
      </c>
      <c r="K12" s="254" t="n">
        <v>3</v>
      </c>
      <c r="L12" s="254" t="s">
        <v>8580</v>
      </c>
      <c r="M12" s="20" t="s">
        <v>8622</v>
      </c>
      <c r="N12" s="254" t="s">
        <v>8593</v>
      </c>
      <c r="O12" s="30" t="s">
        <v>8629</v>
      </c>
      <c r="P12" s="30" t="s">
        <v>814</v>
      </c>
      <c r="Q12" s="30" t="s">
        <v>8635</v>
      </c>
      <c r="R12" s="30" t="s">
        <v>814</v>
      </c>
      <c r="S12" s="30" t="s">
        <v>814</v>
      </c>
      <c r="T12" s="30" t="s">
        <v>814</v>
      </c>
      <c r="U12" s="30" t="s">
        <v>8624</v>
      </c>
      <c r="V12" s="6" t="s">
        <v>814</v>
      </c>
      <c r="W12" s="20" t="s">
        <v>8636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8637</v>
      </c>
      <c r="B13" s="6" t="s">
        <v>8638</v>
      </c>
      <c r="C13" s="254"/>
      <c r="D13" s="256" t="n">
        <v>132</v>
      </c>
      <c r="E13" s="256" t="n">
        <v>140</v>
      </c>
      <c r="F13" s="30" t="s">
        <v>8602</v>
      </c>
      <c r="G13" s="254" t="s">
        <v>8639</v>
      </c>
      <c r="H13" s="30" t="s">
        <v>207</v>
      </c>
      <c r="I13" s="30" t="s">
        <v>1521</v>
      </c>
      <c r="J13" s="6" t="s">
        <v>8640</v>
      </c>
      <c r="K13" s="254" t="n">
        <v>3</v>
      </c>
      <c r="L13" s="254" t="s">
        <v>8580</v>
      </c>
      <c r="M13" s="6" t="s">
        <v>8641</v>
      </c>
      <c r="N13" s="254" t="s">
        <v>8593</v>
      </c>
      <c r="O13" s="30" t="s">
        <v>8583</v>
      </c>
      <c r="P13" s="30" t="s">
        <v>814</v>
      </c>
      <c r="Q13" s="30" t="s">
        <v>8642</v>
      </c>
      <c r="R13" s="30" t="s">
        <v>814</v>
      </c>
      <c r="S13" s="30" t="s">
        <v>814</v>
      </c>
      <c r="T13" s="30" t="s">
        <v>814</v>
      </c>
      <c r="U13" s="30" t="s">
        <v>8643</v>
      </c>
      <c r="V13" s="6" t="s">
        <v>8644</v>
      </c>
      <c r="W13" s="6" t="s">
        <v>814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5504</v>
      </c>
      <c r="B14" s="6" t="s">
        <v>8645</v>
      </c>
      <c r="C14" s="256" t="n">
        <v>5</v>
      </c>
      <c r="D14" s="254"/>
      <c r="E14" s="254"/>
      <c r="F14" s="30" t="s">
        <v>8618</v>
      </c>
      <c r="G14" s="254" t="s">
        <v>8646</v>
      </c>
      <c r="H14" s="30" t="s">
        <v>207</v>
      </c>
      <c r="I14" s="30" t="s">
        <v>1521</v>
      </c>
      <c r="J14" s="6" t="s">
        <v>8647</v>
      </c>
      <c r="K14" s="254" t="n">
        <v>2</v>
      </c>
      <c r="L14" s="254" t="s">
        <v>8580</v>
      </c>
      <c r="M14" s="20" t="s">
        <v>8648</v>
      </c>
      <c r="N14" s="254" t="s">
        <v>8593</v>
      </c>
      <c r="O14" s="30" t="s">
        <v>8583</v>
      </c>
      <c r="P14" s="30" t="s">
        <v>814</v>
      </c>
      <c r="Q14" s="30" t="s">
        <v>8649</v>
      </c>
      <c r="R14" s="30" t="s">
        <v>814</v>
      </c>
      <c r="S14" s="30" t="s">
        <v>4685</v>
      </c>
      <c r="T14" s="30" t="s">
        <v>814</v>
      </c>
      <c r="U14" s="30" t="s">
        <v>8650</v>
      </c>
      <c r="V14" s="6" t="s">
        <v>8651</v>
      </c>
      <c r="W14" s="6" t="s">
        <v>8652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5432</v>
      </c>
      <c r="B15" s="6" t="s">
        <v>8653</v>
      </c>
      <c r="C15" s="256" t="n">
        <v>188</v>
      </c>
      <c r="D15" s="254"/>
      <c r="E15" s="254"/>
      <c r="F15" s="30" t="s">
        <v>8602</v>
      </c>
      <c r="G15" s="254" t="s">
        <v>8654</v>
      </c>
      <c r="H15" s="30" t="s">
        <v>208</v>
      </c>
      <c r="I15" s="30" t="s">
        <v>8590</v>
      </c>
      <c r="J15" s="6" t="s">
        <v>8655</v>
      </c>
      <c r="K15" s="254" t="n">
        <v>1</v>
      </c>
      <c r="L15" s="254" t="s">
        <v>8580</v>
      </c>
      <c r="M15" s="20" t="s">
        <v>8656</v>
      </c>
      <c r="N15" s="254" t="s">
        <v>8582</v>
      </c>
      <c r="O15" s="30" t="s">
        <v>8583</v>
      </c>
      <c r="P15" s="30" t="s">
        <v>814</v>
      </c>
      <c r="Q15" s="30" t="s">
        <v>8657</v>
      </c>
      <c r="R15" s="30" t="s">
        <v>814</v>
      </c>
      <c r="S15" s="30" t="s">
        <v>7535</v>
      </c>
      <c r="T15" s="30" t="s">
        <v>814</v>
      </c>
      <c r="U15" s="30" t="s">
        <v>8658</v>
      </c>
      <c r="V15" s="6" t="s">
        <v>8659</v>
      </c>
      <c r="W15" s="6" t="s">
        <v>8660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5460</v>
      </c>
      <c r="B16" s="6" t="s">
        <v>8661</v>
      </c>
      <c r="C16" s="256" t="n">
        <v>230</v>
      </c>
      <c r="D16" s="254"/>
      <c r="E16" s="254"/>
      <c r="F16" s="30" t="s">
        <v>8602</v>
      </c>
      <c r="G16" s="254" t="s">
        <v>8662</v>
      </c>
      <c r="H16" s="30" t="s">
        <v>208</v>
      </c>
      <c r="I16" s="30" t="s">
        <v>8590</v>
      </c>
      <c r="J16" s="6" t="s">
        <v>8663</v>
      </c>
      <c r="K16" s="254" t="n">
        <v>3</v>
      </c>
      <c r="L16" s="254" t="s">
        <v>8580</v>
      </c>
      <c r="M16" s="20" t="s">
        <v>8656</v>
      </c>
      <c r="N16" s="254" t="s">
        <v>8593</v>
      </c>
      <c r="O16" s="30" t="s">
        <v>8583</v>
      </c>
      <c r="P16" s="30" t="s">
        <v>814</v>
      </c>
      <c r="Q16" s="30" t="s">
        <v>8664</v>
      </c>
      <c r="R16" s="30" t="s">
        <v>814</v>
      </c>
      <c r="S16" s="30" t="s">
        <v>814</v>
      </c>
      <c r="T16" s="30" t="s">
        <v>814</v>
      </c>
      <c r="U16" s="30" t="s">
        <v>8658</v>
      </c>
      <c r="V16" s="6" t="s">
        <v>8665</v>
      </c>
      <c r="W16" s="6" t="s">
        <v>5311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8666</v>
      </c>
      <c r="B17" s="6" t="s">
        <v>8667</v>
      </c>
      <c r="C17" s="256" t="n">
        <v>600</v>
      </c>
      <c r="D17" s="254"/>
      <c r="E17" s="254"/>
      <c r="F17" s="30" t="s">
        <v>8602</v>
      </c>
      <c r="G17" s="254" t="s">
        <v>8668</v>
      </c>
      <c r="H17" s="30" t="s">
        <v>8669</v>
      </c>
      <c r="I17" s="30" t="s">
        <v>8590</v>
      </c>
      <c r="J17" s="6" t="s">
        <v>8663</v>
      </c>
      <c r="K17" s="254" t="n">
        <v>3</v>
      </c>
      <c r="L17" s="254" t="s">
        <v>8580</v>
      </c>
      <c r="M17" s="20" t="s">
        <v>8656</v>
      </c>
      <c r="N17" s="254" t="s">
        <v>8593</v>
      </c>
      <c r="O17" s="30" t="s">
        <v>8670</v>
      </c>
      <c r="P17" s="30" t="s">
        <v>8671</v>
      </c>
      <c r="Q17" s="30" t="s">
        <v>8664</v>
      </c>
      <c r="R17" s="30" t="s">
        <v>814</v>
      </c>
      <c r="S17" s="30" t="s">
        <v>814</v>
      </c>
      <c r="T17" s="30" t="s">
        <v>814</v>
      </c>
      <c r="U17" s="30" t="s">
        <v>8658</v>
      </c>
      <c r="V17" s="6" t="s">
        <v>8672</v>
      </c>
      <c r="W17" s="20" t="s">
        <v>8673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5449</v>
      </c>
      <c r="B18" s="6" t="s">
        <v>8674</v>
      </c>
      <c r="C18" s="256" t="n">
        <v>227</v>
      </c>
      <c r="D18" s="254"/>
      <c r="E18" s="254"/>
      <c r="F18" s="30" t="s">
        <v>8602</v>
      </c>
      <c r="G18" s="30" t="s">
        <v>8675</v>
      </c>
      <c r="H18" s="30" t="s">
        <v>208</v>
      </c>
      <c r="I18" s="30" t="s">
        <v>1518</v>
      </c>
      <c r="J18" s="6" t="s">
        <v>8676</v>
      </c>
      <c r="K18" s="254" t="n">
        <v>1</v>
      </c>
      <c r="L18" s="254" t="s">
        <v>8580</v>
      </c>
      <c r="M18" s="6" t="s">
        <v>8677</v>
      </c>
      <c r="N18" s="254" t="s">
        <v>8582</v>
      </c>
      <c r="O18" s="30" t="s">
        <v>8583</v>
      </c>
      <c r="P18" s="30" t="s">
        <v>814</v>
      </c>
      <c r="Q18" s="30" t="s">
        <v>8678</v>
      </c>
      <c r="R18" s="30" t="s">
        <v>8679</v>
      </c>
      <c r="S18" s="30" t="s">
        <v>7535</v>
      </c>
      <c r="T18" s="30" t="s">
        <v>814</v>
      </c>
      <c r="U18" s="30" t="s">
        <v>8680</v>
      </c>
      <c r="V18" s="6" t="s">
        <v>8681</v>
      </c>
      <c r="W18" s="6" t="s">
        <v>8682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5475</v>
      </c>
      <c r="B19" s="6" t="s">
        <v>8683</v>
      </c>
      <c r="C19" s="256" t="n">
        <v>7.8</v>
      </c>
      <c r="D19" s="254"/>
      <c r="E19" s="254"/>
      <c r="F19" s="30" t="s">
        <v>8618</v>
      </c>
      <c r="G19" s="254" t="s">
        <v>8684</v>
      </c>
      <c r="H19" s="30" t="s">
        <v>208</v>
      </c>
      <c r="I19" s="30" t="s">
        <v>8685</v>
      </c>
      <c r="J19" s="6" t="s">
        <v>8686</v>
      </c>
      <c r="K19" s="254" t="n">
        <v>2</v>
      </c>
      <c r="L19" s="254" t="s">
        <v>8687</v>
      </c>
      <c r="M19" s="6" t="s">
        <v>8688</v>
      </c>
      <c r="N19" s="254" t="s">
        <v>8593</v>
      </c>
      <c r="O19" s="30" t="s">
        <v>8583</v>
      </c>
      <c r="P19" s="30" t="s">
        <v>814</v>
      </c>
      <c r="Q19" s="30" t="s">
        <v>8689</v>
      </c>
      <c r="R19" s="30" t="s">
        <v>814</v>
      </c>
      <c r="S19" s="30" t="s">
        <v>7535</v>
      </c>
      <c r="T19" s="30" t="s">
        <v>814</v>
      </c>
      <c r="U19" s="30" t="s">
        <v>8690</v>
      </c>
      <c r="V19" s="6" t="s">
        <v>8691</v>
      </c>
      <c r="W19" s="6" t="s">
        <v>8692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8693</v>
      </c>
      <c r="B20" s="6" t="s">
        <v>8694</v>
      </c>
      <c r="C20" s="256" t="n">
        <v>6.7</v>
      </c>
      <c r="D20" s="254"/>
      <c r="E20" s="254"/>
      <c r="F20" s="30" t="s">
        <v>8618</v>
      </c>
      <c r="G20" s="254" t="s">
        <v>8695</v>
      </c>
      <c r="H20" s="30" t="s">
        <v>208</v>
      </c>
      <c r="I20" s="30" t="s">
        <v>8685</v>
      </c>
      <c r="J20" s="6" t="s">
        <v>8686</v>
      </c>
      <c r="K20" s="254" t="n">
        <v>3</v>
      </c>
      <c r="L20" s="254" t="s">
        <v>8687</v>
      </c>
      <c r="M20" s="6" t="s">
        <v>8696</v>
      </c>
      <c r="N20" s="254" t="s">
        <v>8593</v>
      </c>
      <c r="O20" s="30" t="s">
        <v>8629</v>
      </c>
      <c r="P20" s="30" t="s">
        <v>814</v>
      </c>
      <c r="Q20" s="30" t="s">
        <v>8697</v>
      </c>
      <c r="R20" s="30" t="s">
        <v>814</v>
      </c>
      <c r="S20" s="30" t="s">
        <v>814</v>
      </c>
      <c r="T20" s="30" t="s">
        <v>814</v>
      </c>
      <c r="U20" s="30" t="s">
        <v>8690</v>
      </c>
      <c r="V20" s="6" t="s">
        <v>8698</v>
      </c>
      <c r="W20" s="20" t="s">
        <v>8699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5507</v>
      </c>
      <c r="B21" s="6" t="s">
        <v>8700</v>
      </c>
      <c r="C21" s="256" t="n">
        <v>9.09</v>
      </c>
      <c r="D21" s="254"/>
      <c r="E21" s="254"/>
      <c r="F21" s="30" t="s">
        <v>8618</v>
      </c>
      <c r="G21" s="254" t="s">
        <v>8701</v>
      </c>
      <c r="H21" s="30" t="s">
        <v>208</v>
      </c>
      <c r="I21" s="30" t="s">
        <v>8604</v>
      </c>
      <c r="J21" s="6" t="s">
        <v>8702</v>
      </c>
      <c r="K21" s="254" t="n">
        <v>2</v>
      </c>
      <c r="L21" s="254" t="s">
        <v>8687</v>
      </c>
      <c r="M21" s="6" t="s">
        <v>8696</v>
      </c>
      <c r="N21" s="254" t="s">
        <v>8593</v>
      </c>
      <c r="O21" s="30" t="s">
        <v>8629</v>
      </c>
      <c r="P21" s="30" t="s">
        <v>814</v>
      </c>
      <c r="Q21" s="30" t="s">
        <v>8703</v>
      </c>
      <c r="R21" s="30" t="s">
        <v>814</v>
      </c>
      <c r="S21" s="30" t="s">
        <v>4685</v>
      </c>
      <c r="T21" s="30" t="s">
        <v>814</v>
      </c>
      <c r="U21" s="30" t="s">
        <v>8690</v>
      </c>
      <c r="V21" s="6" t="s">
        <v>8704</v>
      </c>
      <c r="W21" s="20" t="s">
        <v>8705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8706</v>
      </c>
      <c r="B22" s="6" t="s">
        <v>8707</v>
      </c>
      <c r="C22" s="256" t="n">
        <v>1</v>
      </c>
      <c r="D22" s="254"/>
      <c r="E22" s="254"/>
      <c r="F22" s="30" t="s">
        <v>8618</v>
      </c>
      <c r="G22" s="254" t="s">
        <v>8668</v>
      </c>
      <c r="H22" s="30" t="s">
        <v>208</v>
      </c>
      <c r="I22" s="30" t="s">
        <v>8590</v>
      </c>
      <c r="J22" s="6" t="s">
        <v>8708</v>
      </c>
      <c r="K22" s="254" t="n">
        <v>3</v>
      </c>
      <c r="L22" s="254" t="s">
        <v>8580</v>
      </c>
      <c r="M22" s="6" t="s">
        <v>8709</v>
      </c>
      <c r="N22" s="254" t="s">
        <v>8593</v>
      </c>
      <c r="O22" s="30" t="s">
        <v>8629</v>
      </c>
      <c r="P22" s="30" t="s">
        <v>814</v>
      </c>
      <c r="Q22" s="30" t="s">
        <v>8710</v>
      </c>
      <c r="R22" s="30" t="s">
        <v>814</v>
      </c>
      <c r="S22" s="30" t="s">
        <v>814</v>
      </c>
      <c r="T22" s="30" t="s">
        <v>814</v>
      </c>
      <c r="U22" s="30" t="s">
        <v>8711</v>
      </c>
      <c r="V22" s="6" t="s">
        <v>814</v>
      </c>
      <c r="W22" s="20" t="s">
        <v>8712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5655</v>
      </c>
      <c r="B23" s="6" t="s">
        <v>8713</v>
      </c>
      <c r="C23" s="256" t="n">
        <v>0.989</v>
      </c>
      <c r="D23" s="254"/>
      <c r="E23" s="254"/>
      <c r="F23" s="30" t="s">
        <v>530</v>
      </c>
      <c r="G23" s="30" t="s">
        <v>8714</v>
      </c>
      <c r="H23" s="30" t="s">
        <v>205</v>
      </c>
      <c r="I23" s="30" t="s">
        <v>8715</v>
      </c>
      <c r="J23" s="20" t="s">
        <v>8716</v>
      </c>
      <c r="K23" s="254" t="n">
        <v>3</v>
      </c>
      <c r="L23" s="254" t="s">
        <v>8580</v>
      </c>
      <c r="M23" s="6" t="s">
        <v>8717</v>
      </c>
      <c r="N23" s="254" t="s">
        <v>8718</v>
      </c>
      <c r="O23" s="30" t="s">
        <v>8583</v>
      </c>
      <c r="P23" s="30" t="s">
        <v>814</v>
      </c>
      <c r="Q23" s="30" t="s">
        <v>8719</v>
      </c>
      <c r="R23" s="30" t="s">
        <v>814</v>
      </c>
      <c r="S23" s="30" t="s">
        <v>814</v>
      </c>
      <c r="T23" s="30" t="s">
        <v>814</v>
      </c>
      <c r="U23" s="30" t="s">
        <v>8720</v>
      </c>
      <c r="V23" s="6" t="s">
        <v>8721</v>
      </c>
      <c r="W23" s="6" t="s">
        <v>8722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5541</v>
      </c>
      <c r="B24" s="6" t="s">
        <v>8723</v>
      </c>
      <c r="C24" s="256" t="n">
        <v>80</v>
      </c>
      <c r="D24" s="254"/>
      <c r="E24" s="254"/>
      <c r="F24" s="30" t="s">
        <v>926</v>
      </c>
      <c r="G24" s="30" t="s">
        <v>814</v>
      </c>
      <c r="H24" s="30" t="s">
        <v>205</v>
      </c>
      <c r="I24" s="30" t="s">
        <v>8715</v>
      </c>
      <c r="J24" s="20" t="s">
        <v>8716</v>
      </c>
      <c r="K24" s="254" t="n">
        <v>3</v>
      </c>
      <c r="L24" s="254" t="s">
        <v>8580</v>
      </c>
      <c r="M24" s="6" t="s">
        <v>8717</v>
      </c>
      <c r="N24" s="254" t="s">
        <v>8718</v>
      </c>
      <c r="O24" s="30" t="s">
        <v>8583</v>
      </c>
      <c r="P24" s="30" t="s">
        <v>814</v>
      </c>
      <c r="Q24" s="30" t="s">
        <v>8719</v>
      </c>
      <c r="R24" s="30" t="s">
        <v>814</v>
      </c>
      <c r="S24" s="30" t="s">
        <v>814</v>
      </c>
      <c r="T24" s="30" t="s">
        <v>814</v>
      </c>
      <c r="U24" s="30" t="s">
        <v>8720</v>
      </c>
      <c r="V24" s="6" t="s">
        <v>8724</v>
      </c>
      <c r="W24" s="6" t="s">
        <v>814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5554</v>
      </c>
      <c r="B25" s="6" t="s">
        <v>8725</v>
      </c>
      <c r="C25" s="256" t="n">
        <v>3.35</v>
      </c>
      <c r="D25" s="254"/>
      <c r="E25" s="254"/>
      <c r="F25" s="30" t="s">
        <v>406</v>
      </c>
      <c r="G25" s="30" t="s">
        <v>814</v>
      </c>
      <c r="H25" s="30" t="s">
        <v>205</v>
      </c>
      <c r="I25" s="30" t="s">
        <v>8715</v>
      </c>
      <c r="J25" s="20" t="s">
        <v>8716</v>
      </c>
      <c r="K25" s="254" t="n">
        <v>3</v>
      </c>
      <c r="L25" s="254" t="s">
        <v>8580</v>
      </c>
      <c r="M25" s="6" t="s">
        <v>8717</v>
      </c>
      <c r="N25" s="254" t="s">
        <v>8718</v>
      </c>
      <c r="O25" s="30" t="s">
        <v>8583</v>
      </c>
      <c r="P25" s="30" t="s">
        <v>814</v>
      </c>
      <c r="Q25" s="30" t="s">
        <v>8719</v>
      </c>
      <c r="R25" s="30" t="s">
        <v>814</v>
      </c>
      <c r="S25" s="30" t="s">
        <v>814</v>
      </c>
      <c r="T25" s="30" t="s">
        <v>814</v>
      </c>
      <c r="U25" s="30" t="s">
        <v>8720</v>
      </c>
      <c r="V25" s="6" t="s">
        <v>8726</v>
      </c>
      <c r="W25" s="6" t="s">
        <v>814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5516</v>
      </c>
      <c r="B26" s="6" t="s">
        <v>8727</v>
      </c>
      <c r="C26" s="256" t="n">
        <v>10</v>
      </c>
      <c r="D26" s="254"/>
      <c r="E26" s="254"/>
      <c r="F26" s="30" t="s">
        <v>530</v>
      </c>
      <c r="G26" s="30" t="s">
        <v>8714</v>
      </c>
      <c r="H26" s="30" t="s">
        <v>206</v>
      </c>
      <c r="I26" s="30" t="s">
        <v>8715</v>
      </c>
      <c r="J26" s="20" t="s">
        <v>8716</v>
      </c>
      <c r="K26" s="254" t="n">
        <v>1</v>
      </c>
      <c r="L26" s="254" t="s">
        <v>8580</v>
      </c>
      <c r="M26" s="6" t="s">
        <v>8717</v>
      </c>
      <c r="N26" s="254" t="s">
        <v>8582</v>
      </c>
      <c r="O26" s="30" t="s">
        <v>8583</v>
      </c>
      <c r="P26" s="30" t="s">
        <v>814</v>
      </c>
      <c r="Q26" s="30" t="s">
        <v>8728</v>
      </c>
      <c r="R26" s="30" t="s">
        <v>814</v>
      </c>
      <c r="S26" s="30" t="s">
        <v>7535</v>
      </c>
      <c r="T26" s="30" t="s">
        <v>814</v>
      </c>
      <c r="U26" s="30" t="s">
        <v>8720</v>
      </c>
      <c r="V26" s="6" t="s">
        <v>8729</v>
      </c>
      <c r="W26" s="20" t="s">
        <v>8730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5557</v>
      </c>
      <c r="B27" s="6" t="s">
        <v>8731</v>
      </c>
      <c r="C27" s="256" t="n">
        <v>8</v>
      </c>
      <c r="D27" s="254"/>
      <c r="E27" s="254"/>
      <c r="F27" s="30" t="s">
        <v>406</v>
      </c>
      <c r="G27" s="30" t="s">
        <v>814</v>
      </c>
      <c r="H27" s="30" t="s">
        <v>206</v>
      </c>
      <c r="I27" s="30" t="s">
        <v>8715</v>
      </c>
      <c r="J27" s="20" t="s">
        <v>8716</v>
      </c>
      <c r="K27" s="254" t="n">
        <v>3</v>
      </c>
      <c r="L27" s="254" t="s">
        <v>8580</v>
      </c>
      <c r="M27" s="6" t="s">
        <v>8717</v>
      </c>
      <c r="N27" s="254" t="s">
        <v>8718</v>
      </c>
      <c r="O27" s="30" t="s">
        <v>8583</v>
      </c>
      <c r="P27" s="30" t="s">
        <v>814</v>
      </c>
      <c r="Q27" s="30" t="s">
        <v>8719</v>
      </c>
      <c r="R27" s="30" t="s">
        <v>814</v>
      </c>
      <c r="S27" s="30" t="s">
        <v>814</v>
      </c>
      <c r="T27" s="30" t="s">
        <v>814</v>
      </c>
      <c r="U27" s="30" t="s">
        <v>8720</v>
      </c>
      <c r="V27" s="6" t="s">
        <v>8732</v>
      </c>
      <c r="W27" s="6" t="s">
        <v>814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8733</v>
      </c>
      <c r="B28" s="6" t="s">
        <v>8734</v>
      </c>
      <c r="C28" s="256" t="n">
        <v>186</v>
      </c>
      <c r="D28" s="254"/>
      <c r="E28" s="254"/>
      <c r="F28" s="30" t="s">
        <v>926</v>
      </c>
      <c r="G28" s="30" t="s">
        <v>814</v>
      </c>
      <c r="H28" s="30" t="s">
        <v>206</v>
      </c>
      <c r="I28" s="30" t="s">
        <v>8715</v>
      </c>
      <c r="J28" s="20" t="s">
        <v>8716</v>
      </c>
      <c r="K28" s="254" t="n">
        <v>3</v>
      </c>
      <c r="L28" s="254" t="s">
        <v>8580</v>
      </c>
      <c r="M28" s="6" t="s">
        <v>8717</v>
      </c>
      <c r="N28" s="254" t="s">
        <v>8718</v>
      </c>
      <c r="O28" s="30" t="s">
        <v>8629</v>
      </c>
      <c r="P28" s="30" t="s">
        <v>814</v>
      </c>
      <c r="Q28" s="30" t="s">
        <v>8719</v>
      </c>
      <c r="R28" s="30" t="s">
        <v>814</v>
      </c>
      <c r="S28" s="30" t="s">
        <v>814</v>
      </c>
      <c r="T28" s="30" t="s">
        <v>814</v>
      </c>
      <c r="U28" s="30" t="s">
        <v>8720</v>
      </c>
      <c r="V28" s="6" t="s">
        <v>814</v>
      </c>
      <c r="W28" s="20" t="s">
        <v>8735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5518</v>
      </c>
      <c r="B29" s="6" t="s">
        <v>8736</v>
      </c>
      <c r="C29" s="256" t="n">
        <v>15</v>
      </c>
      <c r="D29" s="254"/>
      <c r="E29" s="254"/>
      <c r="F29" s="30" t="s">
        <v>530</v>
      </c>
      <c r="G29" s="30" t="s">
        <v>8714</v>
      </c>
      <c r="H29" s="30" t="s">
        <v>207</v>
      </c>
      <c r="I29" s="30" t="s">
        <v>8715</v>
      </c>
      <c r="J29" s="20" t="s">
        <v>8716</v>
      </c>
      <c r="K29" s="254" t="n">
        <v>1</v>
      </c>
      <c r="L29" s="254" t="s">
        <v>8580</v>
      </c>
      <c r="M29" s="6" t="s">
        <v>8717</v>
      </c>
      <c r="N29" s="254" t="s">
        <v>8582</v>
      </c>
      <c r="O29" s="30" t="s">
        <v>8583</v>
      </c>
      <c r="P29" s="30" t="s">
        <v>814</v>
      </c>
      <c r="Q29" s="30" t="s">
        <v>8737</v>
      </c>
      <c r="R29" s="30" t="s">
        <v>814</v>
      </c>
      <c r="S29" s="30" t="s">
        <v>7535</v>
      </c>
      <c r="T29" s="30" t="s">
        <v>814</v>
      </c>
      <c r="U29" s="30" t="s">
        <v>8720</v>
      </c>
      <c r="V29" s="6" t="s">
        <v>8738</v>
      </c>
      <c r="W29" s="6" t="s">
        <v>8739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5547</v>
      </c>
      <c r="B30" s="6" t="s">
        <v>8740</v>
      </c>
      <c r="C30" s="256" t="n">
        <v>288</v>
      </c>
      <c r="D30" s="254"/>
      <c r="E30" s="254"/>
      <c r="F30" s="30" t="s">
        <v>926</v>
      </c>
      <c r="G30" s="30" t="s">
        <v>814</v>
      </c>
      <c r="H30" s="30" t="s">
        <v>207</v>
      </c>
      <c r="I30" s="30" t="s">
        <v>8715</v>
      </c>
      <c r="J30" s="20" t="s">
        <v>8716</v>
      </c>
      <c r="K30" s="254" t="n">
        <v>3</v>
      </c>
      <c r="L30" s="254" t="s">
        <v>8580</v>
      </c>
      <c r="M30" s="6" t="s">
        <v>8717</v>
      </c>
      <c r="N30" s="254" t="s">
        <v>8718</v>
      </c>
      <c r="O30" s="30" t="s">
        <v>8583</v>
      </c>
      <c r="P30" s="30" t="s">
        <v>814</v>
      </c>
      <c r="Q30" s="30" t="s">
        <v>8719</v>
      </c>
      <c r="R30" s="30" t="s">
        <v>814</v>
      </c>
      <c r="S30" s="30" t="s">
        <v>814</v>
      </c>
      <c r="T30" s="30" t="s">
        <v>814</v>
      </c>
      <c r="U30" s="30" t="s">
        <v>8720</v>
      </c>
      <c r="V30" s="6" t="s">
        <v>8741</v>
      </c>
      <c r="W30" s="6" t="s">
        <v>814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5535</v>
      </c>
      <c r="B31" s="6" t="s">
        <v>8742</v>
      </c>
      <c r="C31" s="256" t="n">
        <v>50</v>
      </c>
      <c r="D31" s="254"/>
      <c r="E31" s="254"/>
      <c r="F31" s="30" t="s">
        <v>530</v>
      </c>
      <c r="G31" s="254" t="s">
        <v>8743</v>
      </c>
      <c r="H31" s="30" t="s">
        <v>208</v>
      </c>
      <c r="I31" s="30" t="s">
        <v>8715</v>
      </c>
      <c r="J31" s="20" t="s">
        <v>8716</v>
      </c>
      <c r="K31" s="254" t="n">
        <v>1</v>
      </c>
      <c r="L31" s="254" t="s">
        <v>8580</v>
      </c>
      <c r="M31" s="6" t="s">
        <v>8717</v>
      </c>
      <c r="N31" s="254" t="s">
        <v>8582</v>
      </c>
      <c r="O31" s="30" t="s">
        <v>8583</v>
      </c>
      <c r="P31" s="30" t="s">
        <v>814</v>
      </c>
      <c r="Q31" s="30" t="s">
        <v>8744</v>
      </c>
      <c r="R31" s="30" t="s">
        <v>814</v>
      </c>
      <c r="S31" s="30" t="s">
        <v>7535</v>
      </c>
      <c r="T31" s="30" t="s">
        <v>814</v>
      </c>
      <c r="U31" s="30" t="s">
        <v>8720</v>
      </c>
      <c r="V31" s="6" t="s">
        <v>8745</v>
      </c>
      <c r="W31" s="6" t="s">
        <v>8746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5520</v>
      </c>
      <c r="B32" s="6" t="s">
        <v>8747</v>
      </c>
      <c r="C32" s="256" t="n">
        <v>35</v>
      </c>
      <c r="D32" s="254"/>
      <c r="E32" s="254"/>
      <c r="F32" s="30" t="s">
        <v>530</v>
      </c>
      <c r="G32" s="30" t="s">
        <v>8714</v>
      </c>
      <c r="H32" s="30" t="s">
        <v>208</v>
      </c>
      <c r="I32" s="30" t="s">
        <v>8715</v>
      </c>
      <c r="J32" s="20" t="s">
        <v>8716</v>
      </c>
      <c r="K32" s="254" t="n">
        <v>1</v>
      </c>
      <c r="L32" s="254" t="s">
        <v>8580</v>
      </c>
      <c r="M32" s="6" t="s">
        <v>8717</v>
      </c>
      <c r="N32" s="254" t="s">
        <v>8582</v>
      </c>
      <c r="O32" s="30" t="s">
        <v>8583</v>
      </c>
      <c r="P32" s="30" t="s">
        <v>814</v>
      </c>
      <c r="Q32" s="30" t="s">
        <v>8748</v>
      </c>
      <c r="R32" s="30" t="s">
        <v>814</v>
      </c>
      <c r="S32" s="30" t="s">
        <v>7535</v>
      </c>
      <c r="T32" s="30" t="s">
        <v>814</v>
      </c>
      <c r="U32" s="30" t="s">
        <v>8720</v>
      </c>
      <c r="V32" s="6" t="s">
        <v>8749</v>
      </c>
      <c r="W32" s="20" t="s">
        <v>8750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5550</v>
      </c>
      <c r="B33" s="6" t="s">
        <v>8751</v>
      </c>
      <c r="C33" s="256" t="n">
        <v>288</v>
      </c>
      <c r="D33" s="254"/>
      <c r="E33" s="254"/>
      <c r="F33" s="30" t="s">
        <v>926</v>
      </c>
      <c r="G33" s="30" t="s">
        <v>814</v>
      </c>
      <c r="H33" s="30" t="s">
        <v>208</v>
      </c>
      <c r="I33" s="30" t="s">
        <v>8715</v>
      </c>
      <c r="J33" s="20" t="s">
        <v>8716</v>
      </c>
      <c r="K33" s="254" t="n">
        <v>3</v>
      </c>
      <c r="L33" s="254" t="s">
        <v>8580</v>
      </c>
      <c r="M33" s="6" t="s">
        <v>8717</v>
      </c>
      <c r="N33" s="254" t="s">
        <v>8718</v>
      </c>
      <c r="O33" s="30" t="s">
        <v>8583</v>
      </c>
      <c r="P33" s="30" t="s">
        <v>814</v>
      </c>
      <c r="Q33" s="30" t="s">
        <v>8719</v>
      </c>
      <c r="R33" s="30" t="s">
        <v>814</v>
      </c>
      <c r="S33" s="30" t="s">
        <v>814</v>
      </c>
      <c r="T33" s="30" t="s">
        <v>814</v>
      </c>
      <c r="U33" s="30" t="s">
        <v>8720</v>
      </c>
      <c r="V33" s="6" t="s">
        <v>8752</v>
      </c>
      <c r="W33" s="6" t="s">
        <v>814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5562</v>
      </c>
      <c r="B34" s="6" t="s">
        <v>8753</v>
      </c>
      <c r="C34" s="256" t="n">
        <v>22</v>
      </c>
      <c r="D34" s="254"/>
      <c r="E34" s="254"/>
      <c r="F34" s="30" t="s">
        <v>406</v>
      </c>
      <c r="G34" s="30" t="s">
        <v>8754</v>
      </c>
      <c r="H34" s="30" t="s">
        <v>208</v>
      </c>
      <c r="I34" s="30" t="s">
        <v>8715</v>
      </c>
      <c r="J34" s="20" t="s">
        <v>8716</v>
      </c>
      <c r="K34" s="254" t="n">
        <v>3</v>
      </c>
      <c r="L34" s="254" t="s">
        <v>8580</v>
      </c>
      <c r="M34" s="6" t="s">
        <v>8717</v>
      </c>
      <c r="N34" s="254" t="s">
        <v>8718</v>
      </c>
      <c r="O34" s="30" t="s">
        <v>8583</v>
      </c>
      <c r="P34" s="30" t="s">
        <v>814</v>
      </c>
      <c r="Q34" s="30" t="s">
        <v>8719</v>
      </c>
      <c r="R34" s="30" t="s">
        <v>814</v>
      </c>
      <c r="S34" s="30" t="s">
        <v>814</v>
      </c>
      <c r="T34" s="30" t="s">
        <v>814</v>
      </c>
      <c r="U34" s="30" t="s">
        <v>8720</v>
      </c>
      <c r="V34" s="6" t="s">
        <v>8755</v>
      </c>
      <c r="W34" s="6" t="s">
        <v>814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8756</v>
      </c>
      <c r="B35" s="6" t="s">
        <v>8757</v>
      </c>
      <c r="C35" s="256" t="n">
        <v>15000</v>
      </c>
      <c r="D35" s="254"/>
      <c r="E35" s="254"/>
      <c r="F35" s="30" t="s">
        <v>8758</v>
      </c>
      <c r="G35" s="30" t="s">
        <v>8759</v>
      </c>
      <c r="H35" s="30" t="s">
        <v>8669</v>
      </c>
      <c r="I35" s="30" t="s">
        <v>8715</v>
      </c>
      <c r="J35" s="20" t="s">
        <v>8716</v>
      </c>
      <c r="K35" s="254" t="n">
        <v>3</v>
      </c>
      <c r="L35" s="254" t="s">
        <v>8580</v>
      </c>
      <c r="M35" s="6" t="s">
        <v>8717</v>
      </c>
      <c r="N35" s="254" t="s">
        <v>8718</v>
      </c>
      <c r="O35" s="30" t="s">
        <v>8583</v>
      </c>
      <c r="P35" s="30" t="s">
        <v>814</v>
      </c>
      <c r="Q35" s="30" t="s">
        <v>8719</v>
      </c>
      <c r="R35" s="30" t="s">
        <v>814</v>
      </c>
      <c r="S35" s="30" t="s">
        <v>814</v>
      </c>
      <c r="T35" s="30" t="s">
        <v>814</v>
      </c>
      <c r="U35" s="30" t="s">
        <v>8720</v>
      </c>
      <c r="V35" s="6" t="s">
        <v>8760</v>
      </c>
      <c r="W35" s="6" t="s">
        <v>8761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5644</v>
      </c>
      <c r="B36" s="6" t="s">
        <v>8762</v>
      </c>
      <c r="C36" s="256" t="n">
        <v>3.9</v>
      </c>
      <c r="D36" s="254"/>
      <c r="E36" s="254"/>
      <c r="F36" s="30" t="s">
        <v>8763</v>
      </c>
      <c r="G36" s="254" t="s">
        <v>8764</v>
      </c>
      <c r="H36" s="30" t="s">
        <v>8765</v>
      </c>
      <c r="I36" s="30" t="s">
        <v>814</v>
      </c>
      <c r="J36" s="20" t="s">
        <v>8766</v>
      </c>
      <c r="K36" s="254" t="n">
        <v>3</v>
      </c>
      <c r="L36" s="254" t="s">
        <v>8687</v>
      </c>
      <c r="M36" s="20" t="s">
        <v>8767</v>
      </c>
      <c r="N36" s="30" t="s">
        <v>814</v>
      </c>
      <c r="O36" s="30" t="s">
        <v>8583</v>
      </c>
      <c r="P36" s="30" t="s">
        <v>814</v>
      </c>
      <c r="Q36" s="30" t="s">
        <v>8768</v>
      </c>
      <c r="R36" s="30" t="s">
        <v>814</v>
      </c>
      <c r="S36" s="30" t="s">
        <v>814</v>
      </c>
      <c r="T36" s="30" t="s">
        <v>814</v>
      </c>
      <c r="U36" s="30" t="s">
        <v>8769</v>
      </c>
      <c r="V36" s="6" t="s">
        <v>8770</v>
      </c>
      <c r="W36" s="6" t="s">
        <v>8771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5648</v>
      </c>
      <c r="B37" s="6" t="s">
        <v>8772</v>
      </c>
      <c r="C37" s="256" t="n">
        <v>3</v>
      </c>
      <c r="D37" s="254"/>
      <c r="E37" s="254"/>
      <c r="F37" s="30" t="s">
        <v>8763</v>
      </c>
      <c r="G37" s="254" t="s">
        <v>8764</v>
      </c>
      <c r="H37" s="30" t="s">
        <v>8773</v>
      </c>
      <c r="I37" s="30" t="s">
        <v>814</v>
      </c>
      <c r="J37" s="20" t="s">
        <v>8766</v>
      </c>
      <c r="K37" s="254" t="n">
        <v>3</v>
      </c>
      <c r="L37" s="254" t="s">
        <v>8687</v>
      </c>
      <c r="M37" s="20" t="s">
        <v>8767</v>
      </c>
      <c r="N37" s="30" t="s">
        <v>814</v>
      </c>
      <c r="O37" s="30" t="s">
        <v>8583</v>
      </c>
      <c r="P37" s="30" t="s">
        <v>814</v>
      </c>
      <c r="Q37" s="30" t="s">
        <v>8768</v>
      </c>
      <c r="R37" s="30" t="s">
        <v>814</v>
      </c>
      <c r="S37" s="30" t="s">
        <v>814</v>
      </c>
      <c r="T37" s="30" t="s">
        <v>814</v>
      </c>
      <c r="U37" s="30" t="s">
        <v>8769</v>
      </c>
      <c r="V37" s="6" t="s">
        <v>8774</v>
      </c>
      <c r="W37" s="6" t="s">
        <v>8775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5651</v>
      </c>
      <c r="B38" s="6" t="s">
        <v>8776</v>
      </c>
      <c r="C38" s="256" t="n">
        <v>2.5</v>
      </c>
      <c r="D38" s="254"/>
      <c r="E38" s="254"/>
      <c r="F38" s="30" t="s">
        <v>8763</v>
      </c>
      <c r="G38" s="254" t="s">
        <v>8764</v>
      </c>
      <c r="H38" s="30" t="s">
        <v>8777</v>
      </c>
      <c r="I38" s="30" t="s">
        <v>814</v>
      </c>
      <c r="J38" s="20" t="s">
        <v>8766</v>
      </c>
      <c r="K38" s="254" t="n">
        <v>3</v>
      </c>
      <c r="L38" s="254" t="s">
        <v>8687</v>
      </c>
      <c r="M38" s="20" t="s">
        <v>8767</v>
      </c>
      <c r="N38" s="30" t="s">
        <v>814</v>
      </c>
      <c r="O38" s="30" t="s">
        <v>8583</v>
      </c>
      <c r="P38" s="30" t="s">
        <v>814</v>
      </c>
      <c r="Q38" s="30" t="s">
        <v>8768</v>
      </c>
      <c r="R38" s="30" t="s">
        <v>814</v>
      </c>
      <c r="S38" s="30" t="s">
        <v>814</v>
      </c>
      <c r="T38" s="30" t="s">
        <v>814</v>
      </c>
      <c r="U38" s="30" t="s">
        <v>8769</v>
      </c>
      <c r="V38" s="6" t="s">
        <v>8778</v>
      </c>
      <c r="W38" s="6" t="s">
        <v>8779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6138</v>
      </c>
      <c r="B39" s="6" t="s">
        <v>8780</v>
      </c>
      <c r="C39" s="254"/>
      <c r="D39" s="256" t="n">
        <v>1</v>
      </c>
      <c r="E39" s="256" t="n">
        <v>2</v>
      </c>
      <c r="F39" s="30" t="s">
        <v>8763</v>
      </c>
      <c r="G39" s="254" t="s">
        <v>8764</v>
      </c>
      <c r="H39" s="30" t="s">
        <v>814</v>
      </c>
      <c r="I39" s="30" t="s">
        <v>814</v>
      </c>
      <c r="J39" s="20" t="s">
        <v>8766</v>
      </c>
      <c r="K39" s="254" t="n">
        <v>3</v>
      </c>
      <c r="L39" s="254" t="s">
        <v>8687</v>
      </c>
      <c r="M39" s="20" t="s">
        <v>8767</v>
      </c>
      <c r="N39" s="30" t="s">
        <v>814</v>
      </c>
      <c r="O39" s="30" t="s">
        <v>8583</v>
      </c>
      <c r="P39" s="30" t="s">
        <v>814</v>
      </c>
      <c r="Q39" s="30" t="s">
        <v>8768</v>
      </c>
      <c r="R39" s="30" t="s">
        <v>814</v>
      </c>
      <c r="S39" s="30" t="s">
        <v>814</v>
      </c>
      <c r="T39" s="30" t="s">
        <v>814</v>
      </c>
      <c r="U39" s="30" t="s">
        <v>8769</v>
      </c>
      <c r="V39" s="6" t="s">
        <v>814</v>
      </c>
      <c r="W39" s="6" t="s">
        <v>814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8781</v>
      </c>
      <c r="B40" s="6" t="s">
        <v>8782</v>
      </c>
      <c r="C40" s="256" t="n">
        <v>3600</v>
      </c>
      <c r="D40" s="254"/>
      <c r="E40" s="254"/>
      <c r="F40" s="30" t="s">
        <v>8758</v>
      </c>
      <c r="G40" s="30" t="s">
        <v>8783</v>
      </c>
      <c r="H40" s="30" t="s">
        <v>208</v>
      </c>
      <c r="I40" s="30" t="s">
        <v>8590</v>
      </c>
      <c r="J40" s="6" t="s">
        <v>8784</v>
      </c>
      <c r="K40" s="254" t="n">
        <v>2</v>
      </c>
      <c r="L40" s="254" t="s">
        <v>8580</v>
      </c>
      <c r="M40" s="6" t="s">
        <v>8785</v>
      </c>
      <c r="N40" s="254" t="s">
        <v>8786</v>
      </c>
      <c r="O40" s="30" t="s">
        <v>8583</v>
      </c>
      <c r="P40" s="30" t="s">
        <v>814</v>
      </c>
      <c r="Q40" s="30" t="s">
        <v>8787</v>
      </c>
      <c r="R40" s="30" t="s">
        <v>814</v>
      </c>
      <c r="S40" s="30" t="s">
        <v>814</v>
      </c>
      <c r="T40" s="30" t="s">
        <v>814</v>
      </c>
      <c r="U40" s="30" t="s">
        <v>8788</v>
      </c>
      <c r="V40" s="6" t="s">
        <v>8789</v>
      </c>
      <c r="W40" s="6" t="s">
        <v>8790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5682</v>
      </c>
      <c r="B41" s="6" t="s">
        <v>8791</v>
      </c>
      <c r="C41" s="256" t="n">
        <v>2520</v>
      </c>
      <c r="D41" s="254"/>
      <c r="E41" s="254"/>
      <c r="F41" s="30" t="s">
        <v>8758</v>
      </c>
      <c r="G41" s="30" t="s">
        <v>8783</v>
      </c>
      <c r="H41" s="30" t="s">
        <v>208</v>
      </c>
      <c r="I41" s="30" t="s">
        <v>8590</v>
      </c>
      <c r="J41" s="6" t="s">
        <v>8784</v>
      </c>
      <c r="K41" s="254" t="n">
        <v>2</v>
      </c>
      <c r="L41" s="254" t="s">
        <v>8580</v>
      </c>
      <c r="M41" s="6" t="s">
        <v>8785</v>
      </c>
      <c r="N41" s="254" t="s">
        <v>8786</v>
      </c>
      <c r="O41" s="30" t="s">
        <v>8583</v>
      </c>
      <c r="P41" s="30" t="s">
        <v>814</v>
      </c>
      <c r="Q41" s="30" t="s">
        <v>8787</v>
      </c>
      <c r="R41" s="30" t="s">
        <v>814</v>
      </c>
      <c r="S41" s="30" t="s">
        <v>814</v>
      </c>
      <c r="T41" s="30" t="s">
        <v>814</v>
      </c>
      <c r="U41" s="30" t="s">
        <v>8788</v>
      </c>
      <c r="V41" s="6" t="s">
        <v>8792</v>
      </c>
      <c r="W41" s="6" t="s">
        <v>8793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5674</v>
      </c>
      <c r="B42" s="6" t="s">
        <v>8794</v>
      </c>
      <c r="C42" s="256" t="n">
        <v>1260</v>
      </c>
      <c r="D42" s="254"/>
      <c r="E42" s="254"/>
      <c r="F42" s="30" t="s">
        <v>8758</v>
      </c>
      <c r="G42" s="30" t="s">
        <v>8783</v>
      </c>
      <c r="H42" s="30" t="s">
        <v>208</v>
      </c>
      <c r="I42" s="30" t="s">
        <v>8590</v>
      </c>
      <c r="J42" s="6" t="s">
        <v>8784</v>
      </c>
      <c r="K42" s="254" t="n">
        <v>2</v>
      </c>
      <c r="L42" s="254" t="s">
        <v>8580</v>
      </c>
      <c r="M42" s="6" t="s">
        <v>8785</v>
      </c>
      <c r="N42" s="254" t="s">
        <v>8786</v>
      </c>
      <c r="O42" s="30" t="s">
        <v>8583</v>
      </c>
      <c r="P42" s="30" t="s">
        <v>814</v>
      </c>
      <c r="Q42" s="30" t="s">
        <v>8787</v>
      </c>
      <c r="R42" s="30" t="s">
        <v>814</v>
      </c>
      <c r="S42" s="30" t="s">
        <v>814</v>
      </c>
      <c r="T42" s="30" t="s">
        <v>814</v>
      </c>
      <c r="U42" s="30" t="s">
        <v>8788</v>
      </c>
      <c r="V42" s="6" t="s">
        <v>8795</v>
      </c>
      <c r="W42" s="6" t="s">
        <v>8796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5663</v>
      </c>
      <c r="B43" s="6" t="s">
        <v>8797</v>
      </c>
      <c r="C43" s="256" t="n">
        <v>288</v>
      </c>
      <c r="D43" s="254"/>
      <c r="E43" s="254"/>
      <c r="F43" s="30" t="s">
        <v>8758</v>
      </c>
      <c r="G43" s="30" t="s">
        <v>8783</v>
      </c>
      <c r="H43" s="30" t="s">
        <v>208</v>
      </c>
      <c r="I43" s="30" t="s">
        <v>8590</v>
      </c>
      <c r="J43" s="6" t="s">
        <v>8784</v>
      </c>
      <c r="K43" s="254" t="n">
        <v>2</v>
      </c>
      <c r="L43" s="254" t="s">
        <v>8580</v>
      </c>
      <c r="M43" s="6" t="s">
        <v>8785</v>
      </c>
      <c r="N43" s="254" t="s">
        <v>8786</v>
      </c>
      <c r="O43" s="30" t="s">
        <v>8583</v>
      </c>
      <c r="P43" s="30" t="s">
        <v>814</v>
      </c>
      <c r="Q43" s="30" t="s">
        <v>8787</v>
      </c>
      <c r="R43" s="30" t="s">
        <v>814</v>
      </c>
      <c r="S43" s="30" t="s">
        <v>814</v>
      </c>
      <c r="T43" s="30" t="s">
        <v>814</v>
      </c>
      <c r="U43" s="30" t="s">
        <v>8788</v>
      </c>
      <c r="V43" s="6" t="s">
        <v>8798</v>
      </c>
      <c r="W43" s="6" t="s">
        <v>8799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5514</v>
      </c>
      <c r="B44" s="6" t="s">
        <v>8800</v>
      </c>
      <c r="C44" s="256" t="n">
        <v>1.979</v>
      </c>
      <c r="D44" s="254"/>
      <c r="E44" s="254"/>
      <c r="F44" s="30" t="s">
        <v>530</v>
      </c>
      <c r="G44" s="30" t="s">
        <v>8714</v>
      </c>
      <c r="H44" s="30" t="s">
        <v>205</v>
      </c>
      <c r="I44" s="30" t="s">
        <v>7305</v>
      </c>
      <c r="J44" s="6" t="s">
        <v>8801</v>
      </c>
      <c r="K44" s="254" t="n">
        <v>1</v>
      </c>
      <c r="L44" s="254" t="s">
        <v>8580</v>
      </c>
      <c r="M44" s="6" t="s">
        <v>8802</v>
      </c>
      <c r="N44" s="254" t="s">
        <v>8582</v>
      </c>
      <c r="O44" s="30" t="s">
        <v>8583</v>
      </c>
      <c r="P44" s="30" t="s">
        <v>814</v>
      </c>
      <c r="Q44" s="30" t="s">
        <v>8803</v>
      </c>
      <c r="R44" s="30" t="s">
        <v>814</v>
      </c>
      <c r="S44" s="30" t="s">
        <v>7535</v>
      </c>
      <c r="T44" s="30" t="s">
        <v>814</v>
      </c>
      <c r="U44" s="30" t="s">
        <v>8804</v>
      </c>
      <c r="V44" s="6" t="s">
        <v>8805</v>
      </c>
      <c r="W44" s="20" t="s">
        <v>8806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5543</v>
      </c>
      <c r="B45" s="6" t="s">
        <v>8807</v>
      </c>
      <c r="C45" s="256" t="n">
        <v>13.4</v>
      </c>
      <c r="D45" s="254"/>
      <c r="E45" s="254"/>
      <c r="F45" s="30" t="s">
        <v>8808</v>
      </c>
      <c r="G45" s="30" t="s">
        <v>8783</v>
      </c>
      <c r="H45" s="30" t="s">
        <v>206</v>
      </c>
      <c r="I45" s="30" t="s">
        <v>814</v>
      </c>
      <c r="J45" s="6" t="s">
        <v>8809</v>
      </c>
      <c r="K45" s="254" t="n">
        <v>3</v>
      </c>
      <c r="L45" s="254" t="s">
        <v>8580</v>
      </c>
      <c r="M45" s="6" t="s">
        <v>8810</v>
      </c>
      <c r="N45" s="254" t="s">
        <v>8718</v>
      </c>
      <c r="O45" s="30" t="s">
        <v>8583</v>
      </c>
      <c r="P45" s="30" t="s">
        <v>814</v>
      </c>
      <c r="Q45" s="30" t="s">
        <v>8811</v>
      </c>
      <c r="R45" s="30" t="s">
        <v>814</v>
      </c>
      <c r="S45" s="30" t="s">
        <v>814</v>
      </c>
      <c r="T45" s="30" t="s">
        <v>814</v>
      </c>
      <c r="U45" s="30" t="s">
        <v>8812</v>
      </c>
      <c r="V45" s="6" t="s">
        <v>8813</v>
      </c>
      <c r="W45" s="6" t="s">
        <v>8814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5658</v>
      </c>
      <c r="B46" s="6" t="s">
        <v>8815</v>
      </c>
      <c r="C46" s="256" t="n">
        <v>2.5</v>
      </c>
      <c r="D46" s="254"/>
      <c r="E46" s="254"/>
      <c r="F46" s="30" t="s">
        <v>530</v>
      </c>
      <c r="G46" s="30" t="s">
        <v>8714</v>
      </c>
      <c r="H46" s="30" t="s">
        <v>8816</v>
      </c>
      <c r="I46" s="30" t="s">
        <v>814</v>
      </c>
      <c r="J46" s="6" t="s">
        <v>8809</v>
      </c>
      <c r="K46" s="254" t="n">
        <v>3</v>
      </c>
      <c r="L46" s="254" t="s">
        <v>8580</v>
      </c>
      <c r="M46" s="6" t="s">
        <v>8810</v>
      </c>
      <c r="N46" s="254" t="s">
        <v>8718</v>
      </c>
      <c r="O46" s="30" t="s">
        <v>8583</v>
      </c>
      <c r="P46" s="30" t="s">
        <v>814</v>
      </c>
      <c r="Q46" s="30" t="s">
        <v>8811</v>
      </c>
      <c r="R46" s="30" t="s">
        <v>814</v>
      </c>
      <c r="S46" s="30" t="s">
        <v>814</v>
      </c>
      <c r="T46" s="30" t="s">
        <v>814</v>
      </c>
      <c r="U46" s="30" t="s">
        <v>8812</v>
      </c>
      <c r="V46" s="6" t="s">
        <v>8817</v>
      </c>
      <c r="W46" s="6" t="s">
        <v>814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5669</v>
      </c>
      <c r="B47" s="6" t="s">
        <v>8818</v>
      </c>
      <c r="C47" s="256" t="n">
        <v>5</v>
      </c>
      <c r="D47" s="254"/>
      <c r="E47" s="254"/>
      <c r="F47" s="30" t="s">
        <v>530</v>
      </c>
      <c r="G47" s="30" t="s">
        <v>8819</v>
      </c>
      <c r="H47" s="30" t="s">
        <v>8816</v>
      </c>
      <c r="I47" s="30" t="s">
        <v>814</v>
      </c>
      <c r="J47" s="6" t="s">
        <v>8809</v>
      </c>
      <c r="K47" s="254" t="n">
        <v>1</v>
      </c>
      <c r="L47" s="254" t="s">
        <v>8580</v>
      </c>
      <c r="M47" s="6" t="s">
        <v>8810</v>
      </c>
      <c r="N47" s="254" t="s">
        <v>8582</v>
      </c>
      <c r="O47" s="30" t="s">
        <v>8583</v>
      </c>
      <c r="P47" s="30" t="s">
        <v>814</v>
      </c>
      <c r="Q47" s="30" t="s">
        <v>8820</v>
      </c>
      <c r="R47" s="30" t="s">
        <v>814</v>
      </c>
      <c r="S47" s="30" t="s">
        <v>7535</v>
      </c>
      <c r="T47" s="30" t="s">
        <v>814</v>
      </c>
      <c r="U47" s="30" t="s">
        <v>8812</v>
      </c>
      <c r="V47" s="6" t="s">
        <v>8821</v>
      </c>
      <c r="W47" s="6" t="s">
        <v>8822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5564</v>
      </c>
      <c r="B48" s="6" t="s">
        <v>8823</v>
      </c>
      <c r="C48" s="256" t="n">
        <v>4600</v>
      </c>
      <c r="D48" s="254"/>
      <c r="E48" s="254"/>
      <c r="F48" s="30" t="s">
        <v>8824</v>
      </c>
      <c r="G48" s="30" t="s">
        <v>8759</v>
      </c>
      <c r="H48" s="30" t="s">
        <v>8669</v>
      </c>
      <c r="I48" s="30" t="s">
        <v>814</v>
      </c>
      <c r="J48" s="6" t="s">
        <v>8809</v>
      </c>
      <c r="K48" s="254" t="n">
        <v>3</v>
      </c>
      <c r="L48" s="254" t="s">
        <v>8580</v>
      </c>
      <c r="M48" s="6" t="s">
        <v>8810</v>
      </c>
      <c r="N48" s="254" t="s">
        <v>8718</v>
      </c>
      <c r="O48" s="30" t="s">
        <v>8583</v>
      </c>
      <c r="P48" s="30" t="s">
        <v>814</v>
      </c>
      <c r="Q48" s="30" t="s">
        <v>8811</v>
      </c>
      <c r="R48" s="30" t="s">
        <v>814</v>
      </c>
      <c r="S48" s="30" t="s">
        <v>814</v>
      </c>
      <c r="T48" s="30" t="s">
        <v>814</v>
      </c>
      <c r="U48" s="30" t="s">
        <v>8812</v>
      </c>
      <c r="V48" s="6" t="s">
        <v>8825</v>
      </c>
      <c r="W48" s="6" t="s">
        <v>8826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8827</v>
      </c>
      <c r="B49" s="6" t="s">
        <v>8828</v>
      </c>
      <c r="C49" s="256" t="n">
        <v>5000</v>
      </c>
      <c r="D49" s="254"/>
      <c r="E49" s="254"/>
      <c r="F49" s="30" t="s">
        <v>8758</v>
      </c>
      <c r="G49" s="30" t="s">
        <v>8759</v>
      </c>
      <c r="H49" s="30" t="s">
        <v>8669</v>
      </c>
      <c r="I49" s="30" t="s">
        <v>814</v>
      </c>
      <c r="J49" s="6" t="s">
        <v>8809</v>
      </c>
      <c r="K49" s="254" t="n">
        <v>3</v>
      </c>
      <c r="L49" s="254" t="s">
        <v>8580</v>
      </c>
      <c r="M49" s="6" t="s">
        <v>8810</v>
      </c>
      <c r="N49" s="254" t="s">
        <v>8718</v>
      </c>
      <c r="O49" s="30" t="s">
        <v>8670</v>
      </c>
      <c r="P49" s="30" t="s">
        <v>8671</v>
      </c>
      <c r="Q49" s="30" t="s">
        <v>8811</v>
      </c>
      <c r="R49" s="30" t="s">
        <v>814</v>
      </c>
      <c r="S49" s="30" t="s">
        <v>814</v>
      </c>
      <c r="T49" s="30" t="s">
        <v>814</v>
      </c>
      <c r="U49" s="30" t="s">
        <v>8812</v>
      </c>
      <c r="V49" s="6" t="s">
        <v>8829</v>
      </c>
      <c r="W49" s="6" t="s">
        <v>8830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5640</v>
      </c>
      <c r="B50" s="6" t="s">
        <v>8831</v>
      </c>
      <c r="C50" s="256" t="n">
        <v>1.8</v>
      </c>
      <c r="D50" s="254"/>
      <c r="E50" s="254"/>
      <c r="F50" s="30" t="s">
        <v>8832</v>
      </c>
      <c r="G50" s="254" t="s">
        <v>8668</v>
      </c>
      <c r="H50" s="30" t="s">
        <v>2869</v>
      </c>
      <c r="I50" s="30" t="s">
        <v>814</v>
      </c>
      <c r="J50" s="6" t="s">
        <v>8809</v>
      </c>
      <c r="K50" s="254" t="n">
        <v>3</v>
      </c>
      <c r="L50" s="254" t="s">
        <v>8580</v>
      </c>
      <c r="M50" s="6" t="s">
        <v>8810</v>
      </c>
      <c r="N50" s="254" t="s">
        <v>8718</v>
      </c>
      <c r="O50" s="30" t="s">
        <v>8583</v>
      </c>
      <c r="P50" s="30" t="s">
        <v>814</v>
      </c>
      <c r="Q50" s="30" t="s">
        <v>8811</v>
      </c>
      <c r="R50" s="30" t="s">
        <v>814</v>
      </c>
      <c r="S50" s="30" t="s">
        <v>814</v>
      </c>
      <c r="T50" s="30" t="s">
        <v>814</v>
      </c>
      <c r="U50" s="30" t="s">
        <v>8812</v>
      </c>
      <c r="V50" s="6" t="s">
        <v>8833</v>
      </c>
      <c r="W50" s="20" t="s">
        <v>8834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5420</v>
      </c>
      <c r="B51" s="6" t="s">
        <v>8835</v>
      </c>
      <c r="C51" s="256" t="n">
        <v>72</v>
      </c>
      <c r="D51" s="254"/>
      <c r="E51" s="254"/>
      <c r="F51" s="30" t="s">
        <v>730</v>
      </c>
      <c r="G51" s="30" t="s">
        <v>8836</v>
      </c>
      <c r="H51" s="30" t="s">
        <v>8837</v>
      </c>
      <c r="I51" s="30" t="s">
        <v>814</v>
      </c>
      <c r="J51" s="6" t="s">
        <v>8809</v>
      </c>
      <c r="K51" s="254" t="n">
        <v>1</v>
      </c>
      <c r="L51" s="254" t="s">
        <v>8580</v>
      </c>
      <c r="M51" s="6" t="s">
        <v>8838</v>
      </c>
      <c r="N51" s="254" t="s">
        <v>8582</v>
      </c>
      <c r="O51" s="30" t="s">
        <v>8583</v>
      </c>
      <c r="P51" s="30" t="s">
        <v>814</v>
      </c>
      <c r="Q51" s="30" t="s">
        <v>8839</v>
      </c>
      <c r="R51" s="30" t="s">
        <v>814</v>
      </c>
      <c r="S51" s="30" t="s">
        <v>7535</v>
      </c>
      <c r="T51" s="30" t="s">
        <v>814</v>
      </c>
      <c r="U51" s="30" t="s">
        <v>8812</v>
      </c>
      <c r="V51" s="6" t="s">
        <v>8840</v>
      </c>
      <c r="W51" s="20" t="s">
        <v>8841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5571</v>
      </c>
      <c r="B52" s="6" t="s">
        <v>8842</v>
      </c>
      <c r="C52" s="256" t="n">
        <v>0.9</v>
      </c>
      <c r="D52" s="254"/>
      <c r="E52" s="254"/>
      <c r="F52" s="30" t="s">
        <v>406</v>
      </c>
      <c r="G52" s="254" t="s">
        <v>8843</v>
      </c>
      <c r="H52" s="30" t="s">
        <v>8816</v>
      </c>
      <c r="I52" s="30" t="s">
        <v>814</v>
      </c>
      <c r="J52" s="6" t="s">
        <v>8809</v>
      </c>
      <c r="K52" s="254" t="n">
        <v>3</v>
      </c>
      <c r="L52" s="254" t="s">
        <v>8580</v>
      </c>
      <c r="M52" s="6" t="s">
        <v>8810</v>
      </c>
      <c r="N52" s="254" t="s">
        <v>8718</v>
      </c>
      <c r="O52" s="30" t="s">
        <v>8583</v>
      </c>
      <c r="P52" s="30" t="s">
        <v>814</v>
      </c>
      <c r="Q52" s="30" t="s">
        <v>8811</v>
      </c>
      <c r="R52" s="30" t="s">
        <v>814</v>
      </c>
      <c r="S52" s="30" t="s">
        <v>814</v>
      </c>
      <c r="T52" s="30" t="s">
        <v>814</v>
      </c>
      <c r="U52" s="30" t="s">
        <v>8812</v>
      </c>
      <c r="V52" s="6" t="s">
        <v>8844</v>
      </c>
      <c r="W52" s="20" t="s">
        <v>8845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5575</v>
      </c>
      <c r="B53" s="6" t="s">
        <v>8846</v>
      </c>
      <c r="C53" s="256" t="n">
        <v>1.8</v>
      </c>
      <c r="D53" s="254"/>
      <c r="E53" s="254"/>
      <c r="F53" s="30" t="s">
        <v>406</v>
      </c>
      <c r="G53" s="254" t="s">
        <v>8843</v>
      </c>
      <c r="H53" s="30" t="s">
        <v>2869</v>
      </c>
      <c r="I53" s="30" t="s">
        <v>814</v>
      </c>
      <c r="J53" s="6" t="s">
        <v>8809</v>
      </c>
      <c r="K53" s="254" t="n">
        <v>3</v>
      </c>
      <c r="L53" s="254" t="s">
        <v>8580</v>
      </c>
      <c r="M53" s="6" t="s">
        <v>8810</v>
      </c>
      <c r="N53" s="254" t="s">
        <v>8718</v>
      </c>
      <c r="O53" s="30" t="s">
        <v>8583</v>
      </c>
      <c r="P53" s="30" t="s">
        <v>814</v>
      </c>
      <c r="Q53" s="30" t="s">
        <v>8811</v>
      </c>
      <c r="R53" s="30" t="s">
        <v>814</v>
      </c>
      <c r="S53" s="30" t="s">
        <v>814</v>
      </c>
      <c r="T53" s="30" t="s">
        <v>814</v>
      </c>
      <c r="U53" s="30" t="s">
        <v>8812</v>
      </c>
      <c r="V53" s="6" t="s">
        <v>8847</v>
      </c>
      <c r="W53" s="6" t="s">
        <v>814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5605</v>
      </c>
      <c r="B54" s="6" t="s">
        <v>8848</v>
      </c>
      <c r="C54" s="256" t="n">
        <v>0.5625</v>
      </c>
      <c r="D54" s="254"/>
      <c r="E54" s="254"/>
      <c r="F54" s="30" t="s">
        <v>8849</v>
      </c>
      <c r="G54" s="254" t="s">
        <v>8850</v>
      </c>
      <c r="H54" s="30" t="s">
        <v>252</v>
      </c>
      <c r="I54" s="30" t="s">
        <v>814</v>
      </c>
      <c r="J54" s="6" t="s">
        <v>8809</v>
      </c>
      <c r="K54" s="254" t="n">
        <v>3</v>
      </c>
      <c r="L54" s="254" t="s">
        <v>8580</v>
      </c>
      <c r="M54" s="6" t="s">
        <v>8810</v>
      </c>
      <c r="N54" s="254" t="s">
        <v>8718</v>
      </c>
      <c r="O54" s="30" t="s">
        <v>8583</v>
      </c>
      <c r="P54" s="30" t="s">
        <v>814</v>
      </c>
      <c r="Q54" s="30" t="s">
        <v>8811</v>
      </c>
      <c r="R54" s="30" t="s">
        <v>814</v>
      </c>
      <c r="S54" s="30" t="s">
        <v>814</v>
      </c>
      <c r="T54" s="30" t="s">
        <v>814</v>
      </c>
      <c r="U54" s="30" t="s">
        <v>8812</v>
      </c>
      <c r="V54" s="6" t="s">
        <v>8851</v>
      </c>
      <c r="W54" s="6" t="s">
        <v>814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8852</v>
      </c>
      <c r="B55" s="6" t="s">
        <v>8853</v>
      </c>
      <c r="C55" s="256" t="n">
        <v>3</v>
      </c>
      <c r="D55" s="254"/>
      <c r="E55" s="254"/>
      <c r="F55" s="30" t="s">
        <v>8618</v>
      </c>
      <c r="G55" s="254" t="s">
        <v>8668</v>
      </c>
      <c r="H55" s="30" t="s">
        <v>206</v>
      </c>
      <c r="I55" s="30" t="s">
        <v>814</v>
      </c>
      <c r="J55" s="20" t="s">
        <v>8854</v>
      </c>
      <c r="K55" s="254" t="n">
        <v>3</v>
      </c>
      <c r="L55" s="254" t="s">
        <v>8687</v>
      </c>
      <c r="M55" s="6" t="s">
        <v>8855</v>
      </c>
      <c r="N55" s="254" t="s">
        <v>8593</v>
      </c>
      <c r="O55" s="30" t="s">
        <v>8583</v>
      </c>
      <c r="P55" s="30" t="s">
        <v>814</v>
      </c>
      <c r="Q55" s="30" t="s">
        <v>8856</v>
      </c>
      <c r="R55" s="30" t="s">
        <v>814</v>
      </c>
      <c r="S55" s="30" t="s">
        <v>814</v>
      </c>
      <c r="T55" s="30" t="s">
        <v>814</v>
      </c>
      <c r="U55" s="30" t="s">
        <v>8857</v>
      </c>
      <c r="V55" s="6" t="s">
        <v>814</v>
      </c>
      <c r="W55" s="20" t="s">
        <v>8858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5471</v>
      </c>
      <c r="B56" s="6" t="s">
        <v>8859</v>
      </c>
      <c r="C56" s="256" t="n">
        <v>4</v>
      </c>
      <c r="D56" s="254"/>
      <c r="E56" s="254"/>
      <c r="F56" s="30" t="s">
        <v>8618</v>
      </c>
      <c r="G56" s="254" t="s">
        <v>8860</v>
      </c>
      <c r="H56" s="30" t="s">
        <v>207</v>
      </c>
      <c r="I56" s="30" t="s">
        <v>8861</v>
      </c>
      <c r="J56" s="20" t="s">
        <v>8862</v>
      </c>
      <c r="K56" s="254" t="n">
        <v>2</v>
      </c>
      <c r="L56" s="254" t="s">
        <v>8687</v>
      </c>
      <c r="M56" s="6" t="s">
        <v>8855</v>
      </c>
      <c r="N56" s="254" t="s">
        <v>8593</v>
      </c>
      <c r="O56" s="30" t="s">
        <v>8583</v>
      </c>
      <c r="P56" s="30" t="s">
        <v>814</v>
      </c>
      <c r="Q56" s="30" t="s">
        <v>8863</v>
      </c>
      <c r="R56" s="30" t="s">
        <v>814</v>
      </c>
      <c r="S56" s="30" t="s">
        <v>4685</v>
      </c>
      <c r="T56" s="30" t="s">
        <v>814</v>
      </c>
      <c r="U56" s="30" t="s">
        <v>8857</v>
      </c>
      <c r="V56" s="6" t="s">
        <v>8864</v>
      </c>
      <c r="W56" s="20" t="s">
        <v>8865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5580</v>
      </c>
      <c r="B57" s="6" t="s">
        <v>8866</v>
      </c>
      <c r="C57" s="256" t="n">
        <v>8</v>
      </c>
      <c r="D57" s="254"/>
      <c r="E57" s="254"/>
      <c r="F57" s="30" t="s">
        <v>730</v>
      </c>
      <c r="G57" s="30" t="s">
        <v>8867</v>
      </c>
      <c r="H57" s="30" t="s">
        <v>8868</v>
      </c>
      <c r="I57" s="30" t="s">
        <v>814</v>
      </c>
      <c r="J57" s="6" t="s">
        <v>8869</v>
      </c>
      <c r="K57" s="254" t="n">
        <v>1</v>
      </c>
      <c r="L57" s="254" t="s">
        <v>8580</v>
      </c>
      <c r="M57" s="6" t="s">
        <v>8581</v>
      </c>
      <c r="N57" s="254" t="s">
        <v>8582</v>
      </c>
      <c r="O57" s="30" t="s">
        <v>8583</v>
      </c>
      <c r="P57" s="30" t="s">
        <v>814</v>
      </c>
      <c r="Q57" s="30" t="s">
        <v>8870</v>
      </c>
      <c r="R57" s="30" t="s">
        <v>814</v>
      </c>
      <c r="S57" s="30" t="s">
        <v>7535</v>
      </c>
      <c r="T57" s="30" t="s">
        <v>814</v>
      </c>
      <c r="U57" s="30" t="s">
        <v>8871</v>
      </c>
      <c r="V57" s="6" t="s">
        <v>814</v>
      </c>
      <c r="W57" s="6" t="s">
        <v>8872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8873</v>
      </c>
      <c r="B58" s="6" t="s">
        <v>8874</v>
      </c>
      <c r="C58" s="256" t="n">
        <v>144</v>
      </c>
      <c r="D58" s="254"/>
      <c r="E58" s="254"/>
      <c r="F58" s="254" t="s">
        <v>8875</v>
      </c>
      <c r="G58" s="30" t="s">
        <v>8876</v>
      </c>
      <c r="H58" s="30" t="s">
        <v>8669</v>
      </c>
      <c r="I58" s="30" t="s">
        <v>814</v>
      </c>
      <c r="J58" s="6" t="s">
        <v>8869</v>
      </c>
      <c r="K58" s="254" t="n">
        <v>3</v>
      </c>
      <c r="L58" s="254" t="s">
        <v>8580</v>
      </c>
      <c r="M58" s="6" t="s">
        <v>8877</v>
      </c>
      <c r="N58" s="254" t="s">
        <v>8718</v>
      </c>
      <c r="O58" s="30" t="s">
        <v>8670</v>
      </c>
      <c r="P58" s="30" t="s">
        <v>8671</v>
      </c>
      <c r="Q58" s="30" t="s">
        <v>8878</v>
      </c>
      <c r="R58" s="30" t="s">
        <v>814</v>
      </c>
      <c r="S58" s="30" t="s">
        <v>814</v>
      </c>
      <c r="T58" s="30" t="s">
        <v>814</v>
      </c>
      <c r="U58" s="30" t="s">
        <v>8871</v>
      </c>
      <c r="V58" s="6" t="s">
        <v>814</v>
      </c>
      <c r="W58" s="6" t="s">
        <v>8879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5603</v>
      </c>
      <c r="B59" s="6" t="s">
        <v>8880</v>
      </c>
      <c r="C59" s="256" t="n">
        <v>1</v>
      </c>
      <c r="D59" s="254"/>
      <c r="E59" s="254"/>
      <c r="F59" s="30" t="s">
        <v>8849</v>
      </c>
      <c r="G59" s="254" t="s">
        <v>8850</v>
      </c>
      <c r="H59" s="30" t="s">
        <v>251</v>
      </c>
      <c r="I59" s="30" t="s">
        <v>814</v>
      </c>
      <c r="J59" s="6" t="s">
        <v>8869</v>
      </c>
      <c r="K59" s="254" t="n">
        <v>3</v>
      </c>
      <c r="L59" s="254" t="s">
        <v>8687</v>
      </c>
      <c r="M59" s="20" t="s">
        <v>8881</v>
      </c>
      <c r="N59" s="254" t="s">
        <v>8718</v>
      </c>
      <c r="O59" s="30" t="s">
        <v>8583</v>
      </c>
      <c r="P59" s="30" t="s">
        <v>814</v>
      </c>
      <c r="Q59" s="30" t="s">
        <v>8878</v>
      </c>
      <c r="R59" s="30" t="s">
        <v>814</v>
      </c>
      <c r="S59" s="30" t="s">
        <v>814</v>
      </c>
      <c r="T59" s="30" t="s">
        <v>814</v>
      </c>
      <c r="U59" s="30" t="s">
        <v>8871</v>
      </c>
      <c r="V59" s="6" t="s">
        <v>814</v>
      </c>
      <c r="W59" s="6" t="s">
        <v>8882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5634</v>
      </c>
      <c r="B60" s="6" t="s">
        <v>8883</v>
      </c>
      <c r="C60" s="256" t="n">
        <v>700</v>
      </c>
      <c r="D60" s="254"/>
      <c r="E60" s="254"/>
      <c r="F60" s="30" t="s">
        <v>8884</v>
      </c>
      <c r="G60" s="30" t="s">
        <v>8885</v>
      </c>
      <c r="H60" s="30" t="s">
        <v>205</v>
      </c>
      <c r="I60" s="30" t="s">
        <v>814</v>
      </c>
      <c r="J60" s="6" t="s">
        <v>8869</v>
      </c>
      <c r="K60" s="254" t="n">
        <v>3</v>
      </c>
      <c r="L60" s="254" t="s">
        <v>8580</v>
      </c>
      <c r="M60" s="6" t="s">
        <v>8581</v>
      </c>
      <c r="N60" s="254" t="s">
        <v>8718</v>
      </c>
      <c r="O60" s="30" t="s">
        <v>8583</v>
      </c>
      <c r="P60" s="30" t="s">
        <v>814</v>
      </c>
      <c r="Q60" s="30" t="s">
        <v>8878</v>
      </c>
      <c r="R60" s="30" t="s">
        <v>814</v>
      </c>
      <c r="S60" s="30" t="s">
        <v>814</v>
      </c>
      <c r="T60" s="30" t="s">
        <v>814</v>
      </c>
      <c r="U60" s="30" t="s">
        <v>8871</v>
      </c>
      <c r="V60" s="6" t="s">
        <v>814</v>
      </c>
      <c r="W60" s="6" t="s">
        <v>8882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5636</v>
      </c>
      <c r="B61" s="6" t="s">
        <v>8886</v>
      </c>
      <c r="C61" s="256" t="n">
        <v>1200</v>
      </c>
      <c r="D61" s="254"/>
      <c r="E61" s="254"/>
      <c r="F61" s="30" t="s">
        <v>8884</v>
      </c>
      <c r="G61" s="254" t="s">
        <v>8887</v>
      </c>
      <c r="H61" s="30" t="s">
        <v>206</v>
      </c>
      <c r="I61" s="30" t="s">
        <v>814</v>
      </c>
      <c r="J61" s="6" t="s">
        <v>8869</v>
      </c>
      <c r="K61" s="254" t="n">
        <v>3</v>
      </c>
      <c r="L61" s="254" t="s">
        <v>8580</v>
      </c>
      <c r="M61" s="6" t="s">
        <v>8581</v>
      </c>
      <c r="N61" s="254" t="s">
        <v>8718</v>
      </c>
      <c r="O61" s="30" t="s">
        <v>8583</v>
      </c>
      <c r="P61" s="30" t="s">
        <v>814</v>
      </c>
      <c r="Q61" s="30" t="s">
        <v>8878</v>
      </c>
      <c r="R61" s="30" t="s">
        <v>814</v>
      </c>
      <c r="S61" s="30" t="s">
        <v>814</v>
      </c>
      <c r="T61" s="30" t="s">
        <v>814</v>
      </c>
      <c r="U61" s="30" t="s">
        <v>8871</v>
      </c>
      <c r="V61" s="6" t="s">
        <v>814</v>
      </c>
      <c r="W61" s="6" t="s">
        <v>8882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5638</v>
      </c>
      <c r="B62" s="6" t="s">
        <v>8888</v>
      </c>
      <c r="C62" s="256" t="n">
        <v>1400</v>
      </c>
      <c r="D62" s="254"/>
      <c r="E62" s="254"/>
      <c r="F62" s="30" t="s">
        <v>8884</v>
      </c>
      <c r="G62" s="254" t="s">
        <v>8887</v>
      </c>
      <c r="H62" s="30" t="s">
        <v>207</v>
      </c>
      <c r="I62" s="30" t="s">
        <v>814</v>
      </c>
      <c r="J62" s="6" t="s">
        <v>8869</v>
      </c>
      <c r="K62" s="254" t="n">
        <v>3</v>
      </c>
      <c r="L62" s="254" t="s">
        <v>8580</v>
      </c>
      <c r="M62" s="6" t="s">
        <v>8581</v>
      </c>
      <c r="N62" s="254" t="s">
        <v>8718</v>
      </c>
      <c r="O62" s="30" t="s">
        <v>8583</v>
      </c>
      <c r="P62" s="30" t="s">
        <v>814</v>
      </c>
      <c r="Q62" s="30" t="s">
        <v>8878</v>
      </c>
      <c r="R62" s="30" t="s">
        <v>814</v>
      </c>
      <c r="S62" s="30" t="s">
        <v>814</v>
      </c>
      <c r="T62" s="30" t="s">
        <v>814</v>
      </c>
      <c r="U62" s="30" t="s">
        <v>8871</v>
      </c>
      <c r="V62" s="6" t="s">
        <v>814</v>
      </c>
      <c r="W62" s="6" t="s">
        <v>8882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5559</v>
      </c>
      <c r="B63" s="6" t="s">
        <v>8889</v>
      </c>
      <c r="C63" s="256" t="n">
        <v>8</v>
      </c>
      <c r="D63" s="254"/>
      <c r="E63" s="254"/>
      <c r="F63" s="30" t="s">
        <v>406</v>
      </c>
      <c r="G63" s="30" t="s">
        <v>8773</v>
      </c>
      <c r="H63" s="30" t="s">
        <v>207</v>
      </c>
      <c r="I63" s="30" t="s">
        <v>814</v>
      </c>
      <c r="J63" s="6" t="s">
        <v>8869</v>
      </c>
      <c r="K63" s="254" t="n">
        <v>3</v>
      </c>
      <c r="L63" s="254" t="s">
        <v>8580</v>
      </c>
      <c r="M63" s="6" t="s">
        <v>8581</v>
      </c>
      <c r="N63" s="254" t="s">
        <v>8718</v>
      </c>
      <c r="O63" s="30" t="s">
        <v>8583</v>
      </c>
      <c r="P63" s="30" t="s">
        <v>814</v>
      </c>
      <c r="Q63" s="30" t="s">
        <v>8878</v>
      </c>
      <c r="R63" s="30" t="s">
        <v>814</v>
      </c>
      <c r="S63" s="30" t="s">
        <v>814</v>
      </c>
      <c r="T63" s="30" t="s">
        <v>814</v>
      </c>
      <c r="U63" s="30" t="s">
        <v>8871</v>
      </c>
      <c r="V63" s="6" t="s">
        <v>814</v>
      </c>
      <c r="W63" s="6" t="s">
        <v>8882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5568</v>
      </c>
      <c r="B64" s="6" t="s">
        <v>8890</v>
      </c>
      <c r="C64" s="256" t="n">
        <v>400</v>
      </c>
      <c r="D64" s="254"/>
      <c r="E64" s="254"/>
      <c r="F64" s="30" t="s">
        <v>8891</v>
      </c>
      <c r="G64" s="254" t="s">
        <v>8892</v>
      </c>
      <c r="H64" s="30" t="s">
        <v>205</v>
      </c>
      <c r="I64" s="30" t="s">
        <v>814</v>
      </c>
      <c r="J64" s="6" t="s">
        <v>8869</v>
      </c>
      <c r="K64" s="254" t="n">
        <v>3</v>
      </c>
      <c r="L64" s="254" t="s">
        <v>8580</v>
      </c>
      <c r="M64" s="6" t="s">
        <v>8581</v>
      </c>
      <c r="N64" s="254" t="s">
        <v>8718</v>
      </c>
      <c r="O64" s="30" t="s">
        <v>8583</v>
      </c>
      <c r="P64" s="30" t="s">
        <v>814</v>
      </c>
      <c r="Q64" s="30" t="s">
        <v>8878</v>
      </c>
      <c r="R64" s="30" t="s">
        <v>814</v>
      </c>
      <c r="S64" s="30" t="s">
        <v>814</v>
      </c>
      <c r="T64" s="30" t="s">
        <v>814</v>
      </c>
      <c r="U64" s="30" t="s">
        <v>8871</v>
      </c>
      <c r="V64" s="6" t="s">
        <v>814</v>
      </c>
      <c r="W64" s="6" t="s">
        <v>8882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5424</v>
      </c>
      <c r="B65" s="6" t="s">
        <v>8893</v>
      </c>
      <c r="C65" s="256" t="n">
        <v>72</v>
      </c>
      <c r="D65" s="254"/>
      <c r="E65" s="254"/>
      <c r="F65" s="254" t="s">
        <v>8875</v>
      </c>
      <c r="G65" s="254" t="s">
        <v>8894</v>
      </c>
      <c r="H65" s="30" t="s">
        <v>8895</v>
      </c>
      <c r="I65" s="30" t="s">
        <v>1518</v>
      </c>
      <c r="J65" s="6" t="s">
        <v>8896</v>
      </c>
      <c r="K65" s="254" t="n">
        <v>1</v>
      </c>
      <c r="L65" s="254" t="s">
        <v>8580</v>
      </c>
      <c r="M65" s="6" t="s">
        <v>8897</v>
      </c>
      <c r="N65" s="254" t="s">
        <v>8582</v>
      </c>
      <c r="O65" s="30" t="s">
        <v>8583</v>
      </c>
      <c r="P65" s="30" t="s">
        <v>814</v>
      </c>
      <c r="Q65" s="30" t="s">
        <v>8898</v>
      </c>
      <c r="R65" s="30" t="s">
        <v>814</v>
      </c>
      <c r="S65" s="30" t="s">
        <v>814</v>
      </c>
      <c r="T65" s="30" t="s">
        <v>814</v>
      </c>
      <c r="U65" s="30" t="s">
        <v>8899</v>
      </c>
      <c r="V65" s="6" t="s">
        <v>8900</v>
      </c>
      <c r="W65" s="6" t="s">
        <v>8901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5586</v>
      </c>
      <c r="B66" s="6" t="s">
        <v>8902</v>
      </c>
      <c r="C66" s="256" t="n">
        <v>576</v>
      </c>
      <c r="D66" s="254"/>
      <c r="E66" s="254"/>
      <c r="F66" s="30" t="s">
        <v>730</v>
      </c>
      <c r="G66" s="30" t="s">
        <v>8903</v>
      </c>
      <c r="H66" s="30" t="s">
        <v>8669</v>
      </c>
      <c r="I66" s="30" t="s">
        <v>1518</v>
      </c>
      <c r="J66" s="6" t="s">
        <v>8896</v>
      </c>
      <c r="K66" s="254" t="n">
        <v>1</v>
      </c>
      <c r="L66" s="254" t="s">
        <v>8580</v>
      </c>
      <c r="M66" s="6" t="s">
        <v>8904</v>
      </c>
      <c r="N66" s="254" t="s">
        <v>8582</v>
      </c>
      <c r="O66" s="30" t="s">
        <v>8583</v>
      </c>
      <c r="P66" s="30" t="s">
        <v>814</v>
      </c>
      <c r="Q66" s="30" t="s">
        <v>8898</v>
      </c>
      <c r="R66" s="30" t="s">
        <v>814</v>
      </c>
      <c r="S66" s="30" t="s">
        <v>814</v>
      </c>
      <c r="T66" s="30" t="s">
        <v>814</v>
      </c>
      <c r="U66" s="30" t="s">
        <v>8899</v>
      </c>
      <c r="V66" s="6" t="s">
        <v>8905</v>
      </c>
      <c r="W66" s="6" t="s">
        <v>8906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5522</v>
      </c>
      <c r="B67" s="6" t="s">
        <v>8907</v>
      </c>
      <c r="C67" s="256" t="n">
        <v>2520</v>
      </c>
      <c r="D67" s="254"/>
      <c r="E67" s="254"/>
      <c r="F67" s="30" t="s">
        <v>8908</v>
      </c>
      <c r="G67" s="30" t="s">
        <v>8909</v>
      </c>
      <c r="H67" s="30" t="s">
        <v>208</v>
      </c>
      <c r="I67" s="30" t="s">
        <v>8590</v>
      </c>
      <c r="J67" s="6" t="s">
        <v>8910</v>
      </c>
      <c r="K67" s="254" t="n">
        <v>1</v>
      </c>
      <c r="L67" s="254" t="s">
        <v>8580</v>
      </c>
      <c r="M67" s="6" t="s">
        <v>8911</v>
      </c>
      <c r="N67" s="254" t="s">
        <v>8582</v>
      </c>
      <c r="O67" s="30" t="s">
        <v>8583</v>
      </c>
      <c r="P67" s="30" t="s">
        <v>814</v>
      </c>
      <c r="Q67" s="30" t="s">
        <v>8912</v>
      </c>
      <c r="R67" s="30" t="s">
        <v>814</v>
      </c>
      <c r="S67" s="30" t="s">
        <v>814</v>
      </c>
      <c r="T67" s="30" t="s">
        <v>814</v>
      </c>
      <c r="U67" s="30" t="s">
        <v>8899</v>
      </c>
      <c r="V67" s="20" t="s">
        <v>8913</v>
      </c>
      <c r="W67" s="6" t="s">
        <v>8914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8915</v>
      </c>
      <c r="B68" s="6" t="s">
        <v>8916</v>
      </c>
      <c r="C68" s="256" t="n">
        <v>227</v>
      </c>
      <c r="D68" s="254"/>
      <c r="E68" s="254"/>
      <c r="F68" s="30" t="s">
        <v>8602</v>
      </c>
      <c r="G68" s="254" t="s">
        <v>8917</v>
      </c>
      <c r="H68" s="30" t="s">
        <v>208</v>
      </c>
      <c r="I68" s="30" t="s">
        <v>1518</v>
      </c>
      <c r="J68" s="6" t="s">
        <v>8918</v>
      </c>
      <c r="K68" s="254" t="n">
        <v>1</v>
      </c>
      <c r="L68" s="254" t="s">
        <v>8580</v>
      </c>
      <c r="M68" s="6" t="s">
        <v>8919</v>
      </c>
      <c r="N68" s="254" t="s">
        <v>8582</v>
      </c>
      <c r="O68" s="30" t="s">
        <v>8583</v>
      </c>
      <c r="P68" s="30" t="s">
        <v>814</v>
      </c>
      <c r="Q68" s="30" t="s">
        <v>8920</v>
      </c>
      <c r="R68" s="30" t="s">
        <v>814</v>
      </c>
      <c r="S68" s="30" t="s">
        <v>814</v>
      </c>
      <c r="T68" s="30" t="s">
        <v>814</v>
      </c>
      <c r="U68" s="30" t="s">
        <v>8899</v>
      </c>
      <c r="V68" s="20" t="s">
        <v>8921</v>
      </c>
      <c r="W68" s="6" t="s">
        <v>8922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8923</v>
      </c>
      <c r="B69" s="6" t="s">
        <v>8924</v>
      </c>
      <c r="C69" s="256" t="n">
        <v>4.3</v>
      </c>
      <c r="D69" s="208"/>
      <c r="E69" s="208"/>
      <c r="F69" s="30" t="s">
        <v>8618</v>
      </c>
      <c r="G69" s="208" t="s">
        <v>8925</v>
      </c>
      <c r="H69" s="30" t="s">
        <v>207</v>
      </c>
      <c r="I69" s="30" t="s">
        <v>8926</v>
      </c>
      <c r="J69" s="6" t="s">
        <v>8927</v>
      </c>
      <c r="K69" s="208" t="n">
        <v>2</v>
      </c>
      <c r="L69" s="208" t="s">
        <v>8580</v>
      </c>
      <c r="M69" s="246" t="s">
        <v>8928</v>
      </c>
      <c r="N69" s="208" t="s">
        <v>8593</v>
      </c>
      <c r="O69" s="30" t="s">
        <v>8629</v>
      </c>
      <c r="P69" s="30" t="s">
        <v>814</v>
      </c>
      <c r="Q69" s="30" t="s">
        <v>8929</v>
      </c>
      <c r="R69" s="30" t="s">
        <v>814</v>
      </c>
      <c r="S69" s="30" t="s">
        <v>814</v>
      </c>
      <c r="T69" s="30" t="s">
        <v>814</v>
      </c>
      <c r="U69" s="30" t="s">
        <v>8930</v>
      </c>
      <c r="V69" s="6" t="s">
        <v>8931</v>
      </c>
      <c r="W69" s="6" t="s">
        <v>8932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8933</v>
      </c>
      <c r="B70" s="6" t="s">
        <v>8934</v>
      </c>
      <c r="C70" s="256" t="n">
        <v>2</v>
      </c>
      <c r="D70" s="208"/>
      <c r="E70" s="208"/>
      <c r="F70" s="30" t="s">
        <v>136</v>
      </c>
      <c r="G70" s="208" t="s">
        <v>8935</v>
      </c>
      <c r="H70" s="30" t="s">
        <v>8936</v>
      </c>
      <c r="I70" s="30" t="s">
        <v>8937</v>
      </c>
      <c r="J70" s="6" t="s">
        <v>8938</v>
      </c>
      <c r="K70" s="208" t="n">
        <v>1</v>
      </c>
      <c r="L70" s="208" t="s">
        <v>8687</v>
      </c>
      <c r="M70" s="246" t="s">
        <v>8939</v>
      </c>
      <c r="N70" s="208" t="s">
        <v>8582</v>
      </c>
      <c r="O70" s="30" t="s">
        <v>8583</v>
      </c>
      <c r="P70" s="30" t="s">
        <v>814</v>
      </c>
      <c r="Q70" s="30" t="s">
        <v>8940</v>
      </c>
      <c r="R70" s="30" t="s">
        <v>814</v>
      </c>
      <c r="S70" s="30" t="s">
        <v>814</v>
      </c>
      <c r="T70" s="30" t="s">
        <v>814</v>
      </c>
      <c r="U70" s="30" t="s">
        <v>8930</v>
      </c>
      <c r="V70" s="246" t="s">
        <v>8941</v>
      </c>
      <c r="W70" s="6" t="s">
        <v>8942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8943</v>
      </c>
      <c r="B71" s="6" t="s">
        <v>8944</v>
      </c>
      <c r="C71" s="256" t="n">
        <v>141</v>
      </c>
      <c r="D71" s="208"/>
      <c r="E71" s="208"/>
      <c r="F71" s="30" t="s">
        <v>926</v>
      </c>
      <c r="G71" s="30" t="s">
        <v>814</v>
      </c>
      <c r="H71" s="30" t="s">
        <v>8945</v>
      </c>
      <c r="I71" s="30" t="s">
        <v>7957</v>
      </c>
      <c r="J71" s="6" t="s">
        <v>8946</v>
      </c>
      <c r="K71" s="208" t="n">
        <v>1</v>
      </c>
      <c r="L71" s="208" t="s">
        <v>8580</v>
      </c>
      <c r="M71" s="6" t="s">
        <v>8581</v>
      </c>
      <c r="N71" s="208" t="s">
        <v>8582</v>
      </c>
      <c r="O71" s="30" t="s">
        <v>8583</v>
      </c>
      <c r="P71" s="30" t="s">
        <v>814</v>
      </c>
      <c r="Q71" s="30" t="s">
        <v>8947</v>
      </c>
      <c r="R71" s="30" t="s">
        <v>8948</v>
      </c>
      <c r="S71" s="30" t="s">
        <v>814</v>
      </c>
      <c r="T71" s="30" t="s">
        <v>814</v>
      </c>
      <c r="U71" s="30" t="s">
        <v>8949</v>
      </c>
      <c r="V71" s="6" t="s">
        <v>8950</v>
      </c>
      <c r="W71" s="6" t="s">
        <v>8951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8952</v>
      </c>
      <c r="B72" s="6" t="s">
        <v>8953</v>
      </c>
      <c r="C72" s="256" t="n">
        <v>4.8</v>
      </c>
      <c r="D72" s="208"/>
      <c r="E72" s="208"/>
      <c r="F72" s="30" t="s">
        <v>406</v>
      </c>
      <c r="G72" s="30" t="s">
        <v>814</v>
      </c>
      <c r="H72" s="30" t="s">
        <v>8945</v>
      </c>
      <c r="I72" s="30" t="s">
        <v>7957</v>
      </c>
      <c r="J72" s="6" t="s">
        <v>8946</v>
      </c>
      <c r="K72" s="208" t="n">
        <v>1</v>
      </c>
      <c r="L72" s="208" t="s">
        <v>8580</v>
      </c>
      <c r="M72" s="6" t="s">
        <v>8581</v>
      </c>
      <c r="N72" s="208" t="s">
        <v>8582</v>
      </c>
      <c r="O72" s="30" t="s">
        <v>8583</v>
      </c>
      <c r="P72" s="30" t="s">
        <v>814</v>
      </c>
      <c r="Q72" s="30" t="s">
        <v>8947</v>
      </c>
      <c r="R72" s="30" t="s">
        <v>8954</v>
      </c>
      <c r="S72" s="30" t="s">
        <v>814</v>
      </c>
      <c r="T72" s="30" t="s">
        <v>814</v>
      </c>
      <c r="U72" s="30" t="s">
        <v>8949</v>
      </c>
      <c r="V72" s="6" t="s">
        <v>8950</v>
      </c>
      <c r="W72" s="6" t="s">
        <v>8955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8948</v>
      </c>
      <c r="B73" s="6" t="s">
        <v>8956</v>
      </c>
      <c r="C73" s="256" t="n">
        <v>141</v>
      </c>
      <c r="D73" s="208"/>
      <c r="E73" s="208"/>
      <c r="F73" s="30" t="s">
        <v>926</v>
      </c>
      <c r="G73" s="30" t="s">
        <v>8957</v>
      </c>
      <c r="H73" s="30" t="s">
        <v>8958</v>
      </c>
      <c r="I73" s="30" t="s">
        <v>8284</v>
      </c>
      <c r="J73" s="6" t="s">
        <v>8959</v>
      </c>
      <c r="K73" s="208" t="n">
        <v>1</v>
      </c>
      <c r="L73" s="208" t="s">
        <v>8580</v>
      </c>
      <c r="M73" s="6" t="s">
        <v>8960</v>
      </c>
      <c r="N73" s="208" t="s">
        <v>8961</v>
      </c>
      <c r="O73" s="30" t="s">
        <v>8583</v>
      </c>
      <c r="P73" s="30" t="s">
        <v>814</v>
      </c>
      <c r="Q73" s="30" t="s">
        <v>8962</v>
      </c>
      <c r="R73" s="30" t="s">
        <v>8943</v>
      </c>
      <c r="S73" s="30" t="s">
        <v>814</v>
      </c>
      <c r="T73" s="30" t="s">
        <v>814</v>
      </c>
      <c r="U73" s="30" t="s">
        <v>8963</v>
      </c>
      <c r="V73" s="6" t="s">
        <v>8964</v>
      </c>
      <c r="W73" s="6" t="s">
        <v>8965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8954</v>
      </c>
      <c r="B74" s="6" t="s">
        <v>8966</v>
      </c>
      <c r="C74" s="256" t="n">
        <v>4.8</v>
      </c>
      <c r="D74" s="208"/>
      <c r="E74" s="208"/>
      <c r="F74" s="30" t="s">
        <v>406</v>
      </c>
      <c r="G74" s="30" t="s">
        <v>8957</v>
      </c>
      <c r="H74" s="30" t="s">
        <v>8958</v>
      </c>
      <c r="I74" s="30" t="s">
        <v>8284</v>
      </c>
      <c r="J74" s="6" t="s">
        <v>8959</v>
      </c>
      <c r="K74" s="208" t="n">
        <v>1</v>
      </c>
      <c r="L74" s="208" t="s">
        <v>8580</v>
      </c>
      <c r="M74" s="6" t="s">
        <v>8960</v>
      </c>
      <c r="N74" s="208" t="s">
        <v>8961</v>
      </c>
      <c r="O74" s="30" t="s">
        <v>8583</v>
      </c>
      <c r="P74" s="30" t="s">
        <v>814</v>
      </c>
      <c r="Q74" s="30" t="s">
        <v>8962</v>
      </c>
      <c r="R74" s="30" t="s">
        <v>8952</v>
      </c>
      <c r="S74" s="30" t="s">
        <v>814</v>
      </c>
      <c r="T74" s="30" t="s">
        <v>814</v>
      </c>
      <c r="U74" s="30" t="s">
        <v>8963</v>
      </c>
      <c r="V74" s="6" t="s">
        <v>8967</v>
      </c>
      <c r="W74" s="6" t="s">
        <v>8968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8969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29.25" hidden="false" customHeight="true" outlineLevel="0" collapsed="false">
      <c r="A5" s="30" t="s">
        <v>5331</v>
      </c>
      <c r="B5" s="6" t="s">
        <v>8970</v>
      </c>
      <c r="C5" s="254"/>
      <c r="D5" s="256" t="n">
        <v>0.04</v>
      </c>
      <c r="E5" s="256" t="n">
        <v>0.08</v>
      </c>
      <c r="F5" s="30" t="s">
        <v>131</v>
      </c>
      <c r="G5" s="254" t="s">
        <v>8971</v>
      </c>
      <c r="H5" s="30" t="s">
        <v>814</v>
      </c>
      <c r="I5" s="30" t="s">
        <v>8590</v>
      </c>
      <c r="J5" s="6" t="s">
        <v>8972</v>
      </c>
      <c r="K5" s="254" t="n">
        <v>3</v>
      </c>
      <c r="L5" s="254" t="s">
        <v>8580</v>
      </c>
      <c r="M5" s="6" t="s">
        <v>8973</v>
      </c>
      <c r="N5" s="254" t="s">
        <v>8593</v>
      </c>
      <c r="O5" s="30" t="s">
        <v>8583</v>
      </c>
      <c r="P5" s="30" t="s">
        <v>814</v>
      </c>
      <c r="Q5" s="30" t="s">
        <v>8974</v>
      </c>
      <c r="R5" s="30" t="s">
        <v>814</v>
      </c>
      <c r="S5" s="30" t="s">
        <v>814</v>
      </c>
      <c r="T5" s="30" t="s">
        <v>814</v>
      </c>
      <c r="U5" s="30" t="s">
        <v>8975</v>
      </c>
      <c r="V5" s="6" t="s">
        <v>8976</v>
      </c>
      <c r="W5" s="20" t="s">
        <v>8977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5334</v>
      </c>
      <c r="B6" s="20" t="s">
        <v>8978</v>
      </c>
      <c r="C6" s="256" t="n">
        <v>0.15</v>
      </c>
      <c r="D6" s="254"/>
      <c r="E6" s="254"/>
      <c r="F6" s="30" t="s">
        <v>131</v>
      </c>
      <c r="G6" s="254" t="s">
        <v>8979</v>
      </c>
      <c r="H6" s="30" t="s">
        <v>814</v>
      </c>
      <c r="I6" s="30" t="s">
        <v>8590</v>
      </c>
      <c r="J6" s="6" t="s">
        <v>8972</v>
      </c>
      <c r="K6" s="254" t="n">
        <v>3</v>
      </c>
      <c r="L6" s="254" t="s">
        <v>8580</v>
      </c>
      <c r="M6" s="6" t="s">
        <v>8973</v>
      </c>
      <c r="N6" s="254" t="s">
        <v>8593</v>
      </c>
      <c r="O6" s="30" t="s">
        <v>8583</v>
      </c>
      <c r="P6" s="30" t="s">
        <v>814</v>
      </c>
      <c r="Q6" s="30" t="s">
        <v>8974</v>
      </c>
      <c r="R6" s="30" t="s">
        <v>814</v>
      </c>
      <c r="S6" s="30" t="s">
        <v>814</v>
      </c>
      <c r="T6" s="30" t="s">
        <v>814</v>
      </c>
      <c r="U6" s="30" t="s">
        <v>8975</v>
      </c>
      <c r="V6" s="6" t="s">
        <v>8980</v>
      </c>
      <c r="W6" s="6" t="s">
        <v>8981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3938</v>
      </c>
      <c r="B7" s="20" t="s">
        <v>8982</v>
      </c>
      <c r="C7" s="256" t="n">
        <v>11.3</v>
      </c>
      <c r="D7" s="254"/>
      <c r="E7" s="254"/>
      <c r="F7" s="30" t="s">
        <v>153</v>
      </c>
      <c r="G7" s="254" t="s">
        <v>8983</v>
      </c>
      <c r="H7" s="254" t="s">
        <v>8984</v>
      </c>
      <c r="I7" s="30" t="s">
        <v>8590</v>
      </c>
      <c r="J7" s="6" t="s">
        <v>8985</v>
      </c>
      <c r="K7" s="254" t="n">
        <v>3</v>
      </c>
      <c r="L7" s="254" t="s">
        <v>8687</v>
      </c>
      <c r="M7" s="6" t="s">
        <v>8986</v>
      </c>
      <c r="N7" s="254" t="s">
        <v>8593</v>
      </c>
      <c r="O7" s="30" t="s">
        <v>8583</v>
      </c>
      <c r="P7" s="30" t="s">
        <v>814</v>
      </c>
      <c r="Q7" s="30" t="s">
        <v>6102</v>
      </c>
      <c r="R7" s="30" t="s">
        <v>814</v>
      </c>
      <c r="S7" s="30" t="s">
        <v>814</v>
      </c>
      <c r="T7" s="30" t="s">
        <v>814</v>
      </c>
      <c r="U7" s="30" t="s">
        <v>8987</v>
      </c>
      <c r="V7" s="6" t="s">
        <v>8988</v>
      </c>
      <c r="W7" s="6" t="s">
        <v>8989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8990</v>
      </c>
      <c r="B8" s="20" t="s">
        <v>8991</v>
      </c>
      <c r="C8" s="254"/>
      <c r="D8" s="256" t="n">
        <v>0.07</v>
      </c>
      <c r="E8" s="256" t="n">
        <v>0.1</v>
      </c>
      <c r="F8" s="30" t="s">
        <v>131</v>
      </c>
      <c r="G8" s="254" t="s">
        <v>8992</v>
      </c>
      <c r="H8" s="254" t="s">
        <v>8993</v>
      </c>
      <c r="I8" s="30" t="s">
        <v>8590</v>
      </c>
      <c r="J8" s="6" t="s">
        <v>8985</v>
      </c>
      <c r="K8" s="254" t="n">
        <v>3</v>
      </c>
      <c r="L8" s="254" t="s">
        <v>8687</v>
      </c>
      <c r="M8" s="6" t="s">
        <v>8986</v>
      </c>
      <c r="N8" s="254" t="s">
        <v>8593</v>
      </c>
      <c r="O8" s="30" t="s">
        <v>8583</v>
      </c>
      <c r="P8" s="30" t="s">
        <v>814</v>
      </c>
      <c r="Q8" s="30" t="s">
        <v>6102</v>
      </c>
      <c r="R8" s="30" t="s">
        <v>814</v>
      </c>
      <c r="S8" s="30" t="s">
        <v>814</v>
      </c>
      <c r="T8" s="30" t="s">
        <v>814</v>
      </c>
      <c r="U8" s="30" t="s">
        <v>8987</v>
      </c>
      <c r="V8" s="6" t="s">
        <v>8988</v>
      </c>
      <c r="W8" s="6" t="s">
        <v>814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8994</v>
      </c>
      <c r="B9" s="20" t="s">
        <v>8995</v>
      </c>
      <c r="C9" s="256" t="n">
        <v>0.0858</v>
      </c>
      <c r="D9" s="254"/>
      <c r="E9" s="254"/>
      <c r="F9" s="30" t="s">
        <v>142</v>
      </c>
      <c r="G9" s="254" t="s">
        <v>8996</v>
      </c>
      <c r="H9" s="254" t="s">
        <v>1507</v>
      </c>
      <c r="I9" s="30" t="s">
        <v>8620</v>
      </c>
      <c r="J9" s="6" t="s">
        <v>8997</v>
      </c>
      <c r="K9" s="254" t="n">
        <v>2</v>
      </c>
      <c r="L9" s="254" t="s">
        <v>8687</v>
      </c>
      <c r="M9" s="6" t="s">
        <v>8998</v>
      </c>
      <c r="N9" s="254" t="s">
        <v>8999</v>
      </c>
      <c r="O9" s="30" t="s">
        <v>8583</v>
      </c>
      <c r="P9" s="30" t="s">
        <v>814</v>
      </c>
      <c r="Q9" s="30" t="s">
        <v>6114</v>
      </c>
      <c r="R9" s="30" t="s">
        <v>814</v>
      </c>
      <c r="S9" s="30" t="s">
        <v>814</v>
      </c>
      <c r="T9" s="30" t="s">
        <v>814</v>
      </c>
      <c r="U9" s="30" t="s">
        <v>9000</v>
      </c>
      <c r="V9" s="6" t="s">
        <v>814</v>
      </c>
      <c r="W9" s="6" t="s">
        <v>814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5326</v>
      </c>
      <c r="B10" s="20" t="s">
        <v>9001</v>
      </c>
      <c r="C10" s="256" t="n">
        <v>0.0871</v>
      </c>
      <c r="D10" s="254"/>
      <c r="E10" s="254"/>
      <c r="F10" s="30" t="s">
        <v>142</v>
      </c>
      <c r="G10" s="254" t="s">
        <v>8996</v>
      </c>
      <c r="H10" s="254" t="s">
        <v>1507</v>
      </c>
      <c r="I10" s="30" t="s">
        <v>8685</v>
      </c>
      <c r="J10" s="6" t="s">
        <v>8997</v>
      </c>
      <c r="K10" s="254" t="n">
        <v>2</v>
      </c>
      <c r="L10" s="254" t="s">
        <v>8687</v>
      </c>
      <c r="M10" s="6" t="s">
        <v>8998</v>
      </c>
      <c r="N10" s="254" t="s">
        <v>8999</v>
      </c>
      <c r="O10" s="30" t="s">
        <v>8583</v>
      </c>
      <c r="P10" s="30" t="s">
        <v>814</v>
      </c>
      <c r="Q10" s="30" t="s">
        <v>6114</v>
      </c>
      <c r="R10" s="30" t="s">
        <v>814</v>
      </c>
      <c r="S10" s="30" t="s">
        <v>814</v>
      </c>
      <c r="T10" s="30" t="s">
        <v>814</v>
      </c>
      <c r="U10" s="30" t="s">
        <v>9000</v>
      </c>
      <c r="V10" s="6" t="s">
        <v>9002</v>
      </c>
      <c r="W10" s="20" t="s">
        <v>9003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5396</v>
      </c>
      <c r="B11" s="6" t="s">
        <v>9004</v>
      </c>
      <c r="C11" s="256" t="n">
        <v>6</v>
      </c>
      <c r="D11" s="254"/>
      <c r="E11" s="254"/>
      <c r="F11" s="254" t="s">
        <v>167</v>
      </c>
      <c r="G11" s="254" t="s">
        <v>9005</v>
      </c>
      <c r="H11" s="30" t="s">
        <v>9006</v>
      </c>
      <c r="I11" s="30" t="s">
        <v>8715</v>
      </c>
      <c r="J11" s="6" t="s">
        <v>9007</v>
      </c>
      <c r="K11" s="254" t="n">
        <v>2</v>
      </c>
      <c r="L11" s="254" t="s">
        <v>8580</v>
      </c>
      <c r="M11" s="20" t="s">
        <v>9008</v>
      </c>
      <c r="N11" s="254" t="s">
        <v>8593</v>
      </c>
      <c r="O11" s="30" t="s">
        <v>8583</v>
      </c>
      <c r="P11" s="30" t="s">
        <v>814</v>
      </c>
      <c r="Q11" s="30" t="s">
        <v>6126</v>
      </c>
      <c r="R11" s="30" t="s">
        <v>814</v>
      </c>
      <c r="S11" s="30" t="s">
        <v>814</v>
      </c>
      <c r="T11" s="30" t="s">
        <v>814</v>
      </c>
      <c r="U11" s="30" t="s">
        <v>9009</v>
      </c>
      <c r="V11" s="6" t="s">
        <v>9010</v>
      </c>
      <c r="W11" s="6" t="s">
        <v>9011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5402</v>
      </c>
      <c r="B12" s="6" t="s">
        <v>9012</v>
      </c>
      <c r="C12" s="256" t="n">
        <v>4</v>
      </c>
      <c r="D12" s="254"/>
      <c r="E12" s="254"/>
      <c r="F12" s="254" t="s">
        <v>167</v>
      </c>
      <c r="G12" s="254" t="s">
        <v>9005</v>
      </c>
      <c r="H12" s="30" t="s">
        <v>9013</v>
      </c>
      <c r="I12" s="30" t="s">
        <v>8715</v>
      </c>
      <c r="J12" s="6" t="s">
        <v>9007</v>
      </c>
      <c r="K12" s="254" t="n">
        <v>2</v>
      </c>
      <c r="L12" s="254" t="s">
        <v>8580</v>
      </c>
      <c r="M12" s="20" t="s">
        <v>9008</v>
      </c>
      <c r="N12" s="254" t="s">
        <v>8593</v>
      </c>
      <c r="O12" s="30" t="s">
        <v>8583</v>
      </c>
      <c r="P12" s="30" t="s">
        <v>814</v>
      </c>
      <c r="Q12" s="30" t="s">
        <v>6126</v>
      </c>
      <c r="R12" s="30" t="s">
        <v>814</v>
      </c>
      <c r="S12" s="30" t="s">
        <v>814</v>
      </c>
      <c r="T12" s="30" t="s">
        <v>814</v>
      </c>
      <c r="U12" s="30" t="s">
        <v>9009</v>
      </c>
      <c r="V12" s="6" t="s">
        <v>9014</v>
      </c>
      <c r="W12" s="6" t="s">
        <v>814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9015</v>
      </c>
      <c r="B13" s="6" t="s">
        <v>9016</v>
      </c>
      <c r="C13" s="256" t="n">
        <v>5</v>
      </c>
      <c r="D13" s="254"/>
      <c r="E13" s="254"/>
      <c r="F13" s="254" t="s">
        <v>167</v>
      </c>
      <c r="G13" s="254" t="s">
        <v>9005</v>
      </c>
      <c r="H13" s="30" t="s">
        <v>9017</v>
      </c>
      <c r="I13" s="30" t="s">
        <v>8715</v>
      </c>
      <c r="J13" s="6" t="s">
        <v>9007</v>
      </c>
      <c r="K13" s="254" t="n">
        <v>2</v>
      </c>
      <c r="L13" s="254" t="s">
        <v>8580</v>
      </c>
      <c r="M13" s="20" t="s">
        <v>9008</v>
      </c>
      <c r="N13" s="254" t="s">
        <v>8593</v>
      </c>
      <c r="O13" s="30" t="s">
        <v>8583</v>
      </c>
      <c r="P13" s="30" t="s">
        <v>814</v>
      </c>
      <c r="Q13" s="30" t="s">
        <v>6126</v>
      </c>
      <c r="R13" s="30" t="s">
        <v>814</v>
      </c>
      <c r="S13" s="30" t="s">
        <v>814</v>
      </c>
      <c r="T13" s="30" t="s">
        <v>814</v>
      </c>
      <c r="U13" s="30" t="s">
        <v>9009</v>
      </c>
      <c r="V13" s="6" t="s">
        <v>814</v>
      </c>
      <c r="W13" s="6" t="s">
        <v>814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3920</v>
      </c>
      <c r="B14" s="20" t="s">
        <v>9018</v>
      </c>
      <c r="C14" s="254"/>
      <c r="D14" s="256" t="n">
        <v>50</v>
      </c>
      <c r="E14" s="256" t="n">
        <v>60</v>
      </c>
      <c r="F14" s="30" t="s">
        <v>3906</v>
      </c>
      <c r="G14" s="30" t="s">
        <v>9019</v>
      </c>
      <c r="H14" s="30" t="s">
        <v>814</v>
      </c>
      <c r="I14" s="30" t="s">
        <v>9020</v>
      </c>
      <c r="J14" s="6" t="s">
        <v>9021</v>
      </c>
      <c r="K14" s="254" t="n">
        <v>3</v>
      </c>
      <c r="L14" s="254" t="s">
        <v>8580</v>
      </c>
      <c r="M14" s="6" t="s">
        <v>9022</v>
      </c>
      <c r="N14" s="254" t="s">
        <v>8593</v>
      </c>
      <c r="O14" s="30" t="s">
        <v>8583</v>
      </c>
      <c r="P14" s="30" t="s">
        <v>814</v>
      </c>
      <c r="Q14" s="30" t="s">
        <v>9023</v>
      </c>
      <c r="R14" s="30" t="s">
        <v>814</v>
      </c>
      <c r="S14" s="30" t="s">
        <v>814</v>
      </c>
      <c r="T14" s="30" t="s">
        <v>814</v>
      </c>
      <c r="U14" s="30" t="s">
        <v>9024</v>
      </c>
      <c r="V14" s="6" t="s">
        <v>9025</v>
      </c>
      <c r="W14" s="6" t="s">
        <v>814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3928</v>
      </c>
      <c r="B15" s="20" t="s">
        <v>9026</v>
      </c>
      <c r="C15" s="256" t="n">
        <v>35</v>
      </c>
      <c r="D15" s="254"/>
      <c r="E15" s="254"/>
      <c r="F15" s="30" t="s">
        <v>3906</v>
      </c>
      <c r="G15" s="30" t="s">
        <v>9019</v>
      </c>
      <c r="H15" s="30" t="s">
        <v>814</v>
      </c>
      <c r="I15" s="30" t="s">
        <v>9020</v>
      </c>
      <c r="J15" s="6" t="s">
        <v>9021</v>
      </c>
      <c r="K15" s="254" t="n">
        <v>3</v>
      </c>
      <c r="L15" s="254" t="s">
        <v>8580</v>
      </c>
      <c r="M15" s="6" t="s">
        <v>9022</v>
      </c>
      <c r="N15" s="254" t="s">
        <v>8593</v>
      </c>
      <c r="O15" s="30" t="s">
        <v>8583</v>
      </c>
      <c r="P15" s="30" t="s">
        <v>814</v>
      </c>
      <c r="Q15" s="30" t="s">
        <v>9023</v>
      </c>
      <c r="R15" s="30" t="s">
        <v>814</v>
      </c>
      <c r="S15" s="30" t="s">
        <v>814</v>
      </c>
      <c r="T15" s="30" t="s">
        <v>814</v>
      </c>
      <c r="U15" s="30" t="s">
        <v>9024</v>
      </c>
      <c r="V15" s="6" t="s">
        <v>9027</v>
      </c>
      <c r="W15" s="6" t="s">
        <v>814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3963</v>
      </c>
      <c r="B16" s="6" t="s">
        <v>9028</v>
      </c>
      <c r="C16" s="256" t="n">
        <v>2.21</v>
      </c>
      <c r="D16" s="254"/>
      <c r="E16" s="254"/>
      <c r="F16" s="30" t="s">
        <v>1054</v>
      </c>
      <c r="G16" s="254" t="s">
        <v>9029</v>
      </c>
      <c r="H16" s="30" t="s">
        <v>206</v>
      </c>
      <c r="I16" s="30" t="s">
        <v>8685</v>
      </c>
      <c r="J16" s="6" t="s">
        <v>9030</v>
      </c>
      <c r="K16" s="254" t="n">
        <v>2</v>
      </c>
      <c r="L16" s="254" t="s">
        <v>8580</v>
      </c>
      <c r="M16" s="6" t="s">
        <v>9031</v>
      </c>
      <c r="N16" s="254" t="s">
        <v>9032</v>
      </c>
      <c r="O16" s="30" t="s">
        <v>8583</v>
      </c>
      <c r="P16" s="30" t="s">
        <v>814</v>
      </c>
      <c r="Q16" s="30" t="s">
        <v>9033</v>
      </c>
      <c r="R16" s="30" t="s">
        <v>814</v>
      </c>
      <c r="S16" s="30" t="s">
        <v>814</v>
      </c>
      <c r="T16" s="30" t="s">
        <v>814</v>
      </c>
      <c r="U16" s="30" t="s">
        <v>9034</v>
      </c>
      <c r="V16" s="6" t="s">
        <v>9035</v>
      </c>
      <c r="W16" s="20" t="s">
        <v>9036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3968</v>
      </c>
      <c r="B17" s="6" t="s">
        <v>9037</v>
      </c>
      <c r="C17" s="256" t="n">
        <v>2.65</v>
      </c>
      <c r="D17" s="254"/>
      <c r="E17" s="254"/>
      <c r="F17" s="30" t="s">
        <v>1054</v>
      </c>
      <c r="G17" s="254" t="s">
        <v>9029</v>
      </c>
      <c r="H17" s="30" t="s">
        <v>207</v>
      </c>
      <c r="I17" s="30" t="s">
        <v>8685</v>
      </c>
      <c r="J17" s="6" t="s">
        <v>9030</v>
      </c>
      <c r="K17" s="254" t="n">
        <v>2</v>
      </c>
      <c r="L17" s="254" t="s">
        <v>8580</v>
      </c>
      <c r="M17" s="6" t="s">
        <v>9031</v>
      </c>
      <c r="N17" s="254" t="s">
        <v>9032</v>
      </c>
      <c r="O17" s="30" t="s">
        <v>8583</v>
      </c>
      <c r="P17" s="30" t="s">
        <v>814</v>
      </c>
      <c r="Q17" s="30" t="s">
        <v>9033</v>
      </c>
      <c r="R17" s="30" t="s">
        <v>814</v>
      </c>
      <c r="S17" s="30" t="s">
        <v>814</v>
      </c>
      <c r="T17" s="30" t="s">
        <v>814</v>
      </c>
      <c r="U17" s="30" t="s">
        <v>9034</v>
      </c>
      <c r="V17" s="6" t="s">
        <v>9038</v>
      </c>
      <c r="W17" s="20" t="s">
        <v>9036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4372</v>
      </c>
      <c r="B18" s="246" t="s">
        <v>9039</v>
      </c>
      <c r="C18" s="256" t="n">
        <v>29</v>
      </c>
      <c r="D18" s="208"/>
      <c r="E18" s="208"/>
      <c r="F18" s="30" t="s">
        <v>4368</v>
      </c>
      <c r="G18" s="208" t="s">
        <v>9040</v>
      </c>
      <c r="H18" s="30" t="s">
        <v>9041</v>
      </c>
      <c r="I18" s="30" t="s">
        <v>9042</v>
      </c>
      <c r="J18" s="6" t="s">
        <v>9043</v>
      </c>
      <c r="K18" s="208" t="n">
        <v>1</v>
      </c>
      <c r="L18" s="208" t="s">
        <v>8580</v>
      </c>
      <c r="M18" s="246" t="s">
        <v>9044</v>
      </c>
      <c r="N18" s="208" t="s">
        <v>8582</v>
      </c>
      <c r="O18" s="30" t="s">
        <v>8583</v>
      </c>
      <c r="P18" s="30" t="s">
        <v>814</v>
      </c>
      <c r="Q18" s="30" t="s">
        <v>9045</v>
      </c>
      <c r="R18" s="30" t="s">
        <v>814</v>
      </c>
      <c r="S18" s="30" t="s">
        <v>814</v>
      </c>
      <c r="T18" s="30" t="s">
        <v>814</v>
      </c>
      <c r="U18" s="30" t="s">
        <v>8930</v>
      </c>
      <c r="V18" s="6" t="s">
        <v>9046</v>
      </c>
      <c r="W18" s="6" t="s">
        <v>9047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6870</v>
      </c>
      <c r="B19" s="6" t="s">
        <v>9048</v>
      </c>
      <c r="C19" s="256" t="n">
        <v>3</v>
      </c>
      <c r="D19" s="208"/>
      <c r="E19" s="208"/>
      <c r="F19" s="208" t="s">
        <v>167</v>
      </c>
      <c r="G19" s="208" t="s">
        <v>9049</v>
      </c>
      <c r="H19" s="30" t="s">
        <v>9050</v>
      </c>
      <c r="I19" s="30" t="s">
        <v>9051</v>
      </c>
      <c r="J19" s="6" t="s">
        <v>9052</v>
      </c>
      <c r="K19" s="208" t="n">
        <v>1</v>
      </c>
      <c r="L19" s="208" t="s">
        <v>8580</v>
      </c>
      <c r="M19" s="246" t="s">
        <v>9053</v>
      </c>
      <c r="N19" s="208" t="s">
        <v>8582</v>
      </c>
      <c r="O19" s="30" t="s">
        <v>8583</v>
      </c>
      <c r="P19" s="30" t="s">
        <v>814</v>
      </c>
      <c r="Q19" s="30" t="s">
        <v>9054</v>
      </c>
      <c r="R19" s="30" t="s">
        <v>9055</v>
      </c>
      <c r="S19" s="30" t="s">
        <v>814</v>
      </c>
      <c r="T19" s="30" t="s">
        <v>814</v>
      </c>
      <c r="U19" s="30" t="s">
        <v>8930</v>
      </c>
      <c r="V19" s="6" t="s">
        <v>9056</v>
      </c>
      <c r="W19" s="6" t="s">
        <v>9057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9055</v>
      </c>
      <c r="B20" s="6" t="s">
        <v>9058</v>
      </c>
      <c r="C20" s="256" t="n">
        <v>3</v>
      </c>
      <c r="D20" s="208"/>
      <c r="E20" s="208"/>
      <c r="F20" s="208" t="s">
        <v>167</v>
      </c>
      <c r="G20" s="208" t="s">
        <v>9059</v>
      </c>
      <c r="H20" s="30" t="s">
        <v>9060</v>
      </c>
      <c r="I20" s="30" t="s">
        <v>4685</v>
      </c>
      <c r="J20" s="6" t="s">
        <v>9061</v>
      </c>
      <c r="K20" s="208" t="n">
        <v>1</v>
      </c>
      <c r="L20" s="208" t="s">
        <v>8580</v>
      </c>
      <c r="M20" s="246" t="s">
        <v>9053</v>
      </c>
      <c r="N20" s="208" t="s">
        <v>8582</v>
      </c>
      <c r="O20" s="30" t="s">
        <v>8583</v>
      </c>
      <c r="P20" s="30" t="s">
        <v>814</v>
      </c>
      <c r="Q20" s="30" t="s">
        <v>9062</v>
      </c>
      <c r="R20" s="30" t="s">
        <v>6870</v>
      </c>
      <c r="S20" s="30" t="s">
        <v>814</v>
      </c>
      <c r="T20" s="30" t="s">
        <v>814</v>
      </c>
      <c r="U20" s="30" t="s">
        <v>8930</v>
      </c>
      <c r="V20" s="246" t="s">
        <v>9063</v>
      </c>
      <c r="W20" s="6" t="s">
        <v>9064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6882</v>
      </c>
      <c r="B21" s="6" t="s">
        <v>9065</v>
      </c>
      <c r="C21" s="256" t="n">
        <v>0.038</v>
      </c>
      <c r="D21" s="208"/>
      <c r="E21" s="208"/>
      <c r="F21" s="30" t="s">
        <v>9066</v>
      </c>
      <c r="G21" s="208" t="s">
        <v>9067</v>
      </c>
      <c r="H21" s="30" t="s">
        <v>9068</v>
      </c>
      <c r="I21" s="30" t="s">
        <v>4685</v>
      </c>
      <c r="J21" s="6" t="s">
        <v>9069</v>
      </c>
      <c r="K21" s="208" t="n">
        <v>2</v>
      </c>
      <c r="L21" s="208" t="s">
        <v>8580</v>
      </c>
      <c r="M21" s="246" t="s">
        <v>9070</v>
      </c>
      <c r="N21" s="208" t="s">
        <v>9071</v>
      </c>
      <c r="O21" s="30" t="s">
        <v>8583</v>
      </c>
      <c r="P21" s="30" t="s">
        <v>814</v>
      </c>
      <c r="Q21" s="30" t="s">
        <v>9072</v>
      </c>
      <c r="R21" s="30" t="s">
        <v>814</v>
      </c>
      <c r="S21" s="30" t="s">
        <v>814</v>
      </c>
      <c r="T21" s="30" t="s">
        <v>814</v>
      </c>
      <c r="U21" s="30" t="s">
        <v>8930</v>
      </c>
      <c r="V21" s="246" t="s">
        <v>9073</v>
      </c>
      <c r="W21" s="6" t="s">
        <v>9074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5316</v>
      </c>
      <c r="B22" s="6" t="s">
        <v>9075</v>
      </c>
      <c r="C22" s="256" t="n">
        <v>1.09</v>
      </c>
      <c r="D22" s="208"/>
      <c r="E22" s="208"/>
      <c r="F22" s="30" t="s">
        <v>135</v>
      </c>
      <c r="G22" s="208" t="s">
        <v>9076</v>
      </c>
      <c r="H22" s="30" t="s">
        <v>9077</v>
      </c>
      <c r="I22" s="30" t="s">
        <v>8284</v>
      </c>
      <c r="J22" s="6" t="s">
        <v>9078</v>
      </c>
      <c r="K22" s="208" t="n">
        <v>1</v>
      </c>
      <c r="L22" s="208" t="s">
        <v>8580</v>
      </c>
      <c r="M22" s="6" t="s">
        <v>9079</v>
      </c>
      <c r="N22" s="208" t="s">
        <v>8961</v>
      </c>
      <c r="O22" s="30" t="s">
        <v>8583</v>
      </c>
      <c r="P22" s="30" t="s">
        <v>814</v>
      </c>
      <c r="Q22" s="30" t="s">
        <v>9080</v>
      </c>
      <c r="R22" s="30" t="s">
        <v>9081</v>
      </c>
      <c r="S22" s="30" t="s">
        <v>814</v>
      </c>
      <c r="T22" s="30" t="s">
        <v>814</v>
      </c>
      <c r="U22" s="30" t="s">
        <v>8963</v>
      </c>
      <c r="V22" s="6" t="s">
        <v>9082</v>
      </c>
      <c r="W22" s="6" t="s">
        <v>9083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9081</v>
      </c>
      <c r="B23" s="6" t="s">
        <v>9084</v>
      </c>
      <c r="C23" s="256" t="n">
        <v>1.54</v>
      </c>
      <c r="D23" s="208"/>
      <c r="E23" s="208"/>
      <c r="F23" s="30" t="s">
        <v>135</v>
      </c>
      <c r="G23" s="208" t="s">
        <v>9085</v>
      </c>
      <c r="H23" s="208" t="s">
        <v>9086</v>
      </c>
      <c r="I23" s="30" t="s">
        <v>8284</v>
      </c>
      <c r="J23" s="6" t="s">
        <v>9087</v>
      </c>
      <c r="K23" s="208" t="n">
        <v>2</v>
      </c>
      <c r="L23" s="208" t="s">
        <v>8687</v>
      </c>
      <c r="M23" s="6" t="s">
        <v>9088</v>
      </c>
      <c r="N23" s="208" t="s">
        <v>9089</v>
      </c>
      <c r="O23" s="30" t="s">
        <v>8583</v>
      </c>
      <c r="P23" s="30" t="s">
        <v>814</v>
      </c>
      <c r="Q23" s="30" t="s">
        <v>9080</v>
      </c>
      <c r="R23" s="30" t="s">
        <v>5316</v>
      </c>
      <c r="S23" s="30" t="s">
        <v>814</v>
      </c>
      <c r="T23" s="30" t="s">
        <v>814</v>
      </c>
      <c r="U23" s="30" t="s">
        <v>8963</v>
      </c>
      <c r="V23" s="6" t="s">
        <v>9090</v>
      </c>
      <c r="W23" s="6" t="s">
        <v>9091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9092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29.25" hidden="false" customHeight="true" outlineLevel="0" collapsed="false">
      <c r="A5" s="30" t="s">
        <v>5695</v>
      </c>
      <c r="B5" s="6" t="s">
        <v>9093</v>
      </c>
      <c r="C5" s="256" t="n">
        <v>1600</v>
      </c>
      <c r="D5" s="254"/>
      <c r="E5" s="254"/>
      <c r="F5" s="30" t="s">
        <v>315</v>
      </c>
      <c r="G5" s="30" t="s">
        <v>814</v>
      </c>
      <c r="H5" s="30" t="s">
        <v>9094</v>
      </c>
      <c r="I5" s="30" t="s">
        <v>8590</v>
      </c>
      <c r="J5" s="6" t="s">
        <v>9095</v>
      </c>
      <c r="K5" s="254" t="n">
        <v>3</v>
      </c>
      <c r="L5" s="254" t="s">
        <v>8580</v>
      </c>
      <c r="M5" s="6" t="s">
        <v>9096</v>
      </c>
      <c r="N5" s="254" t="s">
        <v>8593</v>
      </c>
      <c r="O5" s="30" t="s">
        <v>8583</v>
      </c>
      <c r="P5" s="30" t="s">
        <v>814</v>
      </c>
      <c r="Q5" s="30" t="s">
        <v>9097</v>
      </c>
      <c r="R5" s="30" t="s">
        <v>814</v>
      </c>
      <c r="S5" s="30" t="s">
        <v>814</v>
      </c>
      <c r="T5" s="30" t="s">
        <v>814</v>
      </c>
      <c r="U5" s="30" t="s">
        <v>4926</v>
      </c>
      <c r="V5" s="6" t="s">
        <v>9098</v>
      </c>
      <c r="W5" s="20" t="s">
        <v>9099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5699</v>
      </c>
      <c r="B6" s="6" t="s">
        <v>9100</v>
      </c>
      <c r="C6" s="256" t="n">
        <v>49</v>
      </c>
      <c r="D6" s="254"/>
      <c r="E6" s="254"/>
      <c r="F6" s="30" t="s">
        <v>315</v>
      </c>
      <c r="G6" s="30" t="s">
        <v>814</v>
      </c>
      <c r="H6" s="30" t="s">
        <v>9094</v>
      </c>
      <c r="I6" s="30" t="s">
        <v>8590</v>
      </c>
      <c r="J6" s="6" t="s">
        <v>9095</v>
      </c>
      <c r="K6" s="254" t="n">
        <v>1</v>
      </c>
      <c r="L6" s="254" t="s">
        <v>8580</v>
      </c>
      <c r="M6" s="6" t="s">
        <v>9096</v>
      </c>
      <c r="N6" s="254" t="s">
        <v>8582</v>
      </c>
      <c r="O6" s="30" t="s">
        <v>8583</v>
      </c>
      <c r="P6" s="30" t="s">
        <v>814</v>
      </c>
      <c r="Q6" s="30" t="s">
        <v>9101</v>
      </c>
      <c r="R6" s="30" t="s">
        <v>814</v>
      </c>
      <c r="S6" s="30" t="s">
        <v>7535</v>
      </c>
      <c r="T6" s="30" t="s">
        <v>814</v>
      </c>
      <c r="U6" s="30" t="s">
        <v>4926</v>
      </c>
      <c r="V6" s="6" t="s">
        <v>9102</v>
      </c>
      <c r="W6" s="6" t="s">
        <v>9103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5703</v>
      </c>
      <c r="B7" s="6" t="s">
        <v>9104</v>
      </c>
      <c r="C7" s="256" t="n">
        <v>61</v>
      </c>
      <c r="D7" s="254"/>
      <c r="E7" s="254"/>
      <c r="F7" s="254" t="s">
        <v>320</v>
      </c>
      <c r="G7" s="30" t="s">
        <v>814</v>
      </c>
      <c r="H7" s="30" t="s">
        <v>9094</v>
      </c>
      <c r="I7" s="30" t="s">
        <v>8590</v>
      </c>
      <c r="J7" s="6" t="s">
        <v>9095</v>
      </c>
      <c r="K7" s="254" t="n">
        <v>3</v>
      </c>
      <c r="L7" s="254" t="s">
        <v>8580</v>
      </c>
      <c r="M7" s="6" t="s">
        <v>9096</v>
      </c>
      <c r="N7" s="254" t="s">
        <v>8593</v>
      </c>
      <c r="O7" s="30" t="s">
        <v>8583</v>
      </c>
      <c r="P7" s="30" t="s">
        <v>814</v>
      </c>
      <c r="Q7" s="30" t="s">
        <v>9097</v>
      </c>
      <c r="R7" s="30" t="s">
        <v>814</v>
      </c>
      <c r="S7" s="30" t="s">
        <v>814</v>
      </c>
      <c r="T7" s="30" t="s">
        <v>814</v>
      </c>
      <c r="U7" s="30" t="s">
        <v>4926</v>
      </c>
      <c r="V7" s="6" t="s">
        <v>9105</v>
      </c>
      <c r="W7" s="6" t="s">
        <v>814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5732</v>
      </c>
      <c r="B8" s="6" t="s">
        <v>9106</v>
      </c>
      <c r="C8" s="256" t="n">
        <v>7168</v>
      </c>
      <c r="D8" s="254"/>
      <c r="E8" s="254"/>
      <c r="F8" s="254" t="s">
        <v>9107</v>
      </c>
      <c r="G8" s="30" t="s">
        <v>814</v>
      </c>
      <c r="H8" s="30" t="s">
        <v>9094</v>
      </c>
      <c r="I8" s="30" t="s">
        <v>8590</v>
      </c>
      <c r="J8" s="6" t="s">
        <v>9095</v>
      </c>
      <c r="K8" s="254" t="n">
        <v>3</v>
      </c>
      <c r="L8" s="254" t="s">
        <v>8580</v>
      </c>
      <c r="M8" s="6" t="s">
        <v>9096</v>
      </c>
      <c r="N8" s="254" t="s">
        <v>8593</v>
      </c>
      <c r="O8" s="30" t="s">
        <v>8583</v>
      </c>
      <c r="P8" s="30" t="s">
        <v>814</v>
      </c>
      <c r="Q8" s="30" t="s">
        <v>9097</v>
      </c>
      <c r="R8" s="30" t="s">
        <v>814</v>
      </c>
      <c r="S8" s="30" t="s">
        <v>814</v>
      </c>
      <c r="T8" s="30" t="s">
        <v>814</v>
      </c>
      <c r="U8" s="30" t="s">
        <v>4926</v>
      </c>
      <c r="V8" s="6" t="s">
        <v>9108</v>
      </c>
      <c r="W8" s="6" t="s">
        <v>814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5693</v>
      </c>
      <c r="B9" s="6" t="s">
        <v>9109</v>
      </c>
      <c r="C9" s="256" t="n">
        <v>284</v>
      </c>
      <c r="D9" s="254"/>
      <c r="E9" s="254"/>
      <c r="F9" s="30" t="s">
        <v>315</v>
      </c>
      <c r="G9" s="30" t="s">
        <v>814</v>
      </c>
      <c r="H9" s="30" t="s">
        <v>9110</v>
      </c>
      <c r="I9" s="30" t="s">
        <v>8590</v>
      </c>
      <c r="J9" s="6" t="s">
        <v>9095</v>
      </c>
      <c r="K9" s="254" t="n">
        <v>3</v>
      </c>
      <c r="L9" s="254" t="s">
        <v>8580</v>
      </c>
      <c r="M9" s="6" t="s">
        <v>9096</v>
      </c>
      <c r="N9" s="254" t="s">
        <v>8593</v>
      </c>
      <c r="O9" s="30" t="s">
        <v>8583</v>
      </c>
      <c r="P9" s="30" t="s">
        <v>814</v>
      </c>
      <c r="Q9" s="30" t="s">
        <v>9097</v>
      </c>
      <c r="R9" s="30" t="s">
        <v>814</v>
      </c>
      <c r="S9" s="30" t="s">
        <v>814</v>
      </c>
      <c r="T9" s="30" t="s">
        <v>814</v>
      </c>
      <c r="U9" s="30" t="s">
        <v>4926</v>
      </c>
      <c r="V9" s="6" t="s">
        <v>9111</v>
      </c>
      <c r="W9" s="6" t="s">
        <v>814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5697</v>
      </c>
      <c r="B10" s="6" t="s">
        <v>9112</v>
      </c>
      <c r="C10" s="256" t="n">
        <v>13</v>
      </c>
      <c r="D10" s="254"/>
      <c r="E10" s="254"/>
      <c r="F10" s="30" t="s">
        <v>315</v>
      </c>
      <c r="G10" s="30" t="s">
        <v>814</v>
      </c>
      <c r="H10" s="30" t="s">
        <v>9110</v>
      </c>
      <c r="I10" s="30" t="s">
        <v>8590</v>
      </c>
      <c r="J10" s="6" t="s">
        <v>9095</v>
      </c>
      <c r="K10" s="254" t="n">
        <v>1</v>
      </c>
      <c r="L10" s="254" t="s">
        <v>8580</v>
      </c>
      <c r="M10" s="6" t="s">
        <v>9096</v>
      </c>
      <c r="N10" s="254" t="s">
        <v>8582</v>
      </c>
      <c r="O10" s="30" t="s">
        <v>8583</v>
      </c>
      <c r="P10" s="30" t="s">
        <v>814</v>
      </c>
      <c r="Q10" s="30" t="s">
        <v>9113</v>
      </c>
      <c r="R10" s="30" t="s">
        <v>814</v>
      </c>
      <c r="S10" s="30" t="s">
        <v>7535</v>
      </c>
      <c r="T10" s="30" t="s">
        <v>814</v>
      </c>
      <c r="U10" s="30" t="s">
        <v>4926</v>
      </c>
      <c r="V10" s="6" t="s">
        <v>9114</v>
      </c>
      <c r="W10" s="6" t="s">
        <v>9115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5701</v>
      </c>
      <c r="B11" s="6" t="s">
        <v>9116</v>
      </c>
      <c r="C11" s="256" t="n">
        <v>43</v>
      </c>
      <c r="D11" s="254"/>
      <c r="E11" s="254"/>
      <c r="F11" s="254" t="s">
        <v>320</v>
      </c>
      <c r="G11" s="254" t="s">
        <v>8593</v>
      </c>
      <c r="H11" s="30" t="s">
        <v>9117</v>
      </c>
      <c r="I11" s="30" t="s">
        <v>814</v>
      </c>
      <c r="J11" s="6" t="s">
        <v>9118</v>
      </c>
      <c r="K11" s="254" t="n">
        <v>1</v>
      </c>
      <c r="L11" s="254" t="s">
        <v>8580</v>
      </c>
      <c r="M11" s="6" t="s">
        <v>9119</v>
      </c>
      <c r="N11" s="254" t="s">
        <v>8582</v>
      </c>
      <c r="O11" s="30" t="s">
        <v>8583</v>
      </c>
      <c r="P11" s="30" t="s">
        <v>814</v>
      </c>
      <c r="Q11" s="30" t="s">
        <v>9120</v>
      </c>
      <c r="R11" s="30" t="s">
        <v>814</v>
      </c>
      <c r="S11" s="30" t="s">
        <v>7535</v>
      </c>
      <c r="T11" s="30" t="s">
        <v>814</v>
      </c>
      <c r="U11" s="30" t="s">
        <v>9121</v>
      </c>
      <c r="V11" s="6" t="s">
        <v>9122</v>
      </c>
      <c r="W11" s="6" t="s">
        <v>9123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5734</v>
      </c>
      <c r="B12" s="6" t="s">
        <v>9124</v>
      </c>
      <c r="C12" s="256" t="n">
        <v>128</v>
      </c>
      <c r="D12" s="254"/>
      <c r="E12" s="254"/>
      <c r="F12" s="254" t="s">
        <v>374</v>
      </c>
      <c r="G12" s="30" t="s">
        <v>814</v>
      </c>
      <c r="H12" s="30" t="s">
        <v>9125</v>
      </c>
      <c r="I12" s="30" t="s">
        <v>814</v>
      </c>
      <c r="J12" s="6" t="s">
        <v>9118</v>
      </c>
      <c r="K12" s="254" t="n">
        <v>3</v>
      </c>
      <c r="L12" s="254" t="s">
        <v>8580</v>
      </c>
      <c r="M12" s="6" t="s">
        <v>9119</v>
      </c>
      <c r="N12" s="254" t="s">
        <v>8718</v>
      </c>
      <c r="O12" s="30" t="s">
        <v>8583</v>
      </c>
      <c r="P12" s="30" t="s">
        <v>814</v>
      </c>
      <c r="Q12" s="30" t="s">
        <v>9126</v>
      </c>
      <c r="R12" s="30" t="s">
        <v>814</v>
      </c>
      <c r="S12" s="30" t="s">
        <v>814</v>
      </c>
      <c r="T12" s="30" t="s">
        <v>814</v>
      </c>
      <c r="U12" s="30" t="s">
        <v>9121</v>
      </c>
      <c r="V12" s="6" t="s">
        <v>9127</v>
      </c>
      <c r="W12" s="6" t="s">
        <v>9128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5705</v>
      </c>
      <c r="B13" s="6" t="s">
        <v>9129</v>
      </c>
      <c r="C13" s="256" t="n">
        <v>512</v>
      </c>
      <c r="D13" s="254"/>
      <c r="E13" s="254"/>
      <c r="F13" s="254" t="s">
        <v>9107</v>
      </c>
      <c r="G13" s="254" t="s">
        <v>9130</v>
      </c>
      <c r="H13" s="30" t="s">
        <v>9131</v>
      </c>
      <c r="I13" s="30" t="s">
        <v>814</v>
      </c>
      <c r="J13" s="6" t="s">
        <v>9118</v>
      </c>
      <c r="K13" s="254" t="n">
        <v>1</v>
      </c>
      <c r="L13" s="254" t="s">
        <v>8580</v>
      </c>
      <c r="M13" s="6" t="s">
        <v>9119</v>
      </c>
      <c r="N13" s="254" t="s">
        <v>8582</v>
      </c>
      <c r="O13" s="30" t="s">
        <v>8583</v>
      </c>
      <c r="P13" s="30" t="s">
        <v>814</v>
      </c>
      <c r="Q13" s="30" t="s">
        <v>9132</v>
      </c>
      <c r="R13" s="30" t="s">
        <v>814</v>
      </c>
      <c r="S13" s="30" t="s">
        <v>7535</v>
      </c>
      <c r="T13" s="30" t="s">
        <v>814</v>
      </c>
      <c r="U13" s="30" t="s">
        <v>9121</v>
      </c>
      <c r="V13" s="6" t="s">
        <v>9133</v>
      </c>
      <c r="W13" s="6" t="s">
        <v>9134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5708</v>
      </c>
      <c r="B14" s="6" t="s">
        <v>9135</v>
      </c>
      <c r="C14" s="256" t="n">
        <v>256</v>
      </c>
      <c r="D14" s="254"/>
      <c r="E14" s="254"/>
      <c r="F14" s="254" t="s">
        <v>374</v>
      </c>
      <c r="G14" s="30" t="s">
        <v>814</v>
      </c>
      <c r="H14" s="30" t="s">
        <v>9117</v>
      </c>
      <c r="I14" s="30" t="s">
        <v>814</v>
      </c>
      <c r="J14" s="6" t="s">
        <v>9118</v>
      </c>
      <c r="K14" s="254" t="n">
        <v>1</v>
      </c>
      <c r="L14" s="254" t="s">
        <v>8580</v>
      </c>
      <c r="M14" s="6" t="s">
        <v>9119</v>
      </c>
      <c r="N14" s="254" t="s">
        <v>8582</v>
      </c>
      <c r="O14" s="30" t="s">
        <v>8583</v>
      </c>
      <c r="P14" s="30" t="s">
        <v>814</v>
      </c>
      <c r="Q14" s="30" t="s">
        <v>9136</v>
      </c>
      <c r="R14" s="30" t="s">
        <v>814</v>
      </c>
      <c r="S14" s="30" t="s">
        <v>7535</v>
      </c>
      <c r="T14" s="30" t="s">
        <v>814</v>
      </c>
      <c r="U14" s="30" t="s">
        <v>9121</v>
      </c>
      <c r="V14" s="6" t="s">
        <v>9137</v>
      </c>
      <c r="W14" s="6" t="s">
        <v>9138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5710</v>
      </c>
      <c r="B15" s="6" t="s">
        <v>9139</v>
      </c>
      <c r="C15" s="256" t="n">
        <v>384</v>
      </c>
      <c r="D15" s="254"/>
      <c r="E15" s="254"/>
      <c r="F15" s="254" t="s">
        <v>374</v>
      </c>
      <c r="G15" s="30" t="s">
        <v>814</v>
      </c>
      <c r="H15" s="30" t="s">
        <v>9125</v>
      </c>
      <c r="I15" s="30" t="s">
        <v>814</v>
      </c>
      <c r="J15" s="6" t="s">
        <v>9118</v>
      </c>
      <c r="K15" s="254" t="n">
        <v>1</v>
      </c>
      <c r="L15" s="254" t="s">
        <v>8580</v>
      </c>
      <c r="M15" s="6" t="s">
        <v>9119</v>
      </c>
      <c r="N15" s="254" t="s">
        <v>8582</v>
      </c>
      <c r="O15" s="30" t="s">
        <v>8583</v>
      </c>
      <c r="P15" s="30" t="s">
        <v>814</v>
      </c>
      <c r="Q15" s="30" t="s">
        <v>9140</v>
      </c>
      <c r="R15" s="30" t="s">
        <v>814</v>
      </c>
      <c r="S15" s="30" t="s">
        <v>7535</v>
      </c>
      <c r="T15" s="30" t="s">
        <v>814</v>
      </c>
      <c r="U15" s="30" t="s">
        <v>9121</v>
      </c>
      <c r="V15" s="6" t="s">
        <v>9141</v>
      </c>
      <c r="W15" s="6" t="s">
        <v>9142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5713</v>
      </c>
      <c r="B16" s="6" t="s">
        <v>9143</v>
      </c>
      <c r="C16" s="256" t="n">
        <v>6</v>
      </c>
      <c r="D16" s="254"/>
      <c r="E16" s="254"/>
      <c r="F16" s="254" t="s">
        <v>374</v>
      </c>
      <c r="G16" s="30" t="s">
        <v>814</v>
      </c>
      <c r="H16" s="30" t="s">
        <v>9131</v>
      </c>
      <c r="I16" s="30" t="s">
        <v>814</v>
      </c>
      <c r="J16" s="6" t="s">
        <v>9118</v>
      </c>
      <c r="K16" s="254" t="n">
        <v>1</v>
      </c>
      <c r="L16" s="254" t="s">
        <v>8580</v>
      </c>
      <c r="M16" s="6" t="s">
        <v>9119</v>
      </c>
      <c r="N16" s="254" t="s">
        <v>8582</v>
      </c>
      <c r="O16" s="30" t="s">
        <v>8583</v>
      </c>
      <c r="P16" s="30" t="s">
        <v>814</v>
      </c>
      <c r="Q16" s="30" t="s">
        <v>9144</v>
      </c>
      <c r="R16" s="30" t="s">
        <v>814</v>
      </c>
      <c r="S16" s="30" t="s">
        <v>7535</v>
      </c>
      <c r="T16" s="30" t="s">
        <v>814</v>
      </c>
      <c r="U16" s="30" t="s">
        <v>9121</v>
      </c>
      <c r="V16" s="6" t="s">
        <v>9145</v>
      </c>
      <c r="W16" s="6" t="s">
        <v>9146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5716</v>
      </c>
      <c r="B17" s="6" t="s">
        <v>9147</v>
      </c>
      <c r="C17" s="256" t="n">
        <v>1</v>
      </c>
      <c r="D17" s="254"/>
      <c r="E17" s="254"/>
      <c r="F17" s="254" t="s">
        <v>374</v>
      </c>
      <c r="G17" s="30" t="s">
        <v>814</v>
      </c>
      <c r="H17" s="30" t="s">
        <v>9131</v>
      </c>
      <c r="I17" s="30" t="s">
        <v>814</v>
      </c>
      <c r="J17" s="6" t="s">
        <v>9118</v>
      </c>
      <c r="K17" s="254" t="n">
        <v>1</v>
      </c>
      <c r="L17" s="254" t="s">
        <v>8580</v>
      </c>
      <c r="M17" s="6" t="s">
        <v>9119</v>
      </c>
      <c r="N17" s="254" t="s">
        <v>8582</v>
      </c>
      <c r="O17" s="30" t="s">
        <v>8583</v>
      </c>
      <c r="P17" s="30" t="s">
        <v>814</v>
      </c>
      <c r="Q17" s="30" t="s">
        <v>9148</v>
      </c>
      <c r="R17" s="30" t="s">
        <v>814</v>
      </c>
      <c r="S17" s="30" t="s">
        <v>7535</v>
      </c>
      <c r="T17" s="30" t="s">
        <v>814</v>
      </c>
      <c r="U17" s="30" t="s">
        <v>9121</v>
      </c>
      <c r="V17" s="6" t="s">
        <v>9149</v>
      </c>
      <c r="W17" s="6" t="s">
        <v>9150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5719</v>
      </c>
      <c r="B18" s="6" t="s">
        <v>9151</v>
      </c>
      <c r="C18" s="256" t="n">
        <v>129280</v>
      </c>
      <c r="D18" s="254"/>
      <c r="E18" s="254"/>
      <c r="F18" s="30" t="s">
        <v>9152</v>
      </c>
      <c r="G18" s="30" t="s">
        <v>814</v>
      </c>
      <c r="H18" s="30" t="s">
        <v>9131</v>
      </c>
      <c r="I18" s="30" t="s">
        <v>814</v>
      </c>
      <c r="J18" s="6" t="s">
        <v>9118</v>
      </c>
      <c r="K18" s="254" t="n">
        <v>1</v>
      </c>
      <c r="L18" s="254" t="s">
        <v>8580</v>
      </c>
      <c r="M18" s="6" t="s">
        <v>9119</v>
      </c>
      <c r="N18" s="254" t="s">
        <v>8582</v>
      </c>
      <c r="O18" s="30" t="s">
        <v>8583</v>
      </c>
      <c r="P18" s="30" t="s">
        <v>814</v>
      </c>
      <c r="Q18" s="30" t="s">
        <v>9153</v>
      </c>
      <c r="R18" s="30" t="s">
        <v>814</v>
      </c>
      <c r="S18" s="30" t="s">
        <v>7535</v>
      </c>
      <c r="T18" s="30" t="s">
        <v>814</v>
      </c>
      <c r="U18" s="30" t="s">
        <v>9121</v>
      </c>
      <c r="V18" s="6" t="s">
        <v>9154</v>
      </c>
      <c r="W18" s="6" t="s">
        <v>9155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5723</v>
      </c>
      <c r="B19" s="6" t="s">
        <v>9156</v>
      </c>
      <c r="C19" s="256" t="n">
        <v>0.512</v>
      </c>
      <c r="D19" s="254"/>
      <c r="E19" s="254"/>
      <c r="F19" s="30" t="s">
        <v>131</v>
      </c>
      <c r="G19" s="254" t="s">
        <v>9157</v>
      </c>
      <c r="H19" s="30" t="s">
        <v>9117</v>
      </c>
      <c r="I19" s="30" t="s">
        <v>814</v>
      </c>
      <c r="J19" s="6" t="s">
        <v>9118</v>
      </c>
      <c r="K19" s="254" t="n">
        <v>1</v>
      </c>
      <c r="L19" s="254" t="s">
        <v>8580</v>
      </c>
      <c r="M19" s="6" t="s">
        <v>9119</v>
      </c>
      <c r="N19" s="254" t="s">
        <v>8582</v>
      </c>
      <c r="O19" s="30" t="s">
        <v>8583</v>
      </c>
      <c r="P19" s="30" t="s">
        <v>814</v>
      </c>
      <c r="Q19" s="30" t="s">
        <v>9158</v>
      </c>
      <c r="R19" s="30" t="s">
        <v>814</v>
      </c>
      <c r="S19" s="30" t="s">
        <v>7535</v>
      </c>
      <c r="T19" s="30" t="s">
        <v>814</v>
      </c>
      <c r="U19" s="30" t="s">
        <v>9121</v>
      </c>
      <c r="V19" s="6" t="s">
        <v>9159</v>
      </c>
      <c r="W19" s="6" t="s">
        <v>9160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5726</v>
      </c>
      <c r="B20" s="6" t="s">
        <v>9161</v>
      </c>
      <c r="C20" s="256" t="n">
        <v>128</v>
      </c>
      <c r="D20" s="254"/>
      <c r="E20" s="254"/>
      <c r="F20" s="30" t="s">
        <v>136</v>
      </c>
      <c r="G20" s="30" t="s">
        <v>814</v>
      </c>
      <c r="H20" s="30" t="s">
        <v>9131</v>
      </c>
      <c r="I20" s="30" t="s">
        <v>814</v>
      </c>
      <c r="J20" s="6" t="s">
        <v>9118</v>
      </c>
      <c r="K20" s="254" t="n">
        <v>1</v>
      </c>
      <c r="L20" s="254" t="s">
        <v>8580</v>
      </c>
      <c r="M20" s="6" t="s">
        <v>9119</v>
      </c>
      <c r="N20" s="254" t="s">
        <v>8582</v>
      </c>
      <c r="O20" s="30" t="s">
        <v>8583</v>
      </c>
      <c r="P20" s="30" t="s">
        <v>814</v>
      </c>
      <c r="Q20" s="30" t="s">
        <v>9162</v>
      </c>
      <c r="R20" s="30" t="s">
        <v>814</v>
      </c>
      <c r="S20" s="30" t="s">
        <v>7535</v>
      </c>
      <c r="T20" s="30" t="s">
        <v>814</v>
      </c>
      <c r="U20" s="30" t="s">
        <v>9121</v>
      </c>
      <c r="V20" s="6" t="s">
        <v>9163</v>
      </c>
      <c r="W20" s="6" t="s">
        <v>9164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5729</v>
      </c>
      <c r="B21" s="6" t="s">
        <v>9165</v>
      </c>
      <c r="C21" s="256" t="n">
        <v>128</v>
      </c>
      <c r="D21" s="254"/>
      <c r="E21" s="254"/>
      <c r="F21" s="30" t="s">
        <v>337</v>
      </c>
      <c r="G21" s="30" t="s">
        <v>814</v>
      </c>
      <c r="H21" s="30" t="s">
        <v>9131</v>
      </c>
      <c r="I21" s="30" t="s">
        <v>814</v>
      </c>
      <c r="J21" s="6" t="s">
        <v>9118</v>
      </c>
      <c r="K21" s="254" t="n">
        <v>1</v>
      </c>
      <c r="L21" s="254" t="s">
        <v>8580</v>
      </c>
      <c r="M21" s="6" t="s">
        <v>9119</v>
      </c>
      <c r="N21" s="254" t="s">
        <v>8582</v>
      </c>
      <c r="O21" s="30" t="s">
        <v>8583</v>
      </c>
      <c r="P21" s="30" t="s">
        <v>814</v>
      </c>
      <c r="Q21" s="30" t="s">
        <v>9166</v>
      </c>
      <c r="R21" s="30" t="s">
        <v>814</v>
      </c>
      <c r="S21" s="30" t="s">
        <v>7535</v>
      </c>
      <c r="T21" s="30" t="s">
        <v>814</v>
      </c>
      <c r="U21" s="30" t="s">
        <v>9121</v>
      </c>
      <c r="V21" s="6" t="s">
        <v>9167</v>
      </c>
      <c r="W21" s="6" t="s">
        <v>9168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5743</v>
      </c>
      <c r="B22" s="6" t="s">
        <v>9169</v>
      </c>
      <c r="C22" s="256" t="n">
        <v>1024</v>
      </c>
      <c r="D22" s="254"/>
      <c r="E22" s="254"/>
      <c r="F22" s="254" t="s">
        <v>9170</v>
      </c>
      <c r="G22" s="30" t="s">
        <v>814</v>
      </c>
      <c r="H22" s="30" t="s">
        <v>9131</v>
      </c>
      <c r="I22" s="30" t="s">
        <v>814</v>
      </c>
      <c r="J22" s="6" t="s">
        <v>9118</v>
      </c>
      <c r="K22" s="254" t="n">
        <v>3</v>
      </c>
      <c r="L22" s="254" t="s">
        <v>8580</v>
      </c>
      <c r="M22" s="6" t="s">
        <v>9119</v>
      </c>
      <c r="N22" s="254" t="s">
        <v>8718</v>
      </c>
      <c r="O22" s="30" t="s">
        <v>8583</v>
      </c>
      <c r="P22" s="30" t="s">
        <v>814</v>
      </c>
      <c r="Q22" s="30" t="s">
        <v>9126</v>
      </c>
      <c r="R22" s="30" t="s">
        <v>814</v>
      </c>
      <c r="S22" s="30" t="s">
        <v>814</v>
      </c>
      <c r="T22" s="30" t="s">
        <v>814</v>
      </c>
      <c r="U22" s="30" t="s">
        <v>9121</v>
      </c>
      <c r="V22" s="6" t="s">
        <v>9171</v>
      </c>
      <c r="W22" s="6" t="s">
        <v>9172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9173</v>
      </c>
      <c r="B23" s="6" t="s">
        <v>9174</v>
      </c>
      <c r="C23" s="256" t="n">
        <v>4</v>
      </c>
      <c r="D23" s="254"/>
      <c r="E23" s="254"/>
      <c r="F23" s="30" t="s">
        <v>9175</v>
      </c>
      <c r="G23" s="30" t="s">
        <v>814</v>
      </c>
      <c r="H23" s="30" t="s">
        <v>9131</v>
      </c>
      <c r="I23" s="30" t="s">
        <v>814</v>
      </c>
      <c r="J23" s="6" t="s">
        <v>9118</v>
      </c>
      <c r="K23" s="254" t="n">
        <v>3</v>
      </c>
      <c r="L23" s="254" t="s">
        <v>8580</v>
      </c>
      <c r="M23" s="6" t="s">
        <v>9119</v>
      </c>
      <c r="N23" s="254" t="s">
        <v>8718</v>
      </c>
      <c r="O23" s="30" t="s">
        <v>8583</v>
      </c>
      <c r="P23" s="30" t="s">
        <v>814</v>
      </c>
      <c r="Q23" s="30" t="s">
        <v>9126</v>
      </c>
      <c r="R23" s="30" t="s">
        <v>814</v>
      </c>
      <c r="S23" s="30" t="s">
        <v>814</v>
      </c>
      <c r="T23" s="30" t="s">
        <v>814</v>
      </c>
      <c r="U23" s="30" t="s">
        <v>9121</v>
      </c>
      <c r="V23" s="6" t="s">
        <v>9171</v>
      </c>
      <c r="W23" s="6" t="s">
        <v>814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6054</v>
      </c>
      <c r="B24" s="6" t="s">
        <v>9176</v>
      </c>
      <c r="C24" s="256" t="n">
        <v>671</v>
      </c>
      <c r="D24" s="254"/>
      <c r="E24" s="254"/>
      <c r="F24" s="30" t="s">
        <v>315</v>
      </c>
      <c r="G24" s="30" t="s">
        <v>814</v>
      </c>
      <c r="H24" s="30" t="s">
        <v>9177</v>
      </c>
      <c r="I24" s="30" t="s">
        <v>814</v>
      </c>
      <c r="J24" s="6" t="s">
        <v>9118</v>
      </c>
      <c r="K24" s="254" t="n">
        <v>3</v>
      </c>
      <c r="L24" s="254" t="s">
        <v>8580</v>
      </c>
      <c r="M24" s="6" t="s">
        <v>9119</v>
      </c>
      <c r="N24" s="254" t="s">
        <v>8718</v>
      </c>
      <c r="O24" s="30" t="s">
        <v>8583</v>
      </c>
      <c r="P24" s="30" t="s">
        <v>814</v>
      </c>
      <c r="Q24" s="30" t="s">
        <v>9126</v>
      </c>
      <c r="R24" s="30" t="s">
        <v>814</v>
      </c>
      <c r="S24" s="30" t="s">
        <v>814</v>
      </c>
      <c r="T24" s="30" t="s">
        <v>814</v>
      </c>
      <c r="U24" s="30" t="s">
        <v>9121</v>
      </c>
      <c r="V24" s="6" t="s">
        <v>9178</v>
      </c>
      <c r="W24" s="6" t="s">
        <v>814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6057</v>
      </c>
      <c r="B25" s="6" t="s">
        <v>9179</v>
      </c>
      <c r="C25" s="256" t="n">
        <v>37</v>
      </c>
      <c r="D25" s="254"/>
      <c r="E25" s="254"/>
      <c r="F25" s="30" t="s">
        <v>315</v>
      </c>
      <c r="G25" s="30" t="s">
        <v>814</v>
      </c>
      <c r="H25" s="30" t="s">
        <v>9177</v>
      </c>
      <c r="I25" s="30" t="s">
        <v>814</v>
      </c>
      <c r="J25" s="6" t="s">
        <v>9118</v>
      </c>
      <c r="K25" s="254" t="n">
        <v>3</v>
      </c>
      <c r="L25" s="254" t="s">
        <v>8580</v>
      </c>
      <c r="M25" s="6" t="s">
        <v>9119</v>
      </c>
      <c r="N25" s="254" t="s">
        <v>8718</v>
      </c>
      <c r="O25" s="30" t="s">
        <v>8583</v>
      </c>
      <c r="P25" s="30" t="s">
        <v>814</v>
      </c>
      <c r="Q25" s="30" t="s">
        <v>9126</v>
      </c>
      <c r="R25" s="30" t="s">
        <v>814</v>
      </c>
      <c r="S25" s="30" t="s">
        <v>814</v>
      </c>
      <c r="T25" s="30" t="s">
        <v>814</v>
      </c>
      <c r="U25" s="30" t="s">
        <v>9121</v>
      </c>
      <c r="V25" s="6" t="s">
        <v>9180</v>
      </c>
      <c r="W25" s="6" t="s">
        <v>814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6060</v>
      </c>
      <c r="B26" s="6" t="s">
        <v>9181</v>
      </c>
      <c r="C26" s="256" t="n">
        <v>61</v>
      </c>
      <c r="D26" s="254"/>
      <c r="E26" s="254"/>
      <c r="F26" s="254" t="s">
        <v>320</v>
      </c>
      <c r="G26" s="30" t="s">
        <v>814</v>
      </c>
      <c r="H26" s="30" t="s">
        <v>9177</v>
      </c>
      <c r="I26" s="30" t="s">
        <v>814</v>
      </c>
      <c r="J26" s="6" t="s">
        <v>9118</v>
      </c>
      <c r="K26" s="254" t="n">
        <v>3</v>
      </c>
      <c r="L26" s="254" t="s">
        <v>8580</v>
      </c>
      <c r="M26" s="6" t="s">
        <v>9119</v>
      </c>
      <c r="N26" s="254" t="s">
        <v>8718</v>
      </c>
      <c r="O26" s="30" t="s">
        <v>8583</v>
      </c>
      <c r="P26" s="30" t="s">
        <v>814</v>
      </c>
      <c r="Q26" s="30" t="s">
        <v>9126</v>
      </c>
      <c r="R26" s="30" t="s">
        <v>814</v>
      </c>
      <c r="S26" s="30" t="s">
        <v>814</v>
      </c>
      <c r="T26" s="30" t="s">
        <v>814</v>
      </c>
      <c r="U26" s="30" t="s">
        <v>9121</v>
      </c>
      <c r="V26" s="6" t="s">
        <v>9182</v>
      </c>
      <c r="W26" s="6" t="s">
        <v>814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6063</v>
      </c>
      <c r="B27" s="6" t="s">
        <v>9183</v>
      </c>
      <c r="C27" s="256" t="n">
        <v>7168</v>
      </c>
      <c r="D27" s="254"/>
      <c r="E27" s="254"/>
      <c r="F27" s="254" t="s">
        <v>9107</v>
      </c>
      <c r="G27" s="30" t="s">
        <v>814</v>
      </c>
      <c r="H27" s="30" t="s">
        <v>9177</v>
      </c>
      <c r="I27" s="30" t="s">
        <v>814</v>
      </c>
      <c r="J27" s="6" t="s">
        <v>9118</v>
      </c>
      <c r="K27" s="254" t="n">
        <v>3</v>
      </c>
      <c r="L27" s="254" t="s">
        <v>8580</v>
      </c>
      <c r="M27" s="6" t="s">
        <v>9119</v>
      </c>
      <c r="N27" s="254" t="s">
        <v>8718</v>
      </c>
      <c r="O27" s="30" t="s">
        <v>8583</v>
      </c>
      <c r="P27" s="30" t="s">
        <v>814</v>
      </c>
      <c r="Q27" s="30" t="s">
        <v>9126</v>
      </c>
      <c r="R27" s="30" t="s">
        <v>814</v>
      </c>
      <c r="S27" s="30" t="s">
        <v>814</v>
      </c>
      <c r="T27" s="30" t="s">
        <v>814</v>
      </c>
      <c r="U27" s="30" t="s">
        <v>9121</v>
      </c>
      <c r="V27" s="6" t="s">
        <v>9184</v>
      </c>
      <c r="W27" s="6" t="s">
        <v>814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6066</v>
      </c>
      <c r="B28" s="6" t="s">
        <v>9185</v>
      </c>
      <c r="C28" s="256" t="n">
        <v>256</v>
      </c>
      <c r="D28" s="254"/>
      <c r="E28" s="254"/>
      <c r="F28" s="254" t="s">
        <v>374</v>
      </c>
      <c r="G28" s="30" t="s">
        <v>814</v>
      </c>
      <c r="H28" s="30" t="s">
        <v>9177</v>
      </c>
      <c r="I28" s="30" t="s">
        <v>814</v>
      </c>
      <c r="J28" s="6" t="s">
        <v>9118</v>
      </c>
      <c r="K28" s="254" t="n">
        <v>3</v>
      </c>
      <c r="L28" s="254" t="s">
        <v>8580</v>
      </c>
      <c r="M28" s="6" t="s">
        <v>9119</v>
      </c>
      <c r="N28" s="254" t="s">
        <v>8718</v>
      </c>
      <c r="O28" s="30" t="s">
        <v>8583</v>
      </c>
      <c r="P28" s="30" t="s">
        <v>814</v>
      </c>
      <c r="Q28" s="30" t="s">
        <v>9126</v>
      </c>
      <c r="R28" s="30" t="s">
        <v>814</v>
      </c>
      <c r="S28" s="30" t="s">
        <v>814</v>
      </c>
      <c r="T28" s="30" t="s">
        <v>814</v>
      </c>
      <c r="U28" s="30" t="s">
        <v>9121</v>
      </c>
      <c r="V28" s="6" t="s">
        <v>9186</v>
      </c>
      <c r="W28" s="6" t="s">
        <v>814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6070</v>
      </c>
      <c r="B29" s="6" t="s">
        <v>9187</v>
      </c>
      <c r="C29" s="256" t="n">
        <v>8</v>
      </c>
      <c r="D29" s="254"/>
      <c r="E29" s="254"/>
      <c r="F29" s="254" t="s">
        <v>374</v>
      </c>
      <c r="G29" s="30" t="s">
        <v>814</v>
      </c>
      <c r="H29" s="30" t="s">
        <v>9177</v>
      </c>
      <c r="I29" s="30" t="s">
        <v>814</v>
      </c>
      <c r="J29" s="6" t="s">
        <v>9118</v>
      </c>
      <c r="K29" s="254" t="n">
        <v>3</v>
      </c>
      <c r="L29" s="254" t="s">
        <v>8580</v>
      </c>
      <c r="M29" s="6" t="s">
        <v>9119</v>
      </c>
      <c r="N29" s="254" t="s">
        <v>8718</v>
      </c>
      <c r="O29" s="30" t="s">
        <v>8583</v>
      </c>
      <c r="P29" s="30" t="s">
        <v>814</v>
      </c>
      <c r="Q29" s="30" t="s">
        <v>9126</v>
      </c>
      <c r="R29" s="30" t="s">
        <v>814</v>
      </c>
      <c r="S29" s="30" t="s">
        <v>814</v>
      </c>
      <c r="T29" s="30" t="s">
        <v>814</v>
      </c>
      <c r="U29" s="30" t="s">
        <v>9121</v>
      </c>
      <c r="V29" s="6" t="s">
        <v>9188</v>
      </c>
      <c r="W29" s="6" t="s">
        <v>814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6073</v>
      </c>
      <c r="B30" s="6" t="s">
        <v>9189</v>
      </c>
      <c r="C30" s="256" t="n">
        <v>1</v>
      </c>
      <c r="D30" s="254"/>
      <c r="E30" s="254"/>
      <c r="F30" s="254" t="s">
        <v>374</v>
      </c>
      <c r="G30" s="30" t="s">
        <v>814</v>
      </c>
      <c r="H30" s="30" t="s">
        <v>9177</v>
      </c>
      <c r="I30" s="30" t="s">
        <v>814</v>
      </c>
      <c r="J30" s="6" t="s">
        <v>9118</v>
      </c>
      <c r="K30" s="254" t="n">
        <v>3</v>
      </c>
      <c r="L30" s="254" t="s">
        <v>8580</v>
      </c>
      <c r="M30" s="6" t="s">
        <v>9119</v>
      </c>
      <c r="N30" s="254" t="s">
        <v>8718</v>
      </c>
      <c r="O30" s="30" t="s">
        <v>8583</v>
      </c>
      <c r="P30" s="30" t="s">
        <v>814</v>
      </c>
      <c r="Q30" s="30" t="s">
        <v>9126</v>
      </c>
      <c r="R30" s="30" t="s">
        <v>814</v>
      </c>
      <c r="S30" s="30" t="s">
        <v>814</v>
      </c>
      <c r="T30" s="30" t="s">
        <v>814</v>
      </c>
      <c r="U30" s="30" t="s">
        <v>9121</v>
      </c>
      <c r="V30" s="6" t="s">
        <v>9190</v>
      </c>
      <c r="W30" s="6" t="s">
        <v>814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6076</v>
      </c>
      <c r="B31" s="6" t="s">
        <v>9191</v>
      </c>
      <c r="C31" s="256" t="n">
        <v>129280</v>
      </c>
      <c r="D31" s="254"/>
      <c r="E31" s="254"/>
      <c r="F31" s="30" t="s">
        <v>9152</v>
      </c>
      <c r="G31" s="30" t="s">
        <v>814</v>
      </c>
      <c r="H31" s="30" t="s">
        <v>9177</v>
      </c>
      <c r="I31" s="30" t="s">
        <v>814</v>
      </c>
      <c r="J31" s="6" t="s">
        <v>9118</v>
      </c>
      <c r="K31" s="254" t="n">
        <v>3</v>
      </c>
      <c r="L31" s="254" t="s">
        <v>8580</v>
      </c>
      <c r="M31" s="6" t="s">
        <v>9119</v>
      </c>
      <c r="N31" s="254" t="s">
        <v>8718</v>
      </c>
      <c r="O31" s="30" t="s">
        <v>8583</v>
      </c>
      <c r="P31" s="30" t="s">
        <v>814</v>
      </c>
      <c r="Q31" s="30" t="s">
        <v>9126</v>
      </c>
      <c r="R31" s="30" t="s">
        <v>814</v>
      </c>
      <c r="S31" s="30" t="s">
        <v>814</v>
      </c>
      <c r="T31" s="30" t="s">
        <v>814</v>
      </c>
      <c r="U31" s="30" t="s">
        <v>9121</v>
      </c>
      <c r="V31" s="6" t="s">
        <v>9192</v>
      </c>
      <c r="W31" s="6" t="s">
        <v>814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6079</v>
      </c>
      <c r="B32" s="6" t="s">
        <v>9193</v>
      </c>
      <c r="C32" s="256" t="n">
        <v>576</v>
      </c>
      <c r="D32" s="254"/>
      <c r="E32" s="254"/>
      <c r="F32" s="254" t="s">
        <v>9107</v>
      </c>
      <c r="G32" s="30" t="s">
        <v>9194</v>
      </c>
      <c r="H32" s="30" t="s">
        <v>9177</v>
      </c>
      <c r="I32" s="30" t="s">
        <v>814</v>
      </c>
      <c r="J32" s="6" t="s">
        <v>9118</v>
      </c>
      <c r="K32" s="254" t="n">
        <v>3</v>
      </c>
      <c r="L32" s="254" t="s">
        <v>8580</v>
      </c>
      <c r="M32" s="6" t="s">
        <v>9119</v>
      </c>
      <c r="N32" s="254" t="s">
        <v>8718</v>
      </c>
      <c r="O32" s="30" t="s">
        <v>8583</v>
      </c>
      <c r="P32" s="30" t="s">
        <v>814</v>
      </c>
      <c r="Q32" s="30" t="s">
        <v>9126</v>
      </c>
      <c r="R32" s="30" t="s">
        <v>814</v>
      </c>
      <c r="S32" s="30" t="s">
        <v>814</v>
      </c>
      <c r="T32" s="30" t="s">
        <v>814</v>
      </c>
      <c r="U32" s="30" t="s">
        <v>9121</v>
      </c>
      <c r="V32" s="6" t="s">
        <v>9195</v>
      </c>
      <c r="W32" s="6" t="s">
        <v>9196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6212</v>
      </c>
      <c r="B33" s="6" t="s">
        <v>9197</v>
      </c>
      <c r="C33" s="256" t="n">
        <v>32</v>
      </c>
      <c r="D33" s="254"/>
      <c r="E33" s="254"/>
      <c r="F33" s="30" t="s">
        <v>1180</v>
      </c>
      <c r="G33" s="30" t="s">
        <v>814</v>
      </c>
      <c r="H33" s="30" t="s">
        <v>9110</v>
      </c>
      <c r="I33" s="30" t="s">
        <v>8604</v>
      </c>
      <c r="J33" s="6" t="s">
        <v>9198</v>
      </c>
      <c r="K33" s="254" t="n">
        <v>1</v>
      </c>
      <c r="L33" s="254" t="s">
        <v>8580</v>
      </c>
      <c r="M33" s="6" t="s">
        <v>9199</v>
      </c>
      <c r="N33" s="254" t="s">
        <v>9200</v>
      </c>
      <c r="O33" s="30" t="s">
        <v>8583</v>
      </c>
      <c r="P33" s="30" t="s">
        <v>814</v>
      </c>
      <c r="Q33" s="30" t="s">
        <v>9201</v>
      </c>
      <c r="R33" s="30" t="s">
        <v>814</v>
      </c>
      <c r="S33" s="30" t="s">
        <v>814</v>
      </c>
      <c r="T33" s="30" t="s">
        <v>814</v>
      </c>
      <c r="U33" s="30" t="s">
        <v>9202</v>
      </c>
      <c r="V33" s="6" t="s">
        <v>9203</v>
      </c>
      <c r="W33" s="6" t="s">
        <v>814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6214</v>
      </c>
      <c r="B34" s="6" t="s">
        <v>9204</v>
      </c>
      <c r="C34" s="256" t="n">
        <v>33</v>
      </c>
      <c r="D34" s="254"/>
      <c r="E34" s="254"/>
      <c r="F34" s="30" t="s">
        <v>1180</v>
      </c>
      <c r="G34" s="30" t="s">
        <v>814</v>
      </c>
      <c r="H34" s="30" t="s">
        <v>9094</v>
      </c>
      <c r="I34" s="30" t="s">
        <v>8604</v>
      </c>
      <c r="J34" s="6" t="s">
        <v>9198</v>
      </c>
      <c r="K34" s="254" t="n">
        <v>1</v>
      </c>
      <c r="L34" s="254" t="s">
        <v>8580</v>
      </c>
      <c r="M34" s="6" t="s">
        <v>9199</v>
      </c>
      <c r="N34" s="254" t="s">
        <v>9200</v>
      </c>
      <c r="O34" s="30" t="s">
        <v>8583</v>
      </c>
      <c r="P34" s="30" t="s">
        <v>814</v>
      </c>
      <c r="Q34" s="30" t="s">
        <v>9201</v>
      </c>
      <c r="R34" s="30" t="s">
        <v>814</v>
      </c>
      <c r="S34" s="30" t="s">
        <v>814</v>
      </c>
      <c r="T34" s="30" t="s">
        <v>814</v>
      </c>
      <c r="U34" s="30" t="s">
        <v>9202</v>
      </c>
      <c r="V34" s="6" t="s">
        <v>9205</v>
      </c>
      <c r="W34" s="6" t="s">
        <v>814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6217</v>
      </c>
      <c r="B35" s="6" t="s">
        <v>9206</v>
      </c>
      <c r="C35" s="256" t="n">
        <v>4096</v>
      </c>
      <c r="D35" s="254"/>
      <c r="E35" s="254"/>
      <c r="F35" s="30" t="s">
        <v>337</v>
      </c>
      <c r="G35" s="30" t="s">
        <v>9207</v>
      </c>
      <c r="H35" s="30" t="s">
        <v>9131</v>
      </c>
      <c r="I35" s="30" t="s">
        <v>8604</v>
      </c>
      <c r="J35" s="6" t="s">
        <v>9198</v>
      </c>
      <c r="K35" s="254" t="n">
        <v>1</v>
      </c>
      <c r="L35" s="254" t="s">
        <v>8580</v>
      </c>
      <c r="M35" s="6" t="s">
        <v>9199</v>
      </c>
      <c r="N35" s="254" t="s">
        <v>9200</v>
      </c>
      <c r="O35" s="30" t="s">
        <v>8583</v>
      </c>
      <c r="P35" s="30" t="s">
        <v>814</v>
      </c>
      <c r="Q35" s="30" t="s">
        <v>9201</v>
      </c>
      <c r="R35" s="30" t="s">
        <v>814</v>
      </c>
      <c r="S35" s="30" t="s">
        <v>814</v>
      </c>
      <c r="T35" s="30" t="s">
        <v>814</v>
      </c>
      <c r="U35" s="30" t="s">
        <v>9202</v>
      </c>
      <c r="V35" s="6" t="s">
        <v>9208</v>
      </c>
      <c r="W35" s="6" t="s">
        <v>814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9209</v>
      </c>
      <c r="B36" s="6" t="s">
        <v>9210</v>
      </c>
      <c r="C36" s="256" t="n">
        <v>16384</v>
      </c>
      <c r="D36" s="254"/>
      <c r="E36" s="254"/>
      <c r="F36" s="30" t="s">
        <v>337</v>
      </c>
      <c r="G36" s="254" t="s">
        <v>9211</v>
      </c>
      <c r="H36" s="30" t="s">
        <v>9131</v>
      </c>
      <c r="I36" s="30" t="s">
        <v>8604</v>
      </c>
      <c r="J36" s="6" t="s">
        <v>9198</v>
      </c>
      <c r="K36" s="254" t="n">
        <v>1</v>
      </c>
      <c r="L36" s="254" t="s">
        <v>8580</v>
      </c>
      <c r="M36" s="6" t="s">
        <v>9199</v>
      </c>
      <c r="N36" s="254" t="s">
        <v>9200</v>
      </c>
      <c r="O36" s="30" t="s">
        <v>8583</v>
      </c>
      <c r="P36" s="30" t="s">
        <v>814</v>
      </c>
      <c r="Q36" s="30" t="s">
        <v>9201</v>
      </c>
      <c r="R36" s="30" t="s">
        <v>814</v>
      </c>
      <c r="S36" s="30" t="s">
        <v>814</v>
      </c>
      <c r="T36" s="30" t="s">
        <v>814</v>
      </c>
      <c r="U36" s="30" t="s">
        <v>9202</v>
      </c>
      <c r="V36" s="6" t="s">
        <v>814</v>
      </c>
      <c r="W36" s="6" t="s">
        <v>814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6666</v>
      </c>
      <c r="B37" s="6" t="s">
        <v>9212</v>
      </c>
      <c r="C37" s="256" t="n">
        <v>4.6E+026</v>
      </c>
      <c r="D37" s="254"/>
      <c r="E37" s="254"/>
      <c r="F37" s="30" t="s">
        <v>359</v>
      </c>
      <c r="G37" s="254" t="s">
        <v>9213</v>
      </c>
      <c r="H37" s="30" t="s">
        <v>9214</v>
      </c>
      <c r="I37" s="30" t="s">
        <v>9215</v>
      </c>
      <c r="J37" s="6" t="s">
        <v>9216</v>
      </c>
      <c r="K37" s="254" t="n">
        <v>1</v>
      </c>
      <c r="L37" s="254" t="s">
        <v>8687</v>
      </c>
      <c r="M37" s="6" t="s">
        <v>9217</v>
      </c>
      <c r="N37" s="254" t="s">
        <v>9218</v>
      </c>
      <c r="O37" s="30" t="s">
        <v>8583</v>
      </c>
      <c r="P37" s="30" t="s">
        <v>814</v>
      </c>
      <c r="Q37" s="30" t="s">
        <v>9219</v>
      </c>
      <c r="R37" s="30" t="s">
        <v>814</v>
      </c>
      <c r="S37" s="30" t="s">
        <v>814</v>
      </c>
      <c r="T37" s="30" t="s">
        <v>814</v>
      </c>
      <c r="U37" s="30" t="s">
        <v>9220</v>
      </c>
      <c r="V37" s="6" t="s">
        <v>9221</v>
      </c>
      <c r="W37" s="20" t="s">
        <v>9222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4041</v>
      </c>
      <c r="B38" s="6" t="s">
        <v>9223</v>
      </c>
      <c r="C38" s="256" t="n">
        <v>0.147</v>
      </c>
      <c r="D38" s="254"/>
      <c r="E38" s="254"/>
      <c r="F38" s="30" t="s">
        <v>9224</v>
      </c>
      <c r="G38" s="30" t="s">
        <v>9225</v>
      </c>
      <c r="H38" s="30" t="s">
        <v>9226</v>
      </c>
      <c r="I38" s="30" t="s">
        <v>9227</v>
      </c>
      <c r="J38" s="6" t="s">
        <v>9228</v>
      </c>
      <c r="K38" s="254" t="n">
        <v>2</v>
      </c>
      <c r="L38" s="254" t="s">
        <v>8580</v>
      </c>
      <c r="M38" s="6" t="s">
        <v>9229</v>
      </c>
      <c r="N38" s="254" t="s">
        <v>8593</v>
      </c>
      <c r="O38" s="30" t="s">
        <v>8583</v>
      </c>
      <c r="P38" s="30" t="s">
        <v>814</v>
      </c>
      <c r="Q38" s="30" t="s">
        <v>9230</v>
      </c>
      <c r="R38" s="30" t="s">
        <v>814</v>
      </c>
      <c r="S38" s="30" t="s">
        <v>814</v>
      </c>
      <c r="T38" s="30" t="s">
        <v>814</v>
      </c>
      <c r="U38" s="30" t="s">
        <v>9231</v>
      </c>
      <c r="V38" s="6" t="s">
        <v>9232</v>
      </c>
      <c r="W38" s="6" t="s">
        <v>9233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9234</v>
      </c>
      <c r="B39" s="6" t="s">
        <v>9235</v>
      </c>
      <c r="C39" s="256" t="n">
        <v>0.14</v>
      </c>
      <c r="D39" s="254"/>
      <c r="E39" s="254"/>
      <c r="F39" s="30" t="s">
        <v>9236</v>
      </c>
      <c r="G39" s="254" t="s">
        <v>9237</v>
      </c>
      <c r="H39" s="30" t="s">
        <v>9238</v>
      </c>
      <c r="I39" s="30" t="s">
        <v>9239</v>
      </c>
      <c r="J39" s="6" t="s">
        <v>9240</v>
      </c>
      <c r="K39" s="254" t="n">
        <v>2</v>
      </c>
      <c r="L39" s="254" t="s">
        <v>8580</v>
      </c>
      <c r="M39" s="6" t="s">
        <v>9241</v>
      </c>
      <c r="N39" s="254" t="s">
        <v>8593</v>
      </c>
      <c r="O39" s="30" t="s">
        <v>8583</v>
      </c>
      <c r="P39" s="30" t="s">
        <v>814</v>
      </c>
      <c r="Q39" s="30" t="s">
        <v>9242</v>
      </c>
      <c r="R39" s="30" t="s">
        <v>814</v>
      </c>
      <c r="S39" s="30" t="s">
        <v>814</v>
      </c>
      <c r="T39" s="30" t="s">
        <v>814</v>
      </c>
      <c r="U39" s="30" t="s">
        <v>9243</v>
      </c>
      <c r="V39" s="6" t="s">
        <v>814</v>
      </c>
      <c r="W39" s="6" t="s">
        <v>814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4049</v>
      </c>
      <c r="B40" s="6" t="s">
        <v>9244</v>
      </c>
      <c r="C40" s="256" t="n">
        <v>1</v>
      </c>
      <c r="D40" s="254"/>
      <c r="E40" s="254"/>
      <c r="F40" s="30" t="s">
        <v>136</v>
      </c>
      <c r="G40" s="254" t="s">
        <v>9245</v>
      </c>
      <c r="H40" s="30" t="s">
        <v>9246</v>
      </c>
      <c r="I40" s="30" t="s">
        <v>9247</v>
      </c>
      <c r="J40" s="6" t="s">
        <v>9248</v>
      </c>
      <c r="K40" s="254" t="n">
        <v>1</v>
      </c>
      <c r="L40" s="254" t="s">
        <v>8580</v>
      </c>
      <c r="M40" s="6" t="s">
        <v>9249</v>
      </c>
      <c r="N40" s="254" t="s">
        <v>9200</v>
      </c>
      <c r="O40" s="30" t="s">
        <v>8583</v>
      </c>
      <c r="P40" s="30" t="s">
        <v>814</v>
      </c>
      <c r="Q40" s="30" t="s">
        <v>9250</v>
      </c>
      <c r="R40" s="30" t="s">
        <v>814</v>
      </c>
      <c r="S40" s="30" t="s">
        <v>814</v>
      </c>
      <c r="T40" s="30" t="s">
        <v>814</v>
      </c>
      <c r="U40" s="30" t="s">
        <v>9251</v>
      </c>
      <c r="V40" s="6" t="s">
        <v>9252</v>
      </c>
      <c r="W40" s="20" t="s">
        <v>9253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9254</v>
      </c>
      <c r="B41" s="6" t="s">
        <v>9255</v>
      </c>
      <c r="C41" s="256" t="n">
        <v>200000</v>
      </c>
      <c r="D41" s="254"/>
      <c r="E41" s="254"/>
      <c r="F41" s="30" t="s">
        <v>730</v>
      </c>
      <c r="G41" s="30" t="s">
        <v>814</v>
      </c>
      <c r="H41" s="30" t="s">
        <v>9246</v>
      </c>
      <c r="I41" s="30" t="s">
        <v>9247</v>
      </c>
      <c r="J41" s="6" t="s">
        <v>9248</v>
      </c>
      <c r="K41" s="254" t="n">
        <v>1</v>
      </c>
      <c r="L41" s="254" t="s">
        <v>8580</v>
      </c>
      <c r="M41" s="6" t="s">
        <v>9249</v>
      </c>
      <c r="N41" s="254" t="s">
        <v>9200</v>
      </c>
      <c r="O41" s="30" t="s">
        <v>8583</v>
      </c>
      <c r="P41" s="30" t="s">
        <v>814</v>
      </c>
      <c r="Q41" s="30" t="s">
        <v>9250</v>
      </c>
      <c r="R41" s="30" t="s">
        <v>814</v>
      </c>
      <c r="S41" s="30" t="s">
        <v>814</v>
      </c>
      <c r="T41" s="30" t="s">
        <v>814</v>
      </c>
      <c r="U41" s="30" t="s">
        <v>9251</v>
      </c>
      <c r="V41" s="6" t="s">
        <v>814</v>
      </c>
      <c r="W41" s="6" t="s">
        <v>814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9256</v>
      </c>
      <c r="B42" s="6" t="s">
        <v>9257</v>
      </c>
      <c r="C42" s="256" t="n">
        <v>10</v>
      </c>
      <c r="D42" s="254"/>
      <c r="E42" s="254"/>
      <c r="F42" s="30" t="s">
        <v>136</v>
      </c>
      <c r="G42" s="254" t="s">
        <v>9258</v>
      </c>
      <c r="H42" s="30" t="s">
        <v>9246</v>
      </c>
      <c r="I42" s="30" t="s">
        <v>9247</v>
      </c>
      <c r="J42" s="6" t="s">
        <v>9248</v>
      </c>
      <c r="K42" s="254" t="n">
        <v>1</v>
      </c>
      <c r="L42" s="254" t="s">
        <v>8580</v>
      </c>
      <c r="M42" s="6" t="s">
        <v>9249</v>
      </c>
      <c r="N42" s="254" t="s">
        <v>9200</v>
      </c>
      <c r="O42" s="30" t="s">
        <v>8583</v>
      </c>
      <c r="P42" s="30" t="s">
        <v>814</v>
      </c>
      <c r="Q42" s="30" t="s">
        <v>9250</v>
      </c>
      <c r="R42" s="30" t="s">
        <v>814</v>
      </c>
      <c r="S42" s="30" t="s">
        <v>814</v>
      </c>
      <c r="T42" s="30" t="s">
        <v>814</v>
      </c>
      <c r="U42" s="30" t="s">
        <v>9251</v>
      </c>
      <c r="V42" s="6" t="s">
        <v>814</v>
      </c>
      <c r="W42" s="6" t="s">
        <v>814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6220</v>
      </c>
      <c r="B43" s="6" t="s">
        <v>9259</v>
      </c>
      <c r="C43" s="256" t="n">
        <v>14.8</v>
      </c>
      <c r="D43" s="254"/>
      <c r="E43" s="254"/>
      <c r="F43" s="30" t="s">
        <v>1180</v>
      </c>
      <c r="G43" s="30" t="s">
        <v>814</v>
      </c>
      <c r="H43" s="30" t="s">
        <v>9260</v>
      </c>
      <c r="I43" s="30" t="s">
        <v>9261</v>
      </c>
      <c r="J43" s="6" t="s">
        <v>9262</v>
      </c>
      <c r="K43" s="254" t="n">
        <v>3</v>
      </c>
      <c r="L43" s="254" t="s">
        <v>8580</v>
      </c>
      <c r="M43" s="6" t="s">
        <v>9263</v>
      </c>
      <c r="N43" s="254" t="s">
        <v>8718</v>
      </c>
      <c r="O43" s="30" t="s">
        <v>8583</v>
      </c>
      <c r="P43" s="30" t="s">
        <v>814</v>
      </c>
      <c r="Q43" s="30" t="s">
        <v>9264</v>
      </c>
      <c r="R43" s="30" t="s">
        <v>814</v>
      </c>
      <c r="S43" s="30" t="s">
        <v>814</v>
      </c>
      <c r="T43" s="30" t="s">
        <v>814</v>
      </c>
      <c r="U43" s="30" t="s">
        <v>1211</v>
      </c>
      <c r="V43" s="6" t="s">
        <v>9265</v>
      </c>
      <c r="W43" s="6" t="s">
        <v>814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6222</v>
      </c>
      <c r="B44" s="6" t="s">
        <v>9266</v>
      </c>
      <c r="C44" s="256" t="n">
        <v>2.664</v>
      </c>
      <c r="D44" s="254"/>
      <c r="E44" s="254"/>
      <c r="F44" s="30" t="s">
        <v>9267</v>
      </c>
      <c r="G44" s="254" t="s">
        <v>9268</v>
      </c>
      <c r="H44" s="30" t="s">
        <v>9260</v>
      </c>
      <c r="I44" s="30" t="s">
        <v>9261</v>
      </c>
      <c r="J44" s="6" t="s">
        <v>9262</v>
      </c>
      <c r="K44" s="254" t="n">
        <v>3</v>
      </c>
      <c r="L44" s="254" t="s">
        <v>8580</v>
      </c>
      <c r="M44" s="6" t="s">
        <v>9263</v>
      </c>
      <c r="N44" s="254" t="s">
        <v>8718</v>
      </c>
      <c r="O44" s="30" t="s">
        <v>8583</v>
      </c>
      <c r="P44" s="30" t="s">
        <v>814</v>
      </c>
      <c r="Q44" s="30" t="s">
        <v>9264</v>
      </c>
      <c r="R44" s="30" t="s">
        <v>814</v>
      </c>
      <c r="S44" s="30" t="s">
        <v>814</v>
      </c>
      <c r="T44" s="30" t="s">
        <v>814</v>
      </c>
      <c r="U44" s="30" t="s">
        <v>1211</v>
      </c>
      <c r="V44" s="6" t="s">
        <v>9269</v>
      </c>
      <c r="W44" s="6" t="s">
        <v>814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9270</v>
      </c>
      <c r="B45" s="6" t="s">
        <v>9271</v>
      </c>
      <c r="C45" s="256" t="n">
        <v>2.788</v>
      </c>
      <c r="D45" s="254"/>
      <c r="E45" s="254"/>
      <c r="F45" s="30" t="s">
        <v>9267</v>
      </c>
      <c r="G45" s="254" t="s">
        <v>9272</v>
      </c>
      <c r="H45" s="30" t="s">
        <v>9260</v>
      </c>
      <c r="I45" s="30" t="s">
        <v>9261</v>
      </c>
      <c r="J45" s="6" t="s">
        <v>9262</v>
      </c>
      <c r="K45" s="254" t="n">
        <v>3</v>
      </c>
      <c r="L45" s="254" t="s">
        <v>8580</v>
      </c>
      <c r="M45" s="6" t="s">
        <v>9263</v>
      </c>
      <c r="N45" s="254" t="s">
        <v>8718</v>
      </c>
      <c r="O45" s="30" t="s">
        <v>8583</v>
      </c>
      <c r="P45" s="30" t="s">
        <v>814</v>
      </c>
      <c r="Q45" s="30" t="s">
        <v>9264</v>
      </c>
      <c r="R45" s="30" t="s">
        <v>814</v>
      </c>
      <c r="S45" s="30" t="s">
        <v>814</v>
      </c>
      <c r="T45" s="30" t="s">
        <v>814</v>
      </c>
      <c r="U45" s="30" t="s">
        <v>1211</v>
      </c>
      <c r="V45" s="6" t="s">
        <v>814</v>
      </c>
      <c r="W45" s="6" t="s">
        <v>814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6225</v>
      </c>
      <c r="B46" s="6" t="s">
        <v>9273</v>
      </c>
      <c r="C46" s="256" t="n">
        <v>4096</v>
      </c>
      <c r="D46" s="254"/>
      <c r="E46" s="254"/>
      <c r="F46" s="30" t="s">
        <v>337</v>
      </c>
      <c r="G46" s="30" t="s">
        <v>814</v>
      </c>
      <c r="H46" s="30" t="s">
        <v>9260</v>
      </c>
      <c r="I46" s="30" t="s">
        <v>9261</v>
      </c>
      <c r="J46" s="6" t="s">
        <v>9262</v>
      </c>
      <c r="K46" s="254" t="n">
        <v>3</v>
      </c>
      <c r="L46" s="254" t="s">
        <v>8580</v>
      </c>
      <c r="M46" s="6" t="s">
        <v>9263</v>
      </c>
      <c r="N46" s="254" t="s">
        <v>8718</v>
      </c>
      <c r="O46" s="30" t="s">
        <v>8583</v>
      </c>
      <c r="P46" s="30" t="s">
        <v>814</v>
      </c>
      <c r="Q46" s="30" t="s">
        <v>9264</v>
      </c>
      <c r="R46" s="30" t="s">
        <v>814</v>
      </c>
      <c r="S46" s="30" t="s">
        <v>814</v>
      </c>
      <c r="T46" s="30" t="s">
        <v>814</v>
      </c>
      <c r="U46" s="30" t="s">
        <v>1211</v>
      </c>
      <c r="V46" s="6" t="s">
        <v>9274</v>
      </c>
      <c r="W46" s="6" t="s">
        <v>814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6230</v>
      </c>
      <c r="B47" s="20" t="s">
        <v>9275</v>
      </c>
      <c r="C47" s="256" t="n">
        <v>1</v>
      </c>
      <c r="D47" s="254"/>
      <c r="E47" s="254"/>
      <c r="F47" s="30" t="s">
        <v>9276</v>
      </c>
      <c r="G47" s="254" t="s">
        <v>9277</v>
      </c>
      <c r="H47" s="30" t="s">
        <v>1528</v>
      </c>
      <c r="I47" s="30" t="s">
        <v>1518</v>
      </c>
      <c r="J47" s="6" t="s">
        <v>9278</v>
      </c>
      <c r="K47" s="254" t="n">
        <v>1</v>
      </c>
      <c r="L47" s="254" t="s">
        <v>8580</v>
      </c>
      <c r="M47" s="6" t="s">
        <v>9199</v>
      </c>
      <c r="N47" s="254" t="s">
        <v>9200</v>
      </c>
      <c r="O47" s="30" t="s">
        <v>8583</v>
      </c>
      <c r="P47" s="30" t="s">
        <v>814</v>
      </c>
      <c r="Q47" s="30" t="s">
        <v>9279</v>
      </c>
      <c r="R47" s="30" t="s">
        <v>814</v>
      </c>
      <c r="S47" s="30" t="s">
        <v>814</v>
      </c>
      <c r="T47" s="30" t="s">
        <v>814</v>
      </c>
      <c r="U47" s="30" t="s">
        <v>9280</v>
      </c>
      <c r="V47" s="6" t="s">
        <v>9281</v>
      </c>
      <c r="W47" s="6" t="s">
        <v>9282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9283</v>
      </c>
      <c r="B48" s="20" t="s">
        <v>9284</v>
      </c>
      <c r="C48" s="256" t="n">
        <v>1</v>
      </c>
      <c r="D48" s="254"/>
      <c r="E48" s="254"/>
      <c r="F48" s="30" t="s">
        <v>9276</v>
      </c>
      <c r="G48" s="254" t="s">
        <v>9277</v>
      </c>
      <c r="H48" s="30" t="s">
        <v>9285</v>
      </c>
      <c r="I48" s="30" t="s">
        <v>9286</v>
      </c>
      <c r="J48" s="6" t="s">
        <v>9287</v>
      </c>
      <c r="K48" s="254" t="n">
        <v>1</v>
      </c>
      <c r="L48" s="254" t="s">
        <v>8580</v>
      </c>
      <c r="M48" s="6" t="s">
        <v>9288</v>
      </c>
      <c r="N48" s="254" t="s">
        <v>9200</v>
      </c>
      <c r="O48" s="30" t="s">
        <v>8583</v>
      </c>
      <c r="P48" s="30" t="s">
        <v>814</v>
      </c>
      <c r="Q48" s="30" t="s">
        <v>9289</v>
      </c>
      <c r="R48" s="30" t="s">
        <v>814</v>
      </c>
      <c r="S48" s="30" t="s">
        <v>814</v>
      </c>
      <c r="T48" s="30" t="s">
        <v>814</v>
      </c>
      <c r="U48" s="30" t="s">
        <v>9290</v>
      </c>
      <c r="V48" s="6" t="s">
        <v>9281</v>
      </c>
      <c r="W48" s="6" t="s">
        <v>814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9291</v>
      </c>
      <c r="B49" s="20" t="s">
        <v>9292</v>
      </c>
      <c r="C49" s="256" t="n">
        <v>1</v>
      </c>
      <c r="D49" s="254"/>
      <c r="E49" s="254"/>
      <c r="F49" s="30" t="s">
        <v>9276</v>
      </c>
      <c r="G49" s="254" t="s">
        <v>9277</v>
      </c>
      <c r="H49" s="30" t="s">
        <v>1545</v>
      </c>
      <c r="I49" s="30" t="s">
        <v>9227</v>
      </c>
      <c r="J49" s="6" t="s">
        <v>9293</v>
      </c>
      <c r="K49" s="254" t="n">
        <v>2</v>
      </c>
      <c r="L49" s="254" t="s">
        <v>8580</v>
      </c>
      <c r="M49" s="6" t="s">
        <v>9293</v>
      </c>
      <c r="N49" s="254" t="s">
        <v>8593</v>
      </c>
      <c r="O49" s="30" t="s">
        <v>8583</v>
      </c>
      <c r="P49" s="30" t="s">
        <v>814</v>
      </c>
      <c r="Q49" s="30" t="s">
        <v>9294</v>
      </c>
      <c r="R49" s="30" t="s">
        <v>814</v>
      </c>
      <c r="S49" s="30" t="s">
        <v>814</v>
      </c>
      <c r="T49" s="30" t="s">
        <v>814</v>
      </c>
      <c r="U49" s="30" t="s">
        <v>9295</v>
      </c>
      <c r="V49" s="6" t="s">
        <v>9281</v>
      </c>
      <c r="W49" s="6" t="s">
        <v>814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6537</v>
      </c>
      <c r="B50" s="6" t="s">
        <v>9296</v>
      </c>
      <c r="C50" s="256" t="n">
        <v>1.5</v>
      </c>
      <c r="D50" s="254"/>
      <c r="E50" s="254"/>
      <c r="F50" s="30" t="s">
        <v>136</v>
      </c>
      <c r="G50" s="254" t="s">
        <v>9297</v>
      </c>
      <c r="H50" s="30" t="s">
        <v>1545</v>
      </c>
      <c r="I50" s="30" t="s">
        <v>9227</v>
      </c>
      <c r="J50" s="6" t="s">
        <v>9293</v>
      </c>
      <c r="K50" s="254" t="n">
        <v>2</v>
      </c>
      <c r="L50" s="254" t="s">
        <v>8580</v>
      </c>
      <c r="M50" s="6" t="s">
        <v>9293</v>
      </c>
      <c r="N50" s="254" t="s">
        <v>8593</v>
      </c>
      <c r="O50" s="30" t="s">
        <v>8583</v>
      </c>
      <c r="P50" s="30" t="s">
        <v>814</v>
      </c>
      <c r="Q50" s="30" t="s">
        <v>9294</v>
      </c>
      <c r="R50" s="30" t="s">
        <v>814</v>
      </c>
      <c r="S50" s="30" t="s">
        <v>814</v>
      </c>
      <c r="T50" s="30" t="s">
        <v>814</v>
      </c>
      <c r="U50" s="30" t="s">
        <v>9295</v>
      </c>
      <c r="V50" s="6" t="s">
        <v>814</v>
      </c>
      <c r="W50" s="6" t="s">
        <v>814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9298</v>
      </c>
      <c r="B51" s="20" t="s">
        <v>9299</v>
      </c>
      <c r="C51" s="256" t="n">
        <v>1</v>
      </c>
      <c r="D51" s="254"/>
      <c r="E51" s="254"/>
      <c r="F51" s="30" t="s">
        <v>9276</v>
      </c>
      <c r="G51" s="254" t="s">
        <v>9277</v>
      </c>
      <c r="H51" s="30" t="s">
        <v>9300</v>
      </c>
      <c r="I51" s="30" t="s">
        <v>9247</v>
      </c>
      <c r="J51" s="6" t="s">
        <v>9301</v>
      </c>
      <c r="K51" s="254" t="n">
        <v>1</v>
      </c>
      <c r="L51" s="254" t="s">
        <v>8580</v>
      </c>
      <c r="M51" s="6" t="s">
        <v>9302</v>
      </c>
      <c r="N51" s="254" t="s">
        <v>9200</v>
      </c>
      <c r="O51" s="30" t="s">
        <v>8583</v>
      </c>
      <c r="P51" s="30" t="s">
        <v>814</v>
      </c>
      <c r="Q51" s="30" t="s">
        <v>9303</v>
      </c>
      <c r="R51" s="30" t="s">
        <v>814</v>
      </c>
      <c r="S51" s="30" t="s">
        <v>814</v>
      </c>
      <c r="T51" s="30" t="s">
        <v>814</v>
      </c>
      <c r="U51" s="30" t="s">
        <v>9304</v>
      </c>
      <c r="V51" s="6" t="s">
        <v>9281</v>
      </c>
      <c r="W51" s="6" t="s">
        <v>814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9305</v>
      </c>
      <c r="B52" s="6" t="s">
        <v>9306</v>
      </c>
      <c r="C52" s="256" t="n">
        <v>10.7</v>
      </c>
      <c r="D52" s="254"/>
      <c r="E52" s="254"/>
      <c r="F52" s="30" t="s">
        <v>136</v>
      </c>
      <c r="G52" s="254" t="s">
        <v>9307</v>
      </c>
      <c r="H52" s="30" t="s">
        <v>9300</v>
      </c>
      <c r="I52" s="30" t="s">
        <v>9247</v>
      </c>
      <c r="J52" s="6" t="s">
        <v>9301</v>
      </c>
      <c r="K52" s="254" t="n">
        <v>1</v>
      </c>
      <c r="L52" s="254" t="s">
        <v>8580</v>
      </c>
      <c r="M52" s="6" t="s">
        <v>9302</v>
      </c>
      <c r="N52" s="254" t="s">
        <v>9200</v>
      </c>
      <c r="O52" s="30" t="s">
        <v>8583</v>
      </c>
      <c r="P52" s="30" t="s">
        <v>814</v>
      </c>
      <c r="Q52" s="30" t="s">
        <v>9303</v>
      </c>
      <c r="R52" s="30" t="s">
        <v>814</v>
      </c>
      <c r="S52" s="30" t="s">
        <v>814</v>
      </c>
      <c r="T52" s="30" t="s">
        <v>814</v>
      </c>
      <c r="U52" s="30" t="s">
        <v>9304</v>
      </c>
      <c r="V52" s="6" t="s">
        <v>814</v>
      </c>
      <c r="W52" s="6" t="s">
        <v>814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6083</v>
      </c>
      <c r="B53" s="6" t="s">
        <v>9308</v>
      </c>
      <c r="C53" s="256" t="n">
        <v>128</v>
      </c>
      <c r="D53" s="254"/>
      <c r="E53" s="254"/>
      <c r="F53" s="254" t="s">
        <v>374</v>
      </c>
      <c r="G53" s="30" t="s">
        <v>9309</v>
      </c>
      <c r="H53" s="30" t="s">
        <v>9177</v>
      </c>
      <c r="I53" s="30" t="s">
        <v>814</v>
      </c>
      <c r="J53" s="6" t="s">
        <v>8869</v>
      </c>
      <c r="K53" s="254" t="n">
        <v>3</v>
      </c>
      <c r="L53" s="254" t="s">
        <v>8580</v>
      </c>
      <c r="M53" s="6" t="s">
        <v>9310</v>
      </c>
      <c r="N53" s="254" t="s">
        <v>8718</v>
      </c>
      <c r="O53" s="30" t="s">
        <v>8583</v>
      </c>
      <c r="P53" s="30" t="s">
        <v>814</v>
      </c>
      <c r="Q53" s="30" t="s">
        <v>8878</v>
      </c>
      <c r="R53" s="30" t="s">
        <v>814</v>
      </c>
      <c r="S53" s="30" t="s">
        <v>814</v>
      </c>
      <c r="T53" s="30" t="s">
        <v>814</v>
      </c>
      <c r="U53" s="30" t="s">
        <v>8871</v>
      </c>
      <c r="V53" s="6" t="s">
        <v>814</v>
      </c>
      <c r="W53" s="6" t="s">
        <v>8882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9311</v>
      </c>
      <c r="B54" s="6" t="s">
        <v>9312</v>
      </c>
      <c r="C54" s="256" t="n">
        <v>192</v>
      </c>
      <c r="D54" s="254"/>
      <c r="E54" s="254"/>
      <c r="F54" s="254" t="s">
        <v>9107</v>
      </c>
      <c r="G54" s="30" t="s">
        <v>9309</v>
      </c>
      <c r="H54" s="30" t="s">
        <v>9177</v>
      </c>
      <c r="I54" s="30" t="s">
        <v>814</v>
      </c>
      <c r="J54" s="6" t="s">
        <v>8869</v>
      </c>
      <c r="K54" s="254" t="n">
        <v>3</v>
      </c>
      <c r="L54" s="254" t="s">
        <v>8580</v>
      </c>
      <c r="M54" s="6" t="s">
        <v>9310</v>
      </c>
      <c r="N54" s="254" t="s">
        <v>8718</v>
      </c>
      <c r="O54" s="30" t="s">
        <v>8583</v>
      </c>
      <c r="P54" s="30" t="s">
        <v>814</v>
      </c>
      <c r="Q54" s="30" t="s">
        <v>8878</v>
      </c>
      <c r="R54" s="30" t="s">
        <v>814</v>
      </c>
      <c r="S54" s="30" t="s">
        <v>814</v>
      </c>
      <c r="T54" s="30" t="s">
        <v>814</v>
      </c>
      <c r="U54" s="30" t="s">
        <v>8871</v>
      </c>
      <c r="V54" s="6" t="s">
        <v>814</v>
      </c>
      <c r="W54" s="6" t="s">
        <v>8882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9313</v>
      </c>
      <c r="B55" s="6" t="s">
        <v>9314</v>
      </c>
      <c r="C55" s="256" t="n">
        <v>128</v>
      </c>
      <c r="D55" s="254"/>
      <c r="E55" s="254"/>
      <c r="F55" s="254" t="s">
        <v>9107</v>
      </c>
      <c r="G55" s="30" t="s">
        <v>9309</v>
      </c>
      <c r="H55" s="30" t="s">
        <v>9177</v>
      </c>
      <c r="I55" s="30" t="s">
        <v>814</v>
      </c>
      <c r="J55" s="6" t="s">
        <v>8869</v>
      </c>
      <c r="K55" s="254" t="n">
        <v>3</v>
      </c>
      <c r="L55" s="254" t="s">
        <v>8580</v>
      </c>
      <c r="M55" s="6" t="s">
        <v>9310</v>
      </c>
      <c r="N55" s="254" t="s">
        <v>8718</v>
      </c>
      <c r="O55" s="30" t="s">
        <v>8583</v>
      </c>
      <c r="P55" s="30" t="s">
        <v>814</v>
      </c>
      <c r="Q55" s="30" t="s">
        <v>8878</v>
      </c>
      <c r="R55" s="30" t="s">
        <v>814</v>
      </c>
      <c r="S55" s="30" t="s">
        <v>814</v>
      </c>
      <c r="T55" s="30" t="s">
        <v>814</v>
      </c>
      <c r="U55" s="30" t="s">
        <v>8871</v>
      </c>
      <c r="V55" s="6" t="s">
        <v>814</v>
      </c>
      <c r="W55" s="6" t="s">
        <v>8882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5736</v>
      </c>
      <c r="B56" s="6" t="s">
        <v>9315</v>
      </c>
      <c r="C56" s="256" t="n">
        <v>4096</v>
      </c>
      <c r="D56" s="254"/>
      <c r="E56" s="254"/>
      <c r="F56" s="254" t="s">
        <v>9107</v>
      </c>
      <c r="G56" s="30" t="s">
        <v>9316</v>
      </c>
      <c r="H56" s="30" t="s">
        <v>9117</v>
      </c>
      <c r="I56" s="30" t="s">
        <v>8590</v>
      </c>
      <c r="J56" s="6" t="s">
        <v>9317</v>
      </c>
      <c r="K56" s="254" t="n">
        <v>1</v>
      </c>
      <c r="L56" s="254" t="s">
        <v>8580</v>
      </c>
      <c r="M56" s="6" t="s">
        <v>9318</v>
      </c>
      <c r="N56" s="254" t="s">
        <v>9200</v>
      </c>
      <c r="O56" s="30" t="s">
        <v>8583</v>
      </c>
      <c r="P56" s="30" t="s">
        <v>814</v>
      </c>
      <c r="Q56" s="30" t="s">
        <v>9319</v>
      </c>
      <c r="R56" s="30" t="s">
        <v>814</v>
      </c>
      <c r="S56" s="30" t="s">
        <v>814</v>
      </c>
      <c r="T56" s="30" t="s">
        <v>814</v>
      </c>
      <c r="U56" s="30" t="s">
        <v>9320</v>
      </c>
      <c r="V56" s="6" t="s">
        <v>9321</v>
      </c>
      <c r="W56" s="20" t="s">
        <v>9322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5739</v>
      </c>
      <c r="B57" s="6" t="s">
        <v>9323</v>
      </c>
      <c r="C57" s="256" t="n">
        <v>64</v>
      </c>
      <c r="D57" s="254"/>
      <c r="E57" s="254"/>
      <c r="F57" s="254" t="s">
        <v>374</v>
      </c>
      <c r="G57" s="30" t="s">
        <v>9324</v>
      </c>
      <c r="H57" s="30" t="s">
        <v>9117</v>
      </c>
      <c r="I57" s="30" t="s">
        <v>8590</v>
      </c>
      <c r="J57" s="6" t="s">
        <v>9317</v>
      </c>
      <c r="K57" s="254" t="n">
        <v>1</v>
      </c>
      <c r="L57" s="254" t="s">
        <v>8580</v>
      </c>
      <c r="M57" s="6" t="s">
        <v>9318</v>
      </c>
      <c r="N57" s="254" t="s">
        <v>9200</v>
      </c>
      <c r="O57" s="30" t="s">
        <v>8583</v>
      </c>
      <c r="P57" s="30" t="s">
        <v>814</v>
      </c>
      <c r="Q57" s="30" t="s">
        <v>9319</v>
      </c>
      <c r="R57" s="30" t="s">
        <v>814</v>
      </c>
      <c r="S57" s="30" t="s">
        <v>814</v>
      </c>
      <c r="T57" s="30" t="s">
        <v>814</v>
      </c>
      <c r="U57" s="30" t="s">
        <v>9320</v>
      </c>
      <c r="V57" s="6" t="s">
        <v>9325</v>
      </c>
      <c r="W57" s="20" t="s">
        <v>9326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9327</v>
      </c>
      <c r="B58" s="6" t="s">
        <v>9328</v>
      </c>
      <c r="C58" s="256" t="n">
        <v>0.492</v>
      </c>
      <c r="D58" s="254"/>
      <c r="E58" s="254"/>
      <c r="F58" s="30" t="s">
        <v>131</v>
      </c>
      <c r="G58" s="30" t="s">
        <v>9329</v>
      </c>
      <c r="H58" s="30" t="s">
        <v>9125</v>
      </c>
      <c r="I58" s="30" t="s">
        <v>8590</v>
      </c>
      <c r="J58" s="6" t="s">
        <v>9330</v>
      </c>
      <c r="K58" s="254" t="n">
        <v>1</v>
      </c>
      <c r="L58" s="254" t="s">
        <v>8580</v>
      </c>
      <c r="M58" s="6" t="s">
        <v>9331</v>
      </c>
      <c r="N58" s="254" t="s">
        <v>8582</v>
      </c>
      <c r="O58" s="30" t="s">
        <v>8583</v>
      </c>
      <c r="P58" s="30" t="s">
        <v>814</v>
      </c>
      <c r="Q58" s="30" t="s">
        <v>9332</v>
      </c>
      <c r="R58" s="30" t="s">
        <v>814</v>
      </c>
      <c r="S58" s="30" t="s">
        <v>814</v>
      </c>
      <c r="T58" s="30" t="s">
        <v>814</v>
      </c>
      <c r="U58" s="30" t="s">
        <v>8899</v>
      </c>
      <c r="V58" s="6" t="s">
        <v>9333</v>
      </c>
      <c r="W58" s="6" t="s">
        <v>9334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4084</v>
      </c>
      <c r="B59" s="6" t="s">
        <v>9335</v>
      </c>
      <c r="C59" s="256" t="n">
        <v>1.0001E+027</v>
      </c>
      <c r="D59" s="256" t="n">
        <v>5E+026</v>
      </c>
      <c r="E59" s="256" t="n">
        <v>2E+027</v>
      </c>
      <c r="F59" s="30" t="s">
        <v>359</v>
      </c>
      <c r="G59" s="208" t="s">
        <v>9336</v>
      </c>
      <c r="H59" s="30" t="s">
        <v>1513</v>
      </c>
      <c r="I59" s="30" t="s">
        <v>9337</v>
      </c>
      <c r="J59" s="6" t="s">
        <v>9338</v>
      </c>
      <c r="K59" s="208" t="n">
        <v>1</v>
      </c>
      <c r="L59" s="208" t="s">
        <v>8687</v>
      </c>
      <c r="M59" s="6" t="s">
        <v>9339</v>
      </c>
      <c r="N59" s="208" t="s">
        <v>8582</v>
      </c>
      <c r="O59" s="30" t="s">
        <v>8583</v>
      </c>
      <c r="P59" s="30" t="s">
        <v>814</v>
      </c>
      <c r="Q59" s="30" t="s">
        <v>9340</v>
      </c>
      <c r="R59" s="30" t="s">
        <v>814</v>
      </c>
      <c r="S59" s="30" t="s">
        <v>814</v>
      </c>
      <c r="T59" s="30" t="s">
        <v>814</v>
      </c>
      <c r="U59" s="30" t="s">
        <v>9341</v>
      </c>
      <c r="V59" s="6" t="s">
        <v>9342</v>
      </c>
      <c r="W59" s="6" t="s">
        <v>9343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9344</v>
      </c>
      <c r="B60" s="6" t="s">
        <v>9345</v>
      </c>
      <c r="C60" s="256" t="n">
        <v>2800</v>
      </c>
      <c r="D60" s="208"/>
      <c r="E60" s="208"/>
      <c r="F60" s="30" t="s">
        <v>315</v>
      </c>
      <c r="G60" s="208" t="s">
        <v>9346</v>
      </c>
      <c r="H60" s="30" t="s">
        <v>9347</v>
      </c>
      <c r="I60" s="30" t="s">
        <v>8590</v>
      </c>
      <c r="J60" s="6" t="s">
        <v>9348</v>
      </c>
      <c r="K60" s="208" t="n">
        <v>1</v>
      </c>
      <c r="L60" s="208" t="s">
        <v>8580</v>
      </c>
      <c r="M60" s="6" t="s">
        <v>9349</v>
      </c>
      <c r="N60" s="208" t="s">
        <v>8582</v>
      </c>
      <c r="O60" s="30" t="s">
        <v>8583</v>
      </c>
      <c r="P60" s="30" t="s">
        <v>814</v>
      </c>
      <c r="Q60" s="30" t="s">
        <v>9350</v>
      </c>
      <c r="R60" s="30" t="s">
        <v>814</v>
      </c>
      <c r="S60" s="30" t="s">
        <v>814</v>
      </c>
      <c r="T60" s="30" t="s">
        <v>814</v>
      </c>
      <c r="U60" s="30" t="s">
        <v>9351</v>
      </c>
      <c r="V60" s="6" t="s">
        <v>814</v>
      </c>
      <c r="W60" s="6" t="s">
        <v>9352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9353</v>
      </c>
      <c r="B61" s="6" t="s">
        <v>9354</v>
      </c>
      <c r="C61" s="256" t="n">
        <v>104</v>
      </c>
      <c r="D61" s="208"/>
      <c r="E61" s="208"/>
      <c r="F61" s="30" t="s">
        <v>315</v>
      </c>
      <c r="G61" s="208" t="s">
        <v>9346</v>
      </c>
      <c r="H61" s="30" t="s">
        <v>9347</v>
      </c>
      <c r="I61" s="30" t="s">
        <v>8590</v>
      </c>
      <c r="J61" s="6" t="s">
        <v>9348</v>
      </c>
      <c r="K61" s="208" t="n">
        <v>1</v>
      </c>
      <c r="L61" s="208" t="s">
        <v>8580</v>
      </c>
      <c r="M61" s="6" t="s">
        <v>9349</v>
      </c>
      <c r="N61" s="208" t="s">
        <v>8582</v>
      </c>
      <c r="O61" s="30" t="s">
        <v>8583</v>
      </c>
      <c r="P61" s="30" t="s">
        <v>814</v>
      </c>
      <c r="Q61" s="30" t="s">
        <v>9350</v>
      </c>
      <c r="R61" s="30" t="s">
        <v>814</v>
      </c>
      <c r="S61" s="30" t="s">
        <v>814</v>
      </c>
      <c r="T61" s="30" t="s">
        <v>814</v>
      </c>
      <c r="U61" s="30" t="s">
        <v>9351</v>
      </c>
      <c r="V61" s="6" t="s">
        <v>814</v>
      </c>
      <c r="W61" s="6" t="s">
        <v>9355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9356</v>
      </c>
      <c r="B62" s="6" t="s">
        <v>9357</v>
      </c>
      <c r="C62" s="256" t="n">
        <v>93</v>
      </c>
      <c r="D62" s="208"/>
      <c r="E62" s="208"/>
      <c r="F62" s="208" t="s">
        <v>320</v>
      </c>
      <c r="G62" s="30" t="s">
        <v>9358</v>
      </c>
      <c r="H62" s="30" t="s">
        <v>9347</v>
      </c>
      <c r="I62" s="30" t="s">
        <v>8590</v>
      </c>
      <c r="J62" s="6" t="s">
        <v>9348</v>
      </c>
      <c r="K62" s="208" t="n">
        <v>1</v>
      </c>
      <c r="L62" s="208" t="s">
        <v>8580</v>
      </c>
      <c r="M62" s="6" t="s">
        <v>9349</v>
      </c>
      <c r="N62" s="208" t="s">
        <v>8582</v>
      </c>
      <c r="O62" s="30" t="s">
        <v>8583</v>
      </c>
      <c r="P62" s="30" t="s">
        <v>814</v>
      </c>
      <c r="Q62" s="30" t="s">
        <v>9350</v>
      </c>
      <c r="R62" s="30" t="s">
        <v>814</v>
      </c>
      <c r="S62" s="30" t="s">
        <v>814</v>
      </c>
      <c r="T62" s="30" t="s">
        <v>814</v>
      </c>
      <c r="U62" s="30" t="s">
        <v>9351</v>
      </c>
      <c r="V62" s="6" t="s">
        <v>814</v>
      </c>
      <c r="W62" s="6" t="s">
        <v>9359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9360</v>
      </c>
      <c r="B63" s="6" t="s">
        <v>9361</v>
      </c>
      <c r="C63" s="256" t="n">
        <v>7168</v>
      </c>
      <c r="D63" s="208"/>
      <c r="E63" s="208"/>
      <c r="F63" s="208" t="s">
        <v>9107</v>
      </c>
      <c r="G63" s="30" t="s">
        <v>9362</v>
      </c>
      <c r="H63" s="30" t="s">
        <v>9347</v>
      </c>
      <c r="I63" s="30" t="s">
        <v>8590</v>
      </c>
      <c r="J63" s="6" t="s">
        <v>9348</v>
      </c>
      <c r="K63" s="208" t="n">
        <v>1</v>
      </c>
      <c r="L63" s="208" t="s">
        <v>8580</v>
      </c>
      <c r="M63" s="6" t="s">
        <v>9349</v>
      </c>
      <c r="N63" s="208" t="s">
        <v>8582</v>
      </c>
      <c r="O63" s="30" t="s">
        <v>8583</v>
      </c>
      <c r="P63" s="30" t="s">
        <v>814</v>
      </c>
      <c r="Q63" s="30" t="s">
        <v>9350</v>
      </c>
      <c r="R63" s="30" t="s">
        <v>814</v>
      </c>
      <c r="S63" s="30" t="s">
        <v>814</v>
      </c>
      <c r="T63" s="30" t="s">
        <v>814</v>
      </c>
      <c r="U63" s="30" t="s">
        <v>9351</v>
      </c>
      <c r="V63" s="6" t="s">
        <v>814</v>
      </c>
      <c r="W63" s="6" t="s">
        <v>9363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9364</v>
      </c>
      <c r="B64" s="6" t="s">
        <v>9365</v>
      </c>
      <c r="C64" s="256" t="n">
        <v>896</v>
      </c>
      <c r="D64" s="208"/>
      <c r="E64" s="208"/>
      <c r="F64" s="208" t="s">
        <v>374</v>
      </c>
      <c r="G64" s="30" t="s">
        <v>9366</v>
      </c>
      <c r="H64" s="30" t="s">
        <v>9347</v>
      </c>
      <c r="I64" s="30" t="s">
        <v>8590</v>
      </c>
      <c r="J64" s="6" t="s">
        <v>9348</v>
      </c>
      <c r="K64" s="208" t="n">
        <v>1</v>
      </c>
      <c r="L64" s="208" t="s">
        <v>8580</v>
      </c>
      <c r="M64" s="6" t="s">
        <v>9349</v>
      </c>
      <c r="N64" s="208" t="s">
        <v>8582</v>
      </c>
      <c r="O64" s="30" t="s">
        <v>8583</v>
      </c>
      <c r="P64" s="30" t="s">
        <v>814</v>
      </c>
      <c r="Q64" s="30" t="s">
        <v>9350</v>
      </c>
      <c r="R64" s="30" t="s">
        <v>814</v>
      </c>
      <c r="S64" s="30" t="s">
        <v>814</v>
      </c>
      <c r="T64" s="30" t="s">
        <v>814</v>
      </c>
      <c r="U64" s="30" t="s">
        <v>9351</v>
      </c>
      <c r="V64" s="6" t="s">
        <v>814</v>
      </c>
      <c r="W64" s="6" t="s">
        <v>9367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9368</v>
      </c>
      <c r="B65" s="6" t="s">
        <v>9369</v>
      </c>
      <c r="C65" s="256" t="n">
        <v>16</v>
      </c>
      <c r="D65" s="208"/>
      <c r="E65" s="208"/>
      <c r="F65" s="208" t="s">
        <v>374</v>
      </c>
      <c r="G65" s="30" t="s">
        <v>9370</v>
      </c>
      <c r="H65" s="30" t="s">
        <v>9347</v>
      </c>
      <c r="I65" s="30" t="s">
        <v>8590</v>
      </c>
      <c r="J65" s="6" t="s">
        <v>9348</v>
      </c>
      <c r="K65" s="208" t="n">
        <v>1</v>
      </c>
      <c r="L65" s="208" t="s">
        <v>8580</v>
      </c>
      <c r="M65" s="6" t="s">
        <v>9349</v>
      </c>
      <c r="N65" s="208" t="s">
        <v>8582</v>
      </c>
      <c r="O65" s="30" t="s">
        <v>8583</v>
      </c>
      <c r="P65" s="30" t="s">
        <v>814</v>
      </c>
      <c r="Q65" s="30" t="s">
        <v>9350</v>
      </c>
      <c r="R65" s="30" t="s">
        <v>814</v>
      </c>
      <c r="S65" s="30" t="s">
        <v>814</v>
      </c>
      <c r="T65" s="30" t="s">
        <v>814</v>
      </c>
      <c r="U65" s="30" t="s">
        <v>9351</v>
      </c>
      <c r="V65" s="6" t="s">
        <v>814</v>
      </c>
      <c r="W65" s="6" t="s">
        <v>9371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9372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A4" s="253" t="s">
        <v>9373</v>
      </c>
      <c r="AB4" s="253" t="s">
        <v>501</v>
      </c>
      <c r="AC4" s="85" t="s">
        <v>510</v>
      </c>
      <c r="AD4" s="85" t="s">
        <v>512</v>
      </c>
      <c r="AE4" s="253" t="s">
        <v>9374</v>
      </c>
      <c r="AF4" s="85" t="s">
        <v>9375</v>
      </c>
      <c r="AG4" s="85" t="s">
        <v>9376</v>
      </c>
      <c r="AH4" s="84" t="s">
        <v>8573</v>
      </c>
    </row>
    <row r="5" customFormat="false" ht="29.25" hidden="false" customHeight="true" outlineLevel="0" collapsed="false">
      <c r="A5" s="30" t="s">
        <v>5980</v>
      </c>
      <c r="B5" s="6" t="s">
        <v>9377</v>
      </c>
      <c r="C5" s="256" t="n">
        <v>6182</v>
      </c>
      <c r="D5" s="254"/>
      <c r="E5" s="254"/>
      <c r="F5" s="30" t="s">
        <v>9378</v>
      </c>
      <c r="G5" s="30" t="s">
        <v>9379</v>
      </c>
      <c r="H5" s="30" t="s">
        <v>207</v>
      </c>
      <c r="I5" s="30" t="s">
        <v>9380</v>
      </c>
      <c r="J5" s="6" t="s">
        <v>9381</v>
      </c>
      <c r="K5" s="254" t="n">
        <v>1</v>
      </c>
      <c r="L5" s="254" t="s">
        <v>8580</v>
      </c>
      <c r="M5" s="6" t="s">
        <v>9382</v>
      </c>
      <c r="N5" s="254" t="s">
        <v>9200</v>
      </c>
      <c r="O5" s="30" t="s">
        <v>8583</v>
      </c>
      <c r="P5" s="30" t="s">
        <v>814</v>
      </c>
      <c r="Q5" s="30" t="s">
        <v>9383</v>
      </c>
      <c r="R5" s="30" t="s">
        <v>814</v>
      </c>
      <c r="S5" s="30" t="s">
        <v>814</v>
      </c>
      <c r="T5" s="30" t="s">
        <v>814</v>
      </c>
      <c r="U5" s="30" t="s">
        <v>519</v>
      </c>
      <c r="V5" s="6" t="s">
        <v>9384</v>
      </c>
      <c r="W5" s="20" t="s">
        <v>9385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9386</v>
      </c>
      <c r="AB5" s="30" t="s">
        <v>9387</v>
      </c>
      <c r="AC5" s="256" t="n">
        <v>8192</v>
      </c>
      <c r="AD5" s="256" t="n">
        <v>1024</v>
      </c>
      <c r="AE5" s="256" t="n">
        <v>27</v>
      </c>
      <c r="AF5" s="256" t="n">
        <v>0</v>
      </c>
      <c r="AG5" s="254" t="s">
        <v>9388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5986</v>
      </c>
      <c r="B6" s="6" t="s">
        <v>9389</v>
      </c>
      <c r="C6" s="256" t="n">
        <v>2189</v>
      </c>
      <c r="D6" s="254"/>
      <c r="E6" s="254"/>
      <c r="F6" s="30" t="s">
        <v>9378</v>
      </c>
      <c r="G6" s="30" t="s">
        <v>9379</v>
      </c>
      <c r="H6" s="30" t="s">
        <v>206</v>
      </c>
      <c r="I6" s="30" t="s">
        <v>9380</v>
      </c>
      <c r="J6" s="6" t="s">
        <v>9381</v>
      </c>
      <c r="K6" s="254" t="n">
        <v>1</v>
      </c>
      <c r="L6" s="254" t="s">
        <v>8580</v>
      </c>
      <c r="M6" s="6" t="s">
        <v>9382</v>
      </c>
      <c r="N6" s="254" t="s">
        <v>9200</v>
      </c>
      <c r="O6" s="30" t="s">
        <v>8583</v>
      </c>
      <c r="P6" s="30" t="s">
        <v>814</v>
      </c>
      <c r="Q6" s="30" t="s">
        <v>9383</v>
      </c>
      <c r="R6" s="30" t="s">
        <v>814</v>
      </c>
      <c r="S6" s="30" t="s">
        <v>814</v>
      </c>
      <c r="T6" s="30" t="s">
        <v>814</v>
      </c>
      <c r="U6" s="30" t="s">
        <v>519</v>
      </c>
      <c r="V6" s="6" t="s">
        <v>9390</v>
      </c>
      <c r="W6" s="20" t="s">
        <v>9391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9386</v>
      </c>
      <c r="AB6" s="30" t="s">
        <v>9387</v>
      </c>
      <c r="AC6" s="256" t="n">
        <v>8192</v>
      </c>
      <c r="AD6" s="256" t="n">
        <v>1024</v>
      </c>
      <c r="AE6" s="256" t="n">
        <v>27</v>
      </c>
      <c r="AF6" s="256" t="n">
        <v>0</v>
      </c>
      <c r="AG6" s="254" t="s">
        <v>9388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9392</v>
      </c>
      <c r="B7" s="6" t="s">
        <v>9393</v>
      </c>
      <c r="C7" s="256" t="n">
        <v>11056</v>
      </c>
      <c r="D7" s="254"/>
      <c r="E7" s="254"/>
      <c r="F7" s="30" t="s">
        <v>687</v>
      </c>
      <c r="G7" s="30" t="s">
        <v>814</v>
      </c>
      <c r="H7" s="30" t="s">
        <v>207</v>
      </c>
      <c r="I7" s="30" t="s">
        <v>9380</v>
      </c>
      <c r="J7" s="6" t="s">
        <v>9381</v>
      </c>
      <c r="K7" s="254" t="n">
        <v>1</v>
      </c>
      <c r="L7" s="254" t="s">
        <v>8580</v>
      </c>
      <c r="M7" s="6" t="s">
        <v>9382</v>
      </c>
      <c r="N7" s="254" t="s">
        <v>9200</v>
      </c>
      <c r="O7" s="30" t="s">
        <v>8583</v>
      </c>
      <c r="P7" s="30" t="s">
        <v>814</v>
      </c>
      <c r="Q7" s="30" t="s">
        <v>9383</v>
      </c>
      <c r="R7" s="30" t="s">
        <v>814</v>
      </c>
      <c r="S7" s="30" t="s">
        <v>814</v>
      </c>
      <c r="T7" s="30" t="s">
        <v>814</v>
      </c>
      <c r="U7" s="30" t="s">
        <v>519</v>
      </c>
      <c r="V7" s="6" t="s">
        <v>814</v>
      </c>
      <c r="W7" s="6" t="s">
        <v>814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5974</v>
      </c>
      <c r="B8" s="6" t="s">
        <v>9394</v>
      </c>
      <c r="C8" s="256" t="n">
        <v>11200</v>
      </c>
      <c r="D8" s="254"/>
      <c r="E8" s="254"/>
      <c r="F8" s="30" t="s">
        <v>9378</v>
      </c>
      <c r="G8" s="30" t="s">
        <v>9379</v>
      </c>
      <c r="H8" s="30" t="s">
        <v>207</v>
      </c>
      <c r="I8" s="30" t="s">
        <v>9395</v>
      </c>
      <c r="J8" s="6" t="s">
        <v>9396</v>
      </c>
      <c r="K8" s="254" t="n">
        <v>1</v>
      </c>
      <c r="L8" s="254" t="s">
        <v>8580</v>
      </c>
      <c r="M8" s="6" t="s">
        <v>9397</v>
      </c>
      <c r="N8" s="254" t="s">
        <v>9200</v>
      </c>
      <c r="O8" s="30" t="s">
        <v>8583</v>
      </c>
      <c r="P8" s="30" t="s">
        <v>814</v>
      </c>
      <c r="Q8" s="30" t="s">
        <v>9398</v>
      </c>
      <c r="R8" s="30" t="s">
        <v>814</v>
      </c>
      <c r="S8" s="30" t="s">
        <v>814</v>
      </c>
      <c r="T8" s="30" t="s">
        <v>814</v>
      </c>
      <c r="U8" s="30" t="s">
        <v>518</v>
      </c>
      <c r="V8" s="6" t="s">
        <v>9399</v>
      </c>
      <c r="W8" s="6" t="s">
        <v>814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9386</v>
      </c>
      <c r="AB8" s="30" t="s">
        <v>9400</v>
      </c>
      <c r="AC8" s="256" t="n">
        <v>8192</v>
      </c>
      <c r="AD8" s="256" t="n">
        <v>1024</v>
      </c>
      <c r="AE8" s="256" t="n">
        <v>50</v>
      </c>
      <c r="AF8" s="256" t="n">
        <v>1</v>
      </c>
      <c r="AG8" s="254" t="s">
        <v>9388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5797</v>
      </c>
      <c r="B9" s="6" t="s">
        <v>9401</v>
      </c>
      <c r="C9" s="256" t="n">
        <v>0.7</v>
      </c>
      <c r="D9" s="254"/>
      <c r="E9" s="254"/>
      <c r="F9" s="30" t="s">
        <v>131</v>
      </c>
      <c r="G9" s="30" t="s">
        <v>9402</v>
      </c>
      <c r="H9" s="30" t="s">
        <v>9131</v>
      </c>
      <c r="I9" s="30" t="s">
        <v>9395</v>
      </c>
      <c r="J9" s="6" t="s">
        <v>9396</v>
      </c>
      <c r="K9" s="254" t="n">
        <v>1</v>
      </c>
      <c r="L9" s="254" t="s">
        <v>8580</v>
      </c>
      <c r="M9" s="6" t="s">
        <v>9397</v>
      </c>
      <c r="N9" s="254" t="s">
        <v>9200</v>
      </c>
      <c r="O9" s="30" t="s">
        <v>8583</v>
      </c>
      <c r="P9" s="30" t="s">
        <v>814</v>
      </c>
      <c r="Q9" s="30" t="s">
        <v>9398</v>
      </c>
      <c r="R9" s="30" t="s">
        <v>814</v>
      </c>
      <c r="S9" s="30" t="s">
        <v>814</v>
      </c>
      <c r="T9" s="30" t="s">
        <v>814</v>
      </c>
      <c r="U9" s="30" t="s">
        <v>518</v>
      </c>
      <c r="V9" s="6" t="s">
        <v>9403</v>
      </c>
      <c r="W9" s="20" t="s">
        <v>9404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9405</v>
      </c>
      <c r="B10" s="6" t="s">
        <v>9406</v>
      </c>
      <c r="C10" s="256" t="n">
        <v>0.57</v>
      </c>
      <c r="D10" s="254"/>
      <c r="E10" s="254"/>
      <c r="F10" s="30" t="s">
        <v>131</v>
      </c>
      <c r="G10" s="30" t="s">
        <v>9407</v>
      </c>
      <c r="H10" s="30" t="s">
        <v>9131</v>
      </c>
      <c r="I10" s="30" t="s">
        <v>9395</v>
      </c>
      <c r="J10" s="6" t="s">
        <v>9396</v>
      </c>
      <c r="K10" s="254" t="n">
        <v>1</v>
      </c>
      <c r="L10" s="254" t="s">
        <v>8580</v>
      </c>
      <c r="M10" s="6" t="s">
        <v>9397</v>
      </c>
      <c r="N10" s="254" t="s">
        <v>9200</v>
      </c>
      <c r="O10" s="30" t="s">
        <v>8670</v>
      </c>
      <c r="P10" s="30" t="s">
        <v>814</v>
      </c>
      <c r="Q10" s="30" t="s">
        <v>9398</v>
      </c>
      <c r="R10" s="30" t="s">
        <v>814</v>
      </c>
      <c r="S10" s="30" t="s">
        <v>814</v>
      </c>
      <c r="T10" s="30" t="s">
        <v>814</v>
      </c>
      <c r="U10" s="30" t="s">
        <v>518</v>
      </c>
      <c r="V10" s="6" t="s">
        <v>814</v>
      </c>
      <c r="W10" s="20" t="s">
        <v>9408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5625</v>
      </c>
      <c r="B11" s="6" t="s">
        <v>9409</v>
      </c>
      <c r="C11" s="256" t="n">
        <v>4</v>
      </c>
      <c r="D11" s="254"/>
      <c r="E11" s="254"/>
      <c r="F11" s="30" t="s">
        <v>730</v>
      </c>
      <c r="G11" s="30" t="s">
        <v>9410</v>
      </c>
      <c r="H11" s="30" t="s">
        <v>207</v>
      </c>
      <c r="I11" s="30" t="s">
        <v>9395</v>
      </c>
      <c r="J11" s="6" t="s">
        <v>9396</v>
      </c>
      <c r="K11" s="254" t="n">
        <v>1</v>
      </c>
      <c r="L11" s="254" t="s">
        <v>8580</v>
      </c>
      <c r="M11" s="6" t="s">
        <v>9397</v>
      </c>
      <c r="N11" s="254" t="s">
        <v>9200</v>
      </c>
      <c r="O11" s="30" t="s">
        <v>8583</v>
      </c>
      <c r="P11" s="30" t="s">
        <v>814</v>
      </c>
      <c r="Q11" s="30" t="s">
        <v>9398</v>
      </c>
      <c r="R11" s="30" t="s">
        <v>814</v>
      </c>
      <c r="S11" s="30" t="s">
        <v>814</v>
      </c>
      <c r="T11" s="30" t="s">
        <v>814</v>
      </c>
      <c r="U11" s="30" t="s">
        <v>518</v>
      </c>
      <c r="V11" s="6" t="s">
        <v>9411</v>
      </c>
      <c r="W11" s="6" t="s">
        <v>9412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5594</v>
      </c>
      <c r="B12" s="6" t="s">
        <v>9413</v>
      </c>
      <c r="C12" s="256" t="n">
        <v>32</v>
      </c>
      <c r="D12" s="254"/>
      <c r="E12" s="254"/>
      <c r="F12" s="30" t="s">
        <v>730</v>
      </c>
      <c r="G12" s="30" t="s">
        <v>9414</v>
      </c>
      <c r="H12" s="30" t="s">
        <v>207</v>
      </c>
      <c r="I12" s="30" t="s">
        <v>9395</v>
      </c>
      <c r="J12" s="6" t="s">
        <v>9396</v>
      </c>
      <c r="K12" s="254" t="n">
        <v>1</v>
      </c>
      <c r="L12" s="254" t="s">
        <v>8580</v>
      </c>
      <c r="M12" s="6" t="s">
        <v>9397</v>
      </c>
      <c r="N12" s="254" t="s">
        <v>9200</v>
      </c>
      <c r="O12" s="30" t="s">
        <v>8583</v>
      </c>
      <c r="P12" s="30" t="s">
        <v>814</v>
      </c>
      <c r="Q12" s="30" t="s">
        <v>9398</v>
      </c>
      <c r="R12" s="30" t="s">
        <v>814</v>
      </c>
      <c r="S12" s="30" t="s">
        <v>814</v>
      </c>
      <c r="T12" s="30" t="s">
        <v>814</v>
      </c>
      <c r="U12" s="30" t="s">
        <v>518</v>
      </c>
      <c r="V12" s="6" t="s">
        <v>9415</v>
      </c>
      <c r="W12" s="6" t="s">
        <v>9412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5957</v>
      </c>
      <c r="B13" s="6" t="s">
        <v>9416</v>
      </c>
      <c r="C13" s="256" t="n">
        <v>9342.1</v>
      </c>
      <c r="D13" s="254"/>
      <c r="E13" s="254"/>
      <c r="F13" s="30" t="s">
        <v>9378</v>
      </c>
      <c r="G13" s="30" t="s">
        <v>9417</v>
      </c>
      <c r="H13" s="30" t="s">
        <v>207</v>
      </c>
      <c r="I13" s="254" t="s">
        <v>9418</v>
      </c>
      <c r="J13" s="6" t="s">
        <v>9419</v>
      </c>
      <c r="K13" s="254" t="n">
        <v>2</v>
      </c>
      <c r="L13" s="254" t="s">
        <v>8580</v>
      </c>
      <c r="M13" s="6" t="s">
        <v>9420</v>
      </c>
      <c r="N13" s="254" t="s">
        <v>8582</v>
      </c>
      <c r="O13" s="30" t="s">
        <v>8583</v>
      </c>
      <c r="P13" s="30" t="s">
        <v>814</v>
      </c>
      <c r="Q13" s="30" t="s">
        <v>9421</v>
      </c>
      <c r="R13" s="30" t="s">
        <v>814</v>
      </c>
      <c r="S13" s="30" t="s">
        <v>7535</v>
      </c>
      <c r="T13" s="30" t="s">
        <v>814</v>
      </c>
      <c r="U13" s="30" t="s">
        <v>517</v>
      </c>
      <c r="V13" s="6" t="s">
        <v>9422</v>
      </c>
      <c r="W13" s="20" t="s">
        <v>9423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9386</v>
      </c>
      <c r="AB13" s="30" t="s">
        <v>9424</v>
      </c>
      <c r="AC13" s="256" t="n">
        <v>8192</v>
      </c>
      <c r="AD13" s="256" t="n">
        <v>1024</v>
      </c>
      <c r="AE13" s="256" t="n">
        <v>72</v>
      </c>
      <c r="AF13" s="256" t="n">
        <v>1</v>
      </c>
      <c r="AG13" s="254" t="s">
        <v>9388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5966</v>
      </c>
      <c r="B14" s="6" t="s">
        <v>9425</v>
      </c>
      <c r="C14" s="256" t="n">
        <v>3405.2</v>
      </c>
      <c r="D14" s="254"/>
      <c r="E14" s="254"/>
      <c r="F14" s="30" t="s">
        <v>9378</v>
      </c>
      <c r="G14" s="30" t="s">
        <v>9417</v>
      </c>
      <c r="H14" s="30" t="s">
        <v>207</v>
      </c>
      <c r="I14" s="254" t="s">
        <v>9418</v>
      </c>
      <c r="J14" s="6" t="s">
        <v>9419</v>
      </c>
      <c r="K14" s="254" t="n">
        <v>2</v>
      </c>
      <c r="L14" s="254" t="s">
        <v>8580</v>
      </c>
      <c r="M14" s="6" t="s">
        <v>9420</v>
      </c>
      <c r="N14" s="254" t="s">
        <v>8582</v>
      </c>
      <c r="O14" s="30" t="s">
        <v>8583</v>
      </c>
      <c r="P14" s="30" t="s">
        <v>814</v>
      </c>
      <c r="Q14" s="30" t="s">
        <v>9426</v>
      </c>
      <c r="R14" s="30" t="s">
        <v>814</v>
      </c>
      <c r="S14" s="30" t="s">
        <v>7535</v>
      </c>
      <c r="T14" s="30" t="s">
        <v>814</v>
      </c>
      <c r="U14" s="30" t="s">
        <v>517</v>
      </c>
      <c r="V14" s="6" t="s">
        <v>9427</v>
      </c>
      <c r="W14" s="20" t="s">
        <v>9428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9386</v>
      </c>
      <c r="AB14" s="30" t="s">
        <v>9424</v>
      </c>
      <c r="AC14" s="256" t="n">
        <v>8192</v>
      </c>
      <c r="AD14" s="256" t="n">
        <v>1024</v>
      </c>
      <c r="AE14" s="256" t="n">
        <v>130</v>
      </c>
      <c r="AF14" s="256" t="n">
        <v>1</v>
      </c>
      <c r="AG14" s="254" t="s">
        <v>9388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3998</v>
      </c>
      <c r="B15" s="6" t="s">
        <v>9429</v>
      </c>
      <c r="C15" s="256" t="n">
        <v>0.078</v>
      </c>
      <c r="D15" s="254"/>
      <c r="E15" s="254"/>
      <c r="F15" s="30" t="s">
        <v>9430</v>
      </c>
      <c r="G15" s="30" t="s">
        <v>9431</v>
      </c>
      <c r="H15" s="30" t="s">
        <v>207</v>
      </c>
      <c r="I15" s="254" t="s">
        <v>9418</v>
      </c>
      <c r="J15" s="6" t="s">
        <v>9419</v>
      </c>
      <c r="K15" s="254" t="n">
        <v>3</v>
      </c>
      <c r="L15" s="254" t="s">
        <v>8580</v>
      </c>
      <c r="M15" s="6" t="s">
        <v>9420</v>
      </c>
      <c r="N15" s="254" t="s">
        <v>9432</v>
      </c>
      <c r="O15" s="30" t="s">
        <v>8583</v>
      </c>
      <c r="P15" s="30" t="s">
        <v>814</v>
      </c>
      <c r="Q15" s="30" t="s">
        <v>9433</v>
      </c>
      <c r="R15" s="30" t="s">
        <v>814</v>
      </c>
      <c r="S15" s="30" t="s">
        <v>814</v>
      </c>
      <c r="T15" s="30" t="s">
        <v>814</v>
      </c>
      <c r="U15" s="30" t="s">
        <v>517</v>
      </c>
      <c r="V15" s="6" t="s">
        <v>9434</v>
      </c>
      <c r="W15" s="6" t="s">
        <v>814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9435</v>
      </c>
      <c r="B16" s="6" t="s">
        <v>9436</v>
      </c>
      <c r="C16" s="256" t="n">
        <v>0.216</v>
      </c>
      <c r="D16" s="254"/>
      <c r="E16" s="254"/>
      <c r="F16" s="30" t="s">
        <v>9430</v>
      </c>
      <c r="G16" s="30" t="s">
        <v>9431</v>
      </c>
      <c r="H16" s="30" t="s">
        <v>207</v>
      </c>
      <c r="I16" s="254" t="s">
        <v>9418</v>
      </c>
      <c r="J16" s="6" t="s">
        <v>9419</v>
      </c>
      <c r="K16" s="254" t="n">
        <v>3</v>
      </c>
      <c r="L16" s="254" t="s">
        <v>8580</v>
      </c>
      <c r="M16" s="6" t="s">
        <v>9420</v>
      </c>
      <c r="N16" s="254" t="s">
        <v>9432</v>
      </c>
      <c r="O16" s="30" t="s">
        <v>8583</v>
      </c>
      <c r="P16" s="30" t="s">
        <v>814</v>
      </c>
      <c r="Q16" s="30" t="s">
        <v>9433</v>
      </c>
      <c r="R16" s="30" t="s">
        <v>814</v>
      </c>
      <c r="S16" s="30" t="s">
        <v>814</v>
      </c>
      <c r="T16" s="30" t="s">
        <v>814</v>
      </c>
      <c r="U16" s="30" t="s">
        <v>517</v>
      </c>
      <c r="V16" s="6" t="s">
        <v>814</v>
      </c>
      <c r="W16" s="6" t="s">
        <v>814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9437</v>
      </c>
      <c r="B17" s="6" t="s">
        <v>9438</v>
      </c>
      <c r="C17" s="256" t="n">
        <v>1.436</v>
      </c>
      <c r="D17" s="254"/>
      <c r="E17" s="254"/>
      <c r="F17" s="30" t="s">
        <v>9430</v>
      </c>
      <c r="G17" s="30" t="s">
        <v>9431</v>
      </c>
      <c r="H17" s="30" t="s">
        <v>207</v>
      </c>
      <c r="I17" s="254" t="s">
        <v>9418</v>
      </c>
      <c r="J17" s="6" t="s">
        <v>9419</v>
      </c>
      <c r="K17" s="254" t="n">
        <v>3</v>
      </c>
      <c r="L17" s="254" t="s">
        <v>8580</v>
      </c>
      <c r="M17" s="6" t="s">
        <v>9420</v>
      </c>
      <c r="N17" s="254" t="s">
        <v>9432</v>
      </c>
      <c r="O17" s="30" t="s">
        <v>8583</v>
      </c>
      <c r="P17" s="30" t="s">
        <v>814</v>
      </c>
      <c r="Q17" s="30" t="s">
        <v>9433</v>
      </c>
      <c r="R17" s="30" t="s">
        <v>814</v>
      </c>
      <c r="S17" s="30" t="s">
        <v>814</v>
      </c>
      <c r="T17" s="30" t="s">
        <v>814</v>
      </c>
      <c r="U17" s="30" t="s">
        <v>517</v>
      </c>
      <c r="V17" s="6" t="s">
        <v>814</v>
      </c>
      <c r="W17" s="6" t="s">
        <v>814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5993</v>
      </c>
      <c r="B18" s="6" t="s">
        <v>9439</v>
      </c>
      <c r="C18" s="256" t="n">
        <v>3795.5</v>
      </c>
      <c r="D18" s="254"/>
      <c r="E18" s="254"/>
      <c r="F18" s="30" t="s">
        <v>687</v>
      </c>
      <c r="G18" s="254" t="s">
        <v>9440</v>
      </c>
      <c r="H18" s="30" t="s">
        <v>206</v>
      </c>
      <c r="I18" s="30" t="s">
        <v>9441</v>
      </c>
      <c r="J18" s="6" t="s">
        <v>9442</v>
      </c>
      <c r="K18" s="254" t="n">
        <v>1</v>
      </c>
      <c r="L18" s="254" t="s">
        <v>8580</v>
      </c>
      <c r="M18" s="6" t="s">
        <v>9443</v>
      </c>
      <c r="N18" s="254" t="s">
        <v>9200</v>
      </c>
      <c r="O18" s="30" t="s">
        <v>8583</v>
      </c>
      <c r="P18" s="30" t="s">
        <v>814</v>
      </c>
      <c r="Q18" s="30" t="s">
        <v>9444</v>
      </c>
      <c r="R18" s="30" t="s">
        <v>814</v>
      </c>
      <c r="S18" s="30" t="s">
        <v>814</v>
      </c>
      <c r="T18" s="30" t="s">
        <v>814</v>
      </c>
      <c r="U18" s="30" t="s">
        <v>520</v>
      </c>
      <c r="V18" s="6" t="s">
        <v>9445</v>
      </c>
      <c r="W18" s="20" t="s">
        <v>4893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9386</v>
      </c>
      <c r="AB18" s="30" t="s">
        <v>9446</v>
      </c>
      <c r="AC18" s="256" t="n">
        <v>8192</v>
      </c>
      <c r="AD18" s="256" t="n">
        <v>1024</v>
      </c>
      <c r="AE18" s="256" t="n">
        <v>110</v>
      </c>
      <c r="AF18" s="256" t="n">
        <v>1</v>
      </c>
      <c r="AG18" s="254" t="s">
        <v>9388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6001</v>
      </c>
      <c r="B19" s="6" t="s">
        <v>9447</v>
      </c>
      <c r="C19" s="256" t="n">
        <v>6522.4</v>
      </c>
      <c r="D19" s="254"/>
      <c r="E19" s="254"/>
      <c r="F19" s="30" t="s">
        <v>687</v>
      </c>
      <c r="G19" s="254" t="s">
        <v>158</v>
      </c>
      <c r="H19" s="30" t="s">
        <v>207</v>
      </c>
      <c r="I19" s="30" t="s">
        <v>9441</v>
      </c>
      <c r="J19" s="6" t="s">
        <v>9442</v>
      </c>
      <c r="K19" s="254" t="n">
        <v>1</v>
      </c>
      <c r="L19" s="254" t="s">
        <v>8580</v>
      </c>
      <c r="M19" s="6" t="s">
        <v>9443</v>
      </c>
      <c r="N19" s="254" t="s">
        <v>9200</v>
      </c>
      <c r="O19" s="30" t="s">
        <v>8583</v>
      </c>
      <c r="P19" s="30" t="s">
        <v>814</v>
      </c>
      <c r="Q19" s="30" t="s">
        <v>9444</v>
      </c>
      <c r="R19" s="30" t="s">
        <v>814</v>
      </c>
      <c r="S19" s="30" t="s">
        <v>814</v>
      </c>
      <c r="T19" s="30" t="s">
        <v>814</v>
      </c>
      <c r="U19" s="30" t="s">
        <v>520</v>
      </c>
      <c r="V19" s="6" t="s">
        <v>9448</v>
      </c>
      <c r="W19" s="20" t="s">
        <v>4893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9386</v>
      </c>
      <c r="AB19" s="30" t="s">
        <v>9446</v>
      </c>
      <c r="AC19" s="256" t="n">
        <v>8192</v>
      </c>
      <c r="AD19" s="256" t="n">
        <v>1024</v>
      </c>
      <c r="AE19" s="256" t="n">
        <v>110</v>
      </c>
      <c r="AF19" s="256" t="n">
        <v>1</v>
      </c>
      <c r="AG19" s="254" t="s">
        <v>9388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9449</v>
      </c>
      <c r="B20" s="6" t="s">
        <v>9450</v>
      </c>
      <c r="C20" s="256" t="n">
        <v>4036</v>
      </c>
      <c r="D20" s="254"/>
      <c r="E20" s="254"/>
      <c r="F20" s="30" t="s">
        <v>687</v>
      </c>
      <c r="G20" s="254" t="s">
        <v>4893</v>
      </c>
      <c r="H20" s="30" t="s">
        <v>9451</v>
      </c>
      <c r="I20" s="30" t="s">
        <v>1521</v>
      </c>
      <c r="J20" s="6" t="s">
        <v>9452</v>
      </c>
      <c r="K20" s="254" t="n">
        <v>1</v>
      </c>
      <c r="L20" s="254" t="s">
        <v>8580</v>
      </c>
      <c r="M20" s="6" t="s">
        <v>9453</v>
      </c>
      <c r="N20" s="254" t="s">
        <v>9200</v>
      </c>
      <c r="O20" s="30" t="s">
        <v>8583</v>
      </c>
      <c r="P20" s="30" t="s">
        <v>814</v>
      </c>
      <c r="Q20" s="30" t="s">
        <v>9454</v>
      </c>
      <c r="R20" s="30" t="s">
        <v>814</v>
      </c>
      <c r="S20" s="30" t="s">
        <v>814</v>
      </c>
      <c r="T20" s="30" t="s">
        <v>814</v>
      </c>
      <c r="U20" s="30" t="s">
        <v>9455</v>
      </c>
      <c r="V20" s="6" t="s">
        <v>814</v>
      </c>
      <c r="W20" s="20" t="s">
        <v>9456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9457</v>
      </c>
      <c r="B21" s="6" t="s">
        <v>9458</v>
      </c>
      <c r="C21" s="256" t="n">
        <v>3102</v>
      </c>
      <c r="D21" s="254"/>
      <c r="E21" s="254"/>
      <c r="F21" s="30" t="s">
        <v>687</v>
      </c>
      <c r="G21" s="254" t="s">
        <v>4893</v>
      </c>
      <c r="H21" s="30" t="s">
        <v>9451</v>
      </c>
      <c r="I21" s="30" t="s">
        <v>1521</v>
      </c>
      <c r="J21" s="6" t="s">
        <v>9452</v>
      </c>
      <c r="K21" s="254" t="n">
        <v>1</v>
      </c>
      <c r="L21" s="254" t="s">
        <v>8580</v>
      </c>
      <c r="M21" s="6" t="s">
        <v>9453</v>
      </c>
      <c r="N21" s="254" t="s">
        <v>9200</v>
      </c>
      <c r="O21" s="30" t="s">
        <v>8583</v>
      </c>
      <c r="P21" s="30" t="s">
        <v>814</v>
      </c>
      <c r="Q21" s="30" t="s">
        <v>9454</v>
      </c>
      <c r="R21" s="30" t="s">
        <v>814</v>
      </c>
      <c r="S21" s="30" t="s">
        <v>814</v>
      </c>
      <c r="T21" s="30" t="s">
        <v>814</v>
      </c>
      <c r="U21" s="30" t="s">
        <v>9455</v>
      </c>
      <c r="V21" s="6" t="s">
        <v>814</v>
      </c>
      <c r="W21" s="20" t="s">
        <v>9456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9459</v>
      </c>
      <c r="B22" s="20" t="s">
        <v>9460</v>
      </c>
      <c r="C22" s="256" t="n">
        <v>120</v>
      </c>
      <c r="D22" s="254"/>
      <c r="E22" s="254"/>
      <c r="F22" s="30" t="s">
        <v>9461</v>
      </c>
      <c r="G22" s="254" t="s">
        <v>9462</v>
      </c>
      <c r="H22" s="30" t="s">
        <v>9463</v>
      </c>
      <c r="I22" s="30" t="s">
        <v>1518</v>
      </c>
      <c r="J22" s="6" t="s">
        <v>9464</v>
      </c>
      <c r="K22" s="254" t="n">
        <v>1</v>
      </c>
      <c r="L22" s="254" t="s">
        <v>8687</v>
      </c>
      <c r="M22" s="6" t="s">
        <v>9465</v>
      </c>
      <c r="N22" s="254" t="s">
        <v>9200</v>
      </c>
      <c r="O22" s="30" t="s">
        <v>8583</v>
      </c>
      <c r="P22" s="30" t="s">
        <v>814</v>
      </c>
      <c r="Q22" s="30" t="s">
        <v>9466</v>
      </c>
      <c r="R22" s="30" t="s">
        <v>814</v>
      </c>
      <c r="S22" s="30" t="s">
        <v>814</v>
      </c>
      <c r="T22" s="30" t="s">
        <v>814</v>
      </c>
      <c r="U22" s="30" t="s">
        <v>9467</v>
      </c>
      <c r="V22" s="6" t="s">
        <v>9468</v>
      </c>
      <c r="W22" s="6" t="s">
        <v>9469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9470</v>
      </c>
      <c r="B23" s="20" t="s">
        <v>9471</v>
      </c>
      <c r="C23" s="256" t="n">
        <v>68</v>
      </c>
      <c r="D23" s="254"/>
      <c r="E23" s="254"/>
      <c r="F23" s="30" t="s">
        <v>9461</v>
      </c>
      <c r="G23" s="254" t="s">
        <v>9462</v>
      </c>
      <c r="H23" s="30" t="s">
        <v>9472</v>
      </c>
      <c r="I23" s="30" t="s">
        <v>1518</v>
      </c>
      <c r="J23" s="6" t="s">
        <v>9464</v>
      </c>
      <c r="K23" s="254" t="n">
        <v>1</v>
      </c>
      <c r="L23" s="254" t="s">
        <v>8687</v>
      </c>
      <c r="M23" s="6" t="s">
        <v>9465</v>
      </c>
      <c r="N23" s="254" t="s">
        <v>9200</v>
      </c>
      <c r="O23" s="30" t="s">
        <v>8583</v>
      </c>
      <c r="P23" s="30" t="s">
        <v>814</v>
      </c>
      <c r="Q23" s="30" t="s">
        <v>9466</v>
      </c>
      <c r="R23" s="30" t="s">
        <v>814</v>
      </c>
      <c r="S23" s="30" t="s">
        <v>814</v>
      </c>
      <c r="T23" s="30" t="s">
        <v>814</v>
      </c>
      <c r="U23" s="30" t="s">
        <v>9467</v>
      </c>
      <c r="V23" s="6" t="s">
        <v>9473</v>
      </c>
      <c r="W23" s="6" t="s">
        <v>9474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9475</v>
      </c>
      <c r="B24" s="20" t="s">
        <v>9476</v>
      </c>
      <c r="C24" s="254"/>
      <c r="D24" s="256" t="n">
        <v>52</v>
      </c>
      <c r="E24" s="256" t="n">
        <v>56</v>
      </c>
      <c r="F24" s="30" t="s">
        <v>9461</v>
      </c>
      <c r="G24" s="254" t="s">
        <v>9462</v>
      </c>
      <c r="H24" s="30" t="s">
        <v>1513</v>
      </c>
      <c r="I24" s="30" t="s">
        <v>1518</v>
      </c>
      <c r="J24" s="6" t="s">
        <v>9464</v>
      </c>
      <c r="K24" s="254" t="n">
        <v>1</v>
      </c>
      <c r="L24" s="254" t="s">
        <v>8687</v>
      </c>
      <c r="M24" s="6" t="s">
        <v>9465</v>
      </c>
      <c r="N24" s="254" t="s">
        <v>9200</v>
      </c>
      <c r="O24" s="30" t="s">
        <v>8583</v>
      </c>
      <c r="P24" s="30" t="s">
        <v>814</v>
      </c>
      <c r="Q24" s="30" t="s">
        <v>9466</v>
      </c>
      <c r="R24" s="30" t="s">
        <v>814</v>
      </c>
      <c r="S24" s="30" t="s">
        <v>814</v>
      </c>
      <c r="T24" s="30" t="s">
        <v>814</v>
      </c>
      <c r="U24" s="30" t="s">
        <v>9467</v>
      </c>
      <c r="V24" s="6" t="s">
        <v>9477</v>
      </c>
      <c r="W24" s="6" t="s">
        <v>9478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9479</v>
      </c>
      <c r="B25" s="20" t="s">
        <v>9480</v>
      </c>
      <c r="C25" s="256" t="n">
        <v>54</v>
      </c>
      <c r="D25" s="254"/>
      <c r="E25" s="254"/>
      <c r="F25" s="30" t="s">
        <v>9461</v>
      </c>
      <c r="G25" s="254" t="s">
        <v>9462</v>
      </c>
      <c r="H25" s="30" t="s">
        <v>1520</v>
      </c>
      <c r="I25" s="30" t="s">
        <v>1518</v>
      </c>
      <c r="J25" s="6" t="s">
        <v>9464</v>
      </c>
      <c r="K25" s="254" t="n">
        <v>1</v>
      </c>
      <c r="L25" s="254" t="s">
        <v>8687</v>
      </c>
      <c r="M25" s="6" t="s">
        <v>9465</v>
      </c>
      <c r="N25" s="254" t="s">
        <v>9200</v>
      </c>
      <c r="O25" s="30" t="s">
        <v>8583</v>
      </c>
      <c r="P25" s="30" t="s">
        <v>814</v>
      </c>
      <c r="Q25" s="30" t="s">
        <v>9466</v>
      </c>
      <c r="R25" s="30" t="s">
        <v>814</v>
      </c>
      <c r="S25" s="30" t="s">
        <v>814</v>
      </c>
      <c r="T25" s="30" t="s">
        <v>814</v>
      </c>
      <c r="U25" s="30" t="s">
        <v>9467</v>
      </c>
      <c r="V25" s="6" t="s">
        <v>814</v>
      </c>
      <c r="W25" s="6" t="s">
        <v>814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9481</v>
      </c>
      <c r="B26" s="20" t="s">
        <v>9482</v>
      </c>
      <c r="C26" s="254"/>
      <c r="D26" s="256" t="n">
        <v>290</v>
      </c>
      <c r="E26" s="256" t="n">
        <v>350</v>
      </c>
      <c r="F26" s="30" t="s">
        <v>9461</v>
      </c>
      <c r="G26" s="254" t="s">
        <v>9462</v>
      </c>
      <c r="H26" s="30" t="s">
        <v>9483</v>
      </c>
      <c r="I26" s="30" t="s">
        <v>1518</v>
      </c>
      <c r="J26" s="6" t="s">
        <v>9464</v>
      </c>
      <c r="K26" s="254" t="n">
        <v>1</v>
      </c>
      <c r="L26" s="254" t="s">
        <v>8687</v>
      </c>
      <c r="M26" s="6" t="s">
        <v>9465</v>
      </c>
      <c r="N26" s="254" t="s">
        <v>9200</v>
      </c>
      <c r="O26" s="30" t="s">
        <v>8583</v>
      </c>
      <c r="P26" s="30" t="s">
        <v>814</v>
      </c>
      <c r="Q26" s="30" t="s">
        <v>9466</v>
      </c>
      <c r="R26" s="30" t="s">
        <v>814</v>
      </c>
      <c r="S26" s="30" t="s">
        <v>814</v>
      </c>
      <c r="T26" s="30" t="s">
        <v>814</v>
      </c>
      <c r="U26" s="30" t="s">
        <v>9467</v>
      </c>
      <c r="V26" s="6" t="s">
        <v>814</v>
      </c>
      <c r="W26" s="6" t="s">
        <v>814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9484</v>
      </c>
      <c r="B27" s="6" t="s">
        <v>9485</v>
      </c>
      <c r="C27" s="256" t="n">
        <v>20</v>
      </c>
      <c r="D27" s="254"/>
      <c r="E27" s="254"/>
      <c r="F27" s="30" t="s">
        <v>9461</v>
      </c>
      <c r="G27" s="254" t="s">
        <v>9486</v>
      </c>
      <c r="H27" s="30" t="s">
        <v>9487</v>
      </c>
      <c r="I27" s="30" t="s">
        <v>9488</v>
      </c>
      <c r="J27" s="6" t="s">
        <v>9489</v>
      </c>
      <c r="K27" s="254" t="n">
        <v>3</v>
      </c>
      <c r="L27" s="254" t="s">
        <v>8580</v>
      </c>
      <c r="M27" s="6" t="s">
        <v>9490</v>
      </c>
      <c r="N27" s="254" t="s">
        <v>8718</v>
      </c>
      <c r="O27" s="30" t="s">
        <v>8583</v>
      </c>
      <c r="P27" s="30" t="s">
        <v>814</v>
      </c>
      <c r="Q27" s="30" t="s">
        <v>9491</v>
      </c>
      <c r="R27" s="30" t="s">
        <v>814</v>
      </c>
      <c r="S27" s="30" t="s">
        <v>814</v>
      </c>
      <c r="T27" s="30" t="s">
        <v>814</v>
      </c>
      <c r="U27" s="30" t="s">
        <v>9492</v>
      </c>
      <c r="V27" s="6" t="s">
        <v>814</v>
      </c>
      <c r="W27" s="20" t="s">
        <v>9493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9494</v>
      </c>
      <c r="B28" s="6" t="s">
        <v>9495</v>
      </c>
      <c r="C28" s="256" t="n">
        <v>250634</v>
      </c>
      <c r="D28" s="254"/>
      <c r="E28" s="254"/>
      <c r="F28" s="30" t="s">
        <v>9496</v>
      </c>
      <c r="G28" s="30" t="s">
        <v>9497</v>
      </c>
      <c r="H28" s="30" t="s">
        <v>207</v>
      </c>
      <c r="I28" s="30" t="s">
        <v>9498</v>
      </c>
      <c r="J28" s="6" t="s">
        <v>9499</v>
      </c>
      <c r="K28" s="254" t="n">
        <v>2</v>
      </c>
      <c r="L28" s="254" t="s">
        <v>8580</v>
      </c>
      <c r="M28" s="6" t="s">
        <v>9500</v>
      </c>
      <c r="N28" s="254" t="s">
        <v>9501</v>
      </c>
      <c r="O28" s="30" t="s">
        <v>8583</v>
      </c>
      <c r="P28" s="30" t="s">
        <v>814</v>
      </c>
      <c r="Q28" s="30" t="s">
        <v>9502</v>
      </c>
      <c r="R28" s="30" t="s">
        <v>814</v>
      </c>
      <c r="S28" s="30" t="s">
        <v>814</v>
      </c>
      <c r="T28" s="30" t="s">
        <v>814</v>
      </c>
      <c r="U28" s="30" t="s">
        <v>9503</v>
      </c>
      <c r="V28" s="6" t="s">
        <v>814</v>
      </c>
      <c r="W28" s="20" t="s">
        <v>9504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6124</v>
      </c>
      <c r="B29" s="6" t="s">
        <v>9505</v>
      </c>
      <c r="C29" s="256" t="n">
        <v>240318</v>
      </c>
      <c r="D29" s="254"/>
      <c r="E29" s="254"/>
      <c r="F29" s="30" t="s">
        <v>9496</v>
      </c>
      <c r="G29" s="30" t="s">
        <v>9497</v>
      </c>
      <c r="H29" s="30" t="s">
        <v>206</v>
      </c>
      <c r="I29" s="30" t="s">
        <v>9498</v>
      </c>
      <c r="J29" s="6" t="s">
        <v>9499</v>
      </c>
      <c r="K29" s="254" t="n">
        <v>2</v>
      </c>
      <c r="L29" s="254" t="s">
        <v>8580</v>
      </c>
      <c r="M29" s="6" t="s">
        <v>9500</v>
      </c>
      <c r="N29" s="254" t="s">
        <v>9501</v>
      </c>
      <c r="O29" s="30" t="s">
        <v>8583</v>
      </c>
      <c r="P29" s="30" t="s">
        <v>814</v>
      </c>
      <c r="Q29" s="30" t="s">
        <v>9502</v>
      </c>
      <c r="R29" s="30" t="s">
        <v>814</v>
      </c>
      <c r="S29" s="30" t="s">
        <v>814</v>
      </c>
      <c r="T29" s="30" t="s">
        <v>814</v>
      </c>
      <c r="U29" s="30" t="s">
        <v>9503</v>
      </c>
      <c r="V29" s="6" t="s">
        <v>9506</v>
      </c>
      <c r="W29" s="20" t="s">
        <v>9507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9508</v>
      </c>
      <c r="B30" s="6" t="s">
        <v>9509</v>
      </c>
      <c r="C30" s="256" t="n">
        <v>8064</v>
      </c>
      <c r="D30" s="254"/>
      <c r="E30" s="254"/>
      <c r="F30" s="30" t="s">
        <v>9510</v>
      </c>
      <c r="G30" s="30" t="s">
        <v>9511</v>
      </c>
      <c r="H30" s="30" t="s">
        <v>207</v>
      </c>
      <c r="I30" s="30" t="s">
        <v>9498</v>
      </c>
      <c r="J30" s="6" t="s">
        <v>9499</v>
      </c>
      <c r="K30" s="254" t="n">
        <v>2</v>
      </c>
      <c r="L30" s="254" t="s">
        <v>8580</v>
      </c>
      <c r="M30" s="6" t="s">
        <v>9500</v>
      </c>
      <c r="N30" s="254" t="s">
        <v>9501</v>
      </c>
      <c r="O30" s="30" t="s">
        <v>8583</v>
      </c>
      <c r="P30" s="30" t="s">
        <v>814</v>
      </c>
      <c r="Q30" s="30" t="s">
        <v>9502</v>
      </c>
      <c r="R30" s="30" t="s">
        <v>814</v>
      </c>
      <c r="S30" s="30" t="s">
        <v>814</v>
      </c>
      <c r="T30" s="30" t="s">
        <v>814</v>
      </c>
      <c r="U30" s="30" t="s">
        <v>9503</v>
      </c>
      <c r="V30" s="6" t="s">
        <v>9512</v>
      </c>
      <c r="W30" s="6" t="s">
        <v>814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6127</v>
      </c>
      <c r="B31" s="6" t="s">
        <v>9513</v>
      </c>
      <c r="C31" s="256" t="n">
        <v>652750</v>
      </c>
      <c r="D31" s="254"/>
      <c r="E31" s="254"/>
      <c r="F31" s="30" t="s">
        <v>9496</v>
      </c>
      <c r="G31" s="30" t="s">
        <v>9514</v>
      </c>
      <c r="H31" s="30" t="s">
        <v>208</v>
      </c>
      <c r="I31" s="30" t="s">
        <v>9515</v>
      </c>
      <c r="J31" s="6" t="s">
        <v>9516</v>
      </c>
      <c r="K31" s="254" t="n">
        <v>1</v>
      </c>
      <c r="L31" s="254" t="s">
        <v>8580</v>
      </c>
      <c r="M31" s="6" t="s">
        <v>9517</v>
      </c>
      <c r="N31" s="254" t="s">
        <v>8582</v>
      </c>
      <c r="O31" s="30" t="s">
        <v>8583</v>
      </c>
      <c r="P31" s="30" t="s">
        <v>814</v>
      </c>
      <c r="Q31" s="30" t="s">
        <v>9518</v>
      </c>
      <c r="R31" s="30" t="s">
        <v>814</v>
      </c>
      <c r="S31" s="30" t="s">
        <v>7555</v>
      </c>
      <c r="T31" s="30" t="s">
        <v>814</v>
      </c>
      <c r="U31" s="30" t="s">
        <v>4912</v>
      </c>
      <c r="V31" s="6" t="s">
        <v>9519</v>
      </c>
      <c r="W31" s="20" t="s">
        <v>9520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6121</v>
      </c>
      <c r="B32" s="6" t="s">
        <v>9521</v>
      </c>
      <c r="C32" s="256" t="n">
        <v>253506</v>
      </c>
      <c r="D32" s="254"/>
      <c r="E32" s="254"/>
      <c r="F32" s="30" t="s">
        <v>9496</v>
      </c>
      <c r="G32" s="30" t="s">
        <v>9497</v>
      </c>
      <c r="H32" s="30" t="s">
        <v>207</v>
      </c>
      <c r="I32" s="30" t="s">
        <v>9515</v>
      </c>
      <c r="J32" s="6" t="s">
        <v>9516</v>
      </c>
      <c r="K32" s="254" t="n">
        <v>1</v>
      </c>
      <c r="L32" s="254" t="s">
        <v>8580</v>
      </c>
      <c r="M32" s="6" t="s">
        <v>9517</v>
      </c>
      <c r="N32" s="254" t="s">
        <v>8582</v>
      </c>
      <c r="O32" s="30" t="s">
        <v>8583</v>
      </c>
      <c r="P32" s="30" t="s">
        <v>814</v>
      </c>
      <c r="Q32" s="30" t="s">
        <v>9518</v>
      </c>
      <c r="R32" s="30" t="s">
        <v>814</v>
      </c>
      <c r="S32" s="30" t="s">
        <v>7555</v>
      </c>
      <c r="T32" s="30" t="s">
        <v>814</v>
      </c>
      <c r="U32" s="30" t="s">
        <v>4912</v>
      </c>
      <c r="V32" s="6" t="s">
        <v>9522</v>
      </c>
      <c r="W32" s="20" t="s">
        <v>9523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6087</v>
      </c>
      <c r="B33" s="6" t="s">
        <v>9524</v>
      </c>
      <c r="C33" s="256" t="n">
        <v>800</v>
      </c>
      <c r="D33" s="254"/>
      <c r="E33" s="254"/>
      <c r="F33" s="30" t="s">
        <v>337</v>
      </c>
      <c r="G33" s="254" t="s">
        <v>9525</v>
      </c>
      <c r="H33" s="30" t="s">
        <v>9526</v>
      </c>
      <c r="I33" s="30" t="s">
        <v>9527</v>
      </c>
      <c r="J33" s="6" t="s">
        <v>9528</v>
      </c>
      <c r="K33" s="254" t="n">
        <v>1</v>
      </c>
      <c r="L33" s="254" t="s">
        <v>8687</v>
      </c>
      <c r="M33" s="6" t="s">
        <v>9529</v>
      </c>
      <c r="N33" s="254" t="s">
        <v>9200</v>
      </c>
      <c r="O33" s="30" t="s">
        <v>8583</v>
      </c>
      <c r="P33" s="30" t="s">
        <v>814</v>
      </c>
      <c r="Q33" s="30" t="s">
        <v>9530</v>
      </c>
      <c r="R33" s="30" t="s">
        <v>814</v>
      </c>
      <c r="S33" s="30" t="s">
        <v>814</v>
      </c>
      <c r="T33" s="30" t="s">
        <v>814</v>
      </c>
      <c r="U33" s="30" t="s">
        <v>9531</v>
      </c>
      <c r="V33" s="6" t="s">
        <v>9532</v>
      </c>
      <c r="W33" s="6" t="s">
        <v>814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6091</v>
      </c>
      <c r="B34" s="6" t="s">
        <v>9533</v>
      </c>
      <c r="C34" s="256" t="n">
        <v>3880</v>
      </c>
      <c r="D34" s="254"/>
      <c r="E34" s="254"/>
      <c r="F34" s="30" t="s">
        <v>337</v>
      </c>
      <c r="G34" s="254" t="s">
        <v>9525</v>
      </c>
      <c r="H34" s="30" t="s">
        <v>9526</v>
      </c>
      <c r="I34" s="30" t="s">
        <v>9527</v>
      </c>
      <c r="J34" s="6" t="s">
        <v>9528</v>
      </c>
      <c r="K34" s="254" t="n">
        <v>1</v>
      </c>
      <c r="L34" s="254" t="s">
        <v>8687</v>
      </c>
      <c r="M34" s="6" t="s">
        <v>9529</v>
      </c>
      <c r="N34" s="254" t="s">
        <v>9200</v>
      </c>
      <c r="O34" s="30" t="s">
        <v>8583</v>
      </c>
      <c r="P34" s="30" t="s">
        <v>814</v>
      </c>
      <c r="Q34" s="30" t="s">
        <v>9530</v>
      </c>
      <c r="R34" s="30" t="s">
        <v>814</v>
      </c>
      <c r="S34" s="30" t="s">
        <v>814</v>
      </c>
      <c r="T34" s="30" t="s">
        <v>814</v>
      </c>
      <c r="U34" s="30" t="s">
        <v>9531</v>
      </c>
      <c r="V34" s="6" t="s">
        <v>9534</v>
      </c>
      <c r="W34" s="6" t="s">
        <v>814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6098</v>
      </c>
      <c r="B35" s="6" t="s">
        <v>9535</v>
      </c>
      <c r="C35" s="256" t="n">
        <v>15</v>
      </c>
      <c r="D35" s="254"/>
      <c r="E35" s="254"/>
      <c r="F35" s="30" t="s">
        <v>593</v>
      </c>
      <c r="G35" s="30" t="s">
        <v>9497</v>
      </c>
      <c r="H35" s="30" t="s">
        <v>9526</v>
      </c>
      <c r="I35" s="30" t="s">
        <v>8620</v>
      </c>
      <c r="J35" s="6" t="s">
        <v>9528</v>
      </c>
      <c r="K35" s="254" t="n">
        <v>1</v>
      </c>
      <c r="L35" s="254" t="s">
        <v>8687</v>
      </c>
      <c r="M35" s="6" t="s">
        <v>9529</v>
      </c>
      <c r="N35" s="254" t="s">
        <v>9200</v>
      </c>
      <c r="O35" s="30" t="s">
        <v>8583</v>
      </c>
      <c r="P35" s="30" t="s">
        <v>814</v>
      </c>
      <c r="Q35" s="30" t="s">
        <v>9530</v>
      </c>
      <c r="R35" s="30" t="s">
        <v>814</v>
      </c>
      <c r="S35" s="30" t="s">
        <v>814</v>
      </c>
      <c r="T35" s="30" t="s">
        <v>814</v>
      </c>
      <c r="U35" s="30" t="s">
        <v>9531</v>
      </c>
      <c r="V35" s="6" t="s">
        <v>9536</v>
      </c>
      <c r="W35" s="20" t="s">
        <v>9537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6105</v>
      </c>
      <c r="B36" s="6" t="s">
        <v>9538</v>
      </c>
      <c r="C36" s="256" t="n">
        <v>80</v>
      </c>
      <c r="D36" s="254"/>
      <c r="E36" s="254"/>
      <c r="F36" s="30" t="s">
        <v>593</v>
      </c>
      <c r="G36" s="30" t="s">
        <v>9511</v>
      </c>
      <c r="H36" s="30" t="s">
        <v>9526</v>
      </c>
      <c r="I36" s="30" t="s">
        <v>8620</v>
      </c>
      <c r="J36" s="6" t="s">
        <v>9528</v>
      </c>
      <c r="K36" s="254" t="n">
        <v>1</v>
      </c>
      <c r="L36" s="254" t="s">
        <v>8687</v>
      </c>
      <c r="M36" s="6" t="s">
        <v>9529</v>
      </c>
      <c r="N36" s="254" t="s">
        <v>9200</v>
      </c>
      <c r="O36" s="30" t="s">
        <v>8583</v>
      </c>
      <c r="P36" s="30" t="s">
        <v>814</v>
      </c>
      <c r="Q36" s="30" t="s">
        <v>9530</v>
      </c>
      <c r="R36" s="30" t="s">
        <v>814</v>
      </c>
      <c r="S36" s="30" t="s">
        <v>814</v>
      </c>
      <c r="T36" s="30" t="s">
        <v>814</v>
      </c>
      <c r="U36" s="30" t="s">
        <v>9531</v>
      </c>
      <c r="V36" s="6" t="s">
        <v>9539</v>
      </c>
      <c r="W36" s="20" t="s">
        <v>9540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9541</v>
      </c>
      <c r="B37" s="6" t="s">
        <v>9542</v>
      </c>
      <c r="C37" s="256" t="n">
        <v>1.5</v>
      </c>
      <c r="D37" s="254"/>
      <c r="E37" s="254"/>
      <c r="F37" s="30" t="s">
        <v>421</v>
      </c>
      <c r="G37" s="30" t="s">
        <v>9497</v>
      </c>
      <c r="H37" s="30" t="s">
        <v>9526</v>
      </c>
      <c r="I37" s="30" t="s">
        <v>8620</v>
      </c>
      <c r="J37" s="6" t="s">
        <v>9528</v>
      </c>
      <c r="K37" s="254" t="n">
        <v>1</v>
      </c>
      <c r="L37" s="254" t="s">
        <v>8687</v>
      </c>
      <c r="M37" s="6" t="s">
        <v>9529</v>
      </c>
      <c r="N37" s="254" t="s">
        <v>9200</v>
      </c>
      <c r="O37" s="30" t="s">
        <v>8583</v>
      </c>
      <c r="P37" s="30" t="s">
        <v>814</v>
      </c>
      <c r="Q37" s="30" t="s">
        <v>9530</v>
      </c>
      <c r="R37" s="30" t="s">
        <v>814</v>
      </c>
      <c r="S37" s="30" t="s">
        <v>814</v>
      </c>
      <c r="T37" s="30" t="s">
        <v>814</v>
      </c>
      <c r="U37" s="30" t="s">
        <v>9531</v>
      </c>
      <c r="V37" s="6" t="s">
        <v>814</v>
      </c>
      <c r="W37" s="6" t="s">
        <v>814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9543</v>
      </c>
      <c r="B38" s="6" t="s">
        <v>9544</v>
      </c>
      <c r="C38" s="256" t="n">
        <v>2</v>
      </c>
      <c r="D38" s="254"/>
      <c r="E38" s="254"/>
      <c r="F38" s="30" t="s">
        <v>421</v>
      </c>
      <c r="G38" s="30" t="s">
        <v>9511</v>
      </c>
      <c r="H38" s="30" t="s">
        <v>9526</v>
      </c>
      <c r="I38" s="30" t="s">
        <v>8620</v>
      </c>
      <c r="J38" s="6" t="s">
        <v>9528</v>
      </c>
      <c r="K38" s="254" t="n">
        <v>1</v>
      </c>
      <c r="L38" s="254" t="s">
        <v>8687</v>
      </c>
      <c r="M38" s="6" t="s">
        <v>9529</v>
      </c>
      <c r="N38" s="254" t="s">
        <v>9200</v>
      </c>
      <c r="O38" s="30" t="s">
        <v>8583</v>
      </c>
      <c r="P38" s="30" t="s">
        <v>814</v>
      </c>
      <c r="Q38" s="30" t="s">
        <v>9530</v>
      </c>
      <c r="R38" s="30" t="s">
        <v>814</v>
      </c>
      <c r="S38" s="30" t="s">
        <v>814</v>
      </c>
      <c r="T38" s="30" t="s">
        <v>814</v>
      </c>
      <c r="U38" s="30" t="s">
        <v>9531</v>
      </c>
      <c r="V38" s="6" t="s">
        <v>814</v>
      </c>
      <c r="W38" s="6" t="s">
        <v>814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5792</v>
      </c>
      <c r="B39" s="6" t="s">
        <v>9545</v>
      </c>
      <c r="C39" s="256" t="n">
        <v>3</v>
      </c>
      <c r="D39" s="254"/>
      <c r="E39" s="254"/>
      <c r="F39" s="254" t="s">
        <v>9546</v>
      </c>
      <c r="G39" s="30" t="s">
        <v>9547</v>
      </c>
      <c r="H39" s="30" t="s">
        <v>9526</v>
      </c>
      <c r="I39" s="30" t="s">
        <v>8620</v>
      </c>
      <c r="J39" s="6" t="s">
        <v>9528</v>
      </c>
      <c r="K39" s="254" t="n">
        <v>1</v>
      </c>
      <c r="L39" s="254" t="s">
        <v>8687</v>
      </c>
      <c r="M39" s="6" t="s">
        <v>9529</v>
      </c>
      <c r="N39" s="254" t="s">
        <v>9200</v>
      </c>
      <c r="O39" s="30" t="s">
        <v>8583</v>
      </c>
      <c r="P39" s="30" t="s">
        <v>814</v>
      </c>
      <c r="Q39" s="30" t="s">
        <v>9530</v>
      </c>
      <c r="R39" s="30" t="s">
        <v>814</v>
      </c>
      <c r="S39" s="30" t="s">
        <v>814</v>
      </c>
      <c r="T39" s="30" t="s">
        <v>814</v>
      </c>
      <c r="U39" s="30" t="s">
        <v>9531</v>
      </c>
      <c r="V39" s="6" t="s">
        <v>9548</v>
      </c>
      <c r="W39" s="20" t="s">
        <v>9549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6567</v>
      </c>
      <c r="B40" s="6" t="s">
        <v>9550</v>
      </c>
      <c r="C40" s="254"/>
      <c r="D40" s="256" t="n">
        <v>0.38</v>
      </c>
      <c r="E40" s="256" t="n">
        <v>0.43</v>
      </c>
      <c r="F40" s="30" t="s">
        <v>131</v>
      </c>
      <c r="G40" s="30" t="s">
        <v>9551</v>
      </c>
      <c r="H40" s="30" t="s">
        <v>9552</v>
      </c>
      <c r="I40" s="30" t="s">
        <v>9553</v>
      </c>
      <c r="J40" s="6" t="s">
        <v>9554</v>
      </c>
      <c r="K40" s="254" t="n">
        <v>1</v>
      </c>
      <c r="L40" s="254" t="s">
        <v>8580</v>
      </c>
      <c r="M40" s="6" t="s">
        <v>9555</v>
      </c>
      <c r="N40" s="254" t="s">
        <v>8582</v>
      </c>
      <c r="O40" s="30" t="s">
        <v>8583</v>
      </c>
      <c r="P40" s="30" t="s">
        <v>814</v>
      </c>
      <c r="Q40" s="30" t="s">
        <v>9556</v>
      </c>
      <c r="R40" s="30" t="s">
        <v>814</v>
      </c>
      <c r="S40" s="30" t="s">
        <v>7535</v>
      </c>
      <c r="T40" s="30" t="s">
        <v>814</v>
      </c>
      <c r="U40" s="30" t="s">
        <v>9557</v>
      </c>
      <c r="V40" s="6" t="s">
        <v>814</v>
      </c>
      <c r="W40" s="6" t="s">
        <v>9558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6572</v>
      </c>
      <c r="B41" s="6" t="s">
        <v>9559</v>
      </c>
      <c r="C41" s="256" t="n">
        <v>0.9</v>
      </c>
      <c r="D41" s="254"/>
      <c r="E41" s="254"/>
      <c r="F41" s="30" t="s">
        <v>131</v>
      </c>
      <c r="G41" s="254" t="s">
        <v>9560</v>
      </c>
      <c r="H41" s="30" t="s">
        <v>9552</v>
      </c>
      <c r="I41" s="30" t="s">
        <v>9553</v>
      </c>
      <c r="J41" s="6" t="s">
        <v>9554</v>
      </c>
      <c r="K41" s="254" t="n">
        <v>1</v>
      </c>
      <c r="L41" s="254" t="s">
        <v>8580</v>
      </c>
      <c r="M41" s="6" t="s">
        <v>9555</v>
      </c>
      <c r="N41" s="254" t="s">
        <v>8582</v>
      </c>
      <c r="O41" s="30" t="s">
        <v>8583</v>
      </c>
      <c r="P41" s="30" t="s">
        <v>814</v>
      </c>
      <c r="Q41" s="30" t="s">
        <v>9561</v>
      </c>
      <c r="R41" s="30" t="s">
        <v>814</v>
      </c>
      <c r="S41" s="30" t="s">
        <v>7535</v>
      </c>
      <c r="T41" s="30" t="s">
        <v>814</v>
      </c>
      <c r="U41" s="30" t="s">
        <v>9557</v>
      </c>
      <c r="V41" s="6" t="s">
        <v>9562</v>
      </c>
      <c r="W41" s="20" t="s">
        <v>9563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9564</v>
      </c>
      <c r="B42" s="6" t="s">
        <v>9565</v>
      </c>
      <c r="C42" s="256" t="n">
        <v>2.24</v>
      </c>
      <c r="D42" s="254"/>
      <c r="E42" s="254"/>
      <c r="F42" s="30" t="s">
        <v>136</v>
      </c>
      <c r="G42" s="254" t="s">
        <v>9566</v>
      </c>
      <c r="H42" s="30" t="s">
        <v>9567</v>
      </c>
      <c r="I42" s="30" t="s">
        <v>8715</v>
      </c>
      <c r="J42" s="6" t="s">
        <v>9568</v>
      </c>
      <c r="K42" s="254" t="n">
        <v>1</v>
      </c>
      <c r="L42" s="254" t="s">
        <v>8580</v>
      </c>
      <c r="M42" s="20" t="s">
        <v>9569</v>
      </c>
      <c r="N42" s="254" t="s">
        <v>9200</v>
      </c>
      <c r="O42" s="30" t="s">
        <v>8583</v>
      </c>
      <c r="P42" s="30" t="s">
        <v>814</v>
      </c>
      <c r="Q42" s="30" t="s">
        <v>9570</v>
      </c>
      <c r="R42" s="30" t="s">
        <v>814</v>
      </c>
      <c r="S42" s="30" t="s">
        <v>814</v>
      </c>
      <c r="T42" s="30" t="s">
        <v>814</v>
      </c>
      <c r="U42" s="30" t="s">
        <v>9571</v>
      </c>
      <c r="V42" s="6" t="s">
        <v>814</v>
      </c>
      <c r="W42" s="20" t="s">
        <v>9572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9573</v>
      </c>
      <c r="B43" s="6" t="s">
        <v>9574</v>
      </c>
      <c r="C43" s="256" t="n">
        <v>2.72</v>
      </c>
      <c r="D43" s="254"/>
      <c r="E43" s="254"/>
      <c r="F43" s="30" t="s">
        <v>136</v>
      </c>
      <c r="G43" s="254" t="s">
        <v>9566</v>
      </c>
      <c r="H43" s="30" t="s">
        <v>9567</v>
      </c>
      <c r="I43" s="30" t="s">
        <v>8715</v>
      </c>
      <c r="J43" s="6" t="s">
        <v>9568</v>
      </c>
      <c r="K43" s="254" t="n">
        <v>1</v>
      </c>
      <c r="L43" s="254" t="s">
        <v>8580</v>
      </c>
      <c r="M43" s="20" t="s">
        <v>9569</v>
      </c>
      <c r="N43" s="254" t="s">
        <v>9200</v>
      </c>
      <c r="O43" s="30" t="s">
        <v>8583</v>
      </c>
      <c r="P43" s="30" t="s">
        <v>814</v>
      </c>
      <c r="Q43" s="30" t="s">
        <v>9570</v>
      </c>
      <c r="R43" s="30" t="s">
        <v>814</v>
      </c>
      <c r="S43" s="30" t="s">
        <v>814</v>
      </c>
      <c r="T43" s="30" t="s">
        <v>814</v>
      </c>
      <c r="U43" s="30" t="s">
        <v>9571</v>
      </c>
      <c r="V43" s="6" t="s">
        <v>814</v>
      </c>
      <c r="W43" s="6" t="s">
        <v>814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9575</v>
      </c>
      <c r="B44" s="6" t="s">
        <v>9576</v>
      </c>
      <c r="C44" s="256" t="n">
        <v>2</v>
      </c>
      <c r="D44" s="254"/>
      <c r="E44" s="254"/>
      <c r="F44" s="30" t="s">
        <v>136</v>
      </c>
      <c r="G44" s="254" t="s">
        <v>8668</v>
      </c>
      <c r="H44" s="30" t="s">
        <v>9577</v>
      </c>
      <c r="I44" s="30" t="s">
        <v>8715</v>
      </c>
      <c r="J44" s="6" t="s">
        <v>9568</v>
      </c>
      <c r="K44" s="254" t="n">
        <v>1</v>
      </c>
      <c r="L44" s="254" t="s">
        <v>8580</v>
      </c>
      <c r="M44" s="20" t="s">
        <v>9569</v>
      </c>
      <c r="N44" s="254" t="s">
        <v>9200</v>
      </c>
      <c r="O44" s="30" t="s">
        <v>8583</v>
      </c>
      <c r="P44" s="30" t="s">
        <v>814</v>
      </c>
      <c r="Q44" s="30" t="s">
        <v>9570</v>
      </c>
      <c r="R44" s="30" t="s">
        <v>814</v>
      </c>
      <c r="S44" s="30" t="s">
        <v>814</v>
      </c>
      <c r="T44" s="30" t="s">
        <v>814</v>
      </c>
      <c r="U44" s="30" t="s">
        <v>9571</v>
      </c>
      <c r="V44" s="6" t="s">
        <v>814</v>
      </c>
      <c r="W44" s="6" t="s">
        <v>814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5947</v>
      </c>
      <c r="B45" s="6" t="s">
        <v>9578</v>
      </c>
      <c r="C45" s="256" t="n">
        <v>73700</v>
      </c>
      <c r="D45" s="254"/>
      <c r="E45" s="254"/>
      <c r="F45" s="30" t="s">
        <v>9579</v>
      </c>
      <c r="G45" s="30" t="s">
        <v>9580</v>
      </c>
      <c r="H45" s="30" t="s">
        <v>9581</v>
      </c>
      <c r="I45" s="30" t="s">
        <v>9582</v>
      </c>
      <c r="J45" s="6" t="s">
        <v>9583</v>
      </c>
      <c r="K45" s="254" t="n">
        <v>1</v>
      </c>
      <c r="L45" s="254" t="s">
        <v>8580</v>
      </c>
      <c r="M45" s="6" t="s">
        <v>9584</v>
      </c>
      <c r="N45" s="254" t="s">
        <v>9200</v>
      </c>
      <c r="O45" s="30" t="s">
        <v>8583</v>
      </c>
      <c r="P45" s="30" t="s">
        <v>814</v>
      </c>
      <c r="Q45" s="30" t="s">
        <v>9585</v>
      </c>
      <c r="R45" s="30" t="s">
        <v>814</v>
      </c>
      <c r="S45" s="30" t="s">
        <v>814</v>
      </c>
      <c r="T45" s="30" t="s">
        <v>814</v>
      </c>
      <c r="U45" s="30" t="s">
        <v>9492</v>
      </c>
      <c r="V45" s="20" t="s">
        <v>9586</v>
      </c>
      <c r="W45" s="20" t="s">
        <v>9587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9588</v>
      </c>
      <c r="AB45" s="30" t="s">
        <v>9589</v>
      </c>
      <c r="AG45" s="254" t="s">
        <v>9590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6011</v>
      </c>
      <c r="B46" s="6" t="s">
        <v>9591</v>
      </c>
      <c r="C46" s="256" t="n">
        <v>14800</v>
      </c>
      <c r="D46" s="254"/>
      <c r="E46" s="254"/>
      <c r="F46" s="30" t="s">
        <v>9579</v>
      </c>
      <c r="G46" s="30" t="s">
        <v>9592</v>
      </c>
      <c r="H46" s="30" t="s">
        <v>9581</v>
      </c>
      <c r="I46" s="30" t="s">
        <v>9582</v>
      </c>
      <c r="J46" s="6" t="s">
        <v>9583</v>
      </c>
      <c r="K46" s="254" t="n">
        <v>1</v>
      </c>
      <c r="L46" s="254" t="s">
        <v>8580</v>
      </c>
      <c r="M46" s="6" t="s">
        <v>9584</v>
      </c>
      <c r="N46" s="254" t="s">
        <v>9200</v>
      </c>
      <c r="O46" s="30" t="s">
        <v>8583</v>
      </c>
      <c r="P46" s="30" t="s">
        <v>814</v>
      </c>
      <c r="Q46" s="30" t="s">
        <v>9585</v>
      </c>
      <c r="R46" s="30" t="s">
        <v>814</v>
      </c>
      <c r="S46" s="30" t="s">
        <v>814</v>
      </c>
      <c r="T46" s="30" t="s">
        <v>814</v>
      </c>
      <c r="U46" s="30" t="s">
        <v>9492</v>
      </c>
      <c r="V46" s="20" t="s">
        <v>9593</v>
      </c>
      <c r="W46" s="20" t="s">
        <v>9594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9588</v>
      </c>
      <c r="AB46" s="30" t="s">
        <v>9589</v>
      </c>
      <c r="AG46" s="254" t="s">
        <v>9595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9596</v>
      </c>
      <c r="B47" s="6" t="s">
        <v>9597</v>
      </c>
      <c r="C47" s="256" t="n">
        <v>608</v>
      </c>
      <c r="D47" s="254"/>
      <c r="E47" s="254"/>
      <c r="F47" s="30" t="s">
        <v>9598</v>
      </c>
      <c r="G47" s="30" t="s">
        <v>9599</v>
      </c>
      <c r="H47" s="30" t="s">
        <v>9581</v>
      </c>
      <c r="I47" s="30" t="s">
        <v>9582</v>
      </c>
      <c r="J47" s="6" t="s">
        <v>9583</v>
      </c>
      <c r="K47" s="254" t="n">
        <v>1</v>
      </c>
      <c r="L47" s="254" t="s">
        <v>8580</v>
      </c>
      <c r="M47" s="6" t="s">
        <v>9584</v>
      </c>
      <c r="N47" s="254" t="s">
        <v>9200</v>
      </c>
      <c r="O47" s="30" t="s">
        <v>8583</v>
      </c>
      <c r="P47" s="30" t="s">
        <v>814</v>
      </c>
      <c r="Q47" s="30" t="s">
        <v>9585</v>
      </c>
      <c r="R47" s="30" t="s">
        <v>814</v>
      </c>
      <c r="S47" s="30" t="s">
        <v>814</v>
      </c>
      <c r="T47" s="30" t="s">
        <v>814</v>
      </c>
      <c r="U47" s="30" t="s">
        <v>9492</v>
      </c>
      <c r="V47" s="6" t="s">
        <v>814</v>
      </c>
      <c r="W47" s="6" t="s">
        <v>814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9600</v>
      </c>
      <c r="B48" s="6" t="s">
        <v>9601</v>
      </c>
      <c r="C48" s="256" t="n">
        <v>0.563</v>
      </c>
      <c r="D48" s="254"/>
      <c r="E48" s="254"/>
      <c r="F48" s="30" t="s">
        <v>131</v>
      </c>
      <c r="G48" s="30" t="s">
        <v>9602</v>
      </c>
      <c r="H48" s="30" t="s">
        <v>9581</v>
      </c>
      <c r="I48" s="30" t="s">
        <v>9582</v>
      </c>
      <c r="J48" s="6" t="s">
        <v>9583</v>
      </c>
      <c r="K48" s="254" t="n">
        <v>1</v>
      </c>
      <c r="L48" s="254" t="s">
        <v>8580</v>
      </c>
      <c r="M48" s="6" t="s">
        <v>9584</v>
      </c>
      <c r="N48" s="254" t="s">
        <v>9200</v>
      </c>
      <c r="O48" s="30" t="s">
        <v>8583</v>
      </c>
      <c r="P48" s="30" t="s">
        <v>814</v>
      </c>
      <c r="Q48" s="30" t="s">
        <v>9585</v>
      </c>
      <c r="R48" s="30" t="s">
        <v>814</v>
      </c>
      <c r="S48" s="30" t="s">
        <v>814</v>
      </c>
      <c r="T48" s="30" t="s">
        <v>814</v>
      </c>
      <c r="U48" s="30" t="s">
        <v>9492</v>
      </c>
      <c r="V48" s="20" t="s">
        <v>9603</v>
      </c>
      <c r="W48" s="20" t="s">
        <v>9604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9605</v>
      </c>
      <c r="B49" s="6" t="s">
        <v>9606</v>
      </c>
      <c r="C49" s="256" t="n">
        <v>168</v>
      </c>
      <c r="D49" s="254"/>
      <c r="E49" s="254"/>
      <c r="F49" s="30" t="s">
        <v>9598</v>
      </c>
      <c r="G49" s="30" t="s">
        <v>9599</v>
      </c>
      <c r="H49" s="30" t="s">
        <v>9581</v>
      </c>
      <c r="I49" s="30" t="s">
        <v>9582</v>
      </c>
      <c r="J49" s="6" t="s">
        <v>9583</v>
      </c>
      <c r="K49" s="254" t="n">
        <v>1</v>
      </c>
      <c r="L49" s="254" t="s">
        <v>8580</v>
      </c>
      <c r="M49" s="6" t="s">
        <v>9584</v>
      </c>
      <c r="N49" s="254" t="s">
        <v>9200</v>
      </c>
      <c r="O49" s="30" t="s">
        <v>8583</v>
      </c>
      <c r="P49" s="30" t="s">
        <v>814</v>
      </c>
      <c r="Q49" s="30" t="s">
        <v>9585</v>
      </c>
      <c r="R49" s="30" t="s">
        <v>814</v>
      </c>
      <c r="S49" s="30" t="s">
        <v>814</v>
      </c>
      <c r="T49" s="30" t="s">
        <v>814</v>
      </c>
      <c r="U49" s="30" t="s">
        <v>9492</v>
      </c>
      <c r="V49" s="6" t="s">
        <v>814</v>
      </c>
      <c r="W49" s="6" t="s">
        <v>814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9607</v>
      </c>
      <c r="B50" s="6" t="s">
        <v>9608</v>
      </c>
      <c r="C50" s="254"/>
      <c r="D50" s="256" t="n">
        <v>20</v>
      </c>
      <c r="E50" s="256" t="n">
        <v>22</v>
      </c>
      <c r="F50" s="30" t="s">
        <v>418</v>
      </c>
      <c r="G50" s="30" t="s">
        <v>9599</v>
      </c>
      <c r="H50" s="30" t="s">
        <v>9581</v>
      </c>
      <c r="I50" s="30" t="s">
        <v>9582</v>
      </c>
      <c r="J50" s="6" t="s">
        <v>9583</v>
      </c>
      <c r="K50" s="254" t="n">
        <v>1</v>
      </c>
      <c r="L50" s="254" t="s">
        <v>8580</v>
      </c>
      <c r="M50" s="6" t="s">
        <v>9584</v>
      </c>
      <c r="N50" s="254" t="s">
        <v>9200</v>
      </c>
      <c r="O50" s="30" t="s">
        <v>8583</v>
      </c>
      <c r="P50" s="30" t="s">
        <v>814</v>
      </c>
      <c r="Q50" s="30" t="s">
        <v>9585</v>
      </c>
      <c r="R50" s="30" t="s">
        <v>814</v>
      </c>
      <c r="S50" s="30" t="s">
        <v>814</v>
      </c>
      <c r="T50" s="30" t="s">
        <v>814</v>
      </c>
      <c r="U50" s="30" t="s">
        <v>9492</v>
      </c>
      <c r="V50" s="20" t="s">
        <v>9609</v>
      </c>
      <c r="W50" s="20" t="s">
        <v>9610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9611</v>
      </c>
      <c r="B51" s="6" t="s">
        <v>9612</v>
      </c>
      <c r="C51" s="256" t="n">
        <v>4989</v>
      </c>
      <c r="D51" s="254"/>
      <c r="E51" s="254"/>
      <c r="F51" s="30" t="s">
        <v>337</v>
      </c>
      <c r="G51" s="30" t="s">
        <v>9599</v>
      </c>
      <c r="H51" s="30" t="s">
        <v>9581</v>
      </c>
      <c r="I51" s="30" t="s">
        <v>9582</v>
      </c>
      <c r="J51" s="6" t="s">
        <v>9583</v>
      </c>
      <c r="K51" s="254" t="n">
        <v>1</v>
      </c>
      <c r="L51" s="254" t="s">
        <v>8580</v>
      </c>
      <c r="M51" s="6" t="s">
        <v>9584</v>
      </c>
      <c r="N51" s="254" t="s">
        <v>9200</v>
      </c>
      <c r="O51" s="30" t="s">
        <v>8583</v>
      </c>
      <c r="P51" s="30" t="s">
        <v>814</v>
      </c>
      <c r="Q51" s="30" t="s">
        <v>9585</v>
      </c>
      <c r="R51" s="30" t="s">
        <v>814</v>
      </c>
      <c r="S51" s="30" t="s">
        <v>814</v>
      </c>
      <c r="T51" s="30" t="s">
        <v>814</v>
      </c>
      <c r="U51" s="30" t="s">
        <v>9492</v>
      </c>
      <c r="V51" s="6" t="s">
        <v>814</v>
      </c>
      <c r="W51" s="6" t="s">
        <v>814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9613</v>
      </c>
      <c r="B52" s="6" t="s">
        <v>9614</v>
      </c>
      <c r="C52" s="256" t="n">
        <v>278</v>
      </c>
      <c r="D52" s="254"/>
      <c r="E52" s="254"/>
      <c r="F52" s="254" t="s">
        <v>9615</v>
      </c>
      <c r="G52" s="30" t="s">
        <v>9616</v>
      </c>
      <c r="H52" s="30" t="s">
        <v>9581</v>
      </c>
      <c r="I52" s="30" t="s">
        <v>9582</v>
      </c>
      <c r="J52" s="6" t="s">
        <v>9583</v>
      </c>
      <c r="K52" s="254" t="n">
        <v>1</v>
      </c>
      <c r="L52" s="254" t="s">
        <v>8580</v>
      </c>
      <c r="M52" s="6" t="s">
        <v>9584</v>
      </c>
      <c r="N52" s="254" t="s">
        <v>9200</v>
      </c>
      <c r="O52" s="30" t="s">
        <v>8583</v>
      </c>
      <c r="P52" s="30" t="s">
        <v>814</v>
      </c>
      <c r="Q52" s="30" t="s">
        <v>9585</v>
      </c>
      <c r="R52" s="30" t="s">
        <v>814</v>
      </c>
      <c r="S52" s="30" t="s">
        <v>814</v>
      </c>
      <c r="T52" s="30" t="s">
        <v>814</v>
      </c>
      <c r="U52" s="30" t="s">
        <v>9492</v>
      </c>
      <c r="V52" s="6" t="s">
        <v>814</v>
      </c>
      <c r="W52" s="20" t="s">
        <v>9617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9618</v>
      </c>
      <c r="B53" s="6" t="s">
        <v>9619</v>
      </c>
      <c r="C53" s="256" t="n">
        <v>226.75</v>
      </c>
      <c r="D53" s="254"/>
      <c r="E53" s="254"/>
      <c r="F53" s="254" t="s">
        <v>9615</v>
      </c>
      <c r="G53" s="30" t="s">
        <v>9616</v>
      </c>
      <c r="H53" s="30" t="s">
        <v>9581</v>
      </c>
      <c r="I53" s="30" t="s">
        <v>9582</v>
      </c>
      <c r="J53" s="6" t="s">
        <v>9583</v>
      </c>
      <c r="K53" s="254" t="n">
        <v>1</v>
      </c>
      <c r="L53" s="254" t="s">
        <v>8580</v>
      </c>
      <c r="M53" s="6" t="s">
        <v>9584</v>
      </c>
      <c r="N53" s="254" t="s">
        <v>9200</v>
      </c>
      <c r="O53" s="30" t="s">
        <v>8583</v>
      </c>
      <c r="P53" s="30" t="s">
        <v>814</v>
      </c>
      <c r="Q53" s="30" t="s">
        <v>9585</v>
      </c>
      <c r="R53" s="30" t="s">
        <v>814</v>
      </c>
      <c r="S53" s="30" t="s">
        <v>814</v>
      </c>
      <c r="T53" s="30" t="s">
        <v>814</v>
      </c>
      <c r="U53" s="30" t="s">
        <v>9492</v>
      </c>
      <c r="V53" s="6" t="s">
        <v>814</v>
      </c>
      <c r="W53" s="6" t="s">
        <v>814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9620</v>
      </c>
      <c r="B54" s="6" t="s">
        <v>9621</v>
      </c>
      <c r="C54" s="256" t="n">
        <v>4</v>
      </c>
      <c r="D54" s="254"/>
      <c r="E54" s="254"/>
      <c r="F54" s="254" t="s">
        <v>9615</v>
      </c>
      <c r="G54" s="30" t="s">
        <v>9622</v>
      </c>
      <c r="H54" s="30" t="s">
        <v>9581</v>
      </c>
      <c r="I54" s="30" t="s">
        <v>9582</v>
      </c>
      <c r="J54" s="6" t="s">
        <v>9583</v>
      </c>
      <c r="K54" s="254" t="n">
        <v>1</v>
      </c>
      <c r="L54" s="254" t="s">
        <v>8580</v>
      </c>
      <c r="M54" s="6" t="s">
        <v>9584</v>
      </c>
      <c r="N54" s="254" t="s">
        <v>9200</v>
      </c>
      <c r="O54" s="30" t="s">
        <v>8583</v>
      </c>
      <c r="P54" s="30" t="s">
        <v>814</v>
      </c>
      <c r="Q54" s="30" t="s">
        <v>9585</v>
      </c>
      <c r="R54" s="30" t="s">
        <v>814</v>
      </c>
      <c r="S54" s="30" t="s">
        <v>814</v>
      </c>
      <c r="T54" s="30" t="s">
        <v>814</v>
      </c>
      <c r="U54" s="30" t="s">
        <v>9492</v>
      </c>
      <c r="V54" s="20" t="s">
        <v>9623</v>
      </c>
      <c r="W54" s="20" t="s">
        <v>9624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5589</v>
      </c>
      <c r="B55" s="6" t="s">
        <v>9625</v>
      </c>
      <c r="C55" s="256" t="n">
        <v>18</v>
      </c>
      <c r="D55" s="254"/>
      <c r="E55" s="254"/>
      <c r="F55" s="254" t="s">
        <v>9615</v>
      </c>
      <c r="G55" s="30" t="s">
        <v>9626</v>
      </c>
      <c r="H55" s="30" t="s">
        <v>9581</v>
      </c>
      <c r="I55" s="30" t="s">
        <v>9582</v>
      </c>
      <c r="J55" s="6" t="s">
        <v>9583</v>
      </c>
      <c r="K55" s="254" t="n">
        <v>1</v>
      </c>
      <c r="L55" s="254" t="s">
        <v>8580</v>
      </c>
      <c r="M55" s="6" t="s">
        <v>9584</v>
      </c>
      <c r="N55" s="254" t="s">
        <v>9200</v>
      </c>
      <c r="O55" s="30" t="s">
        <v>8583</v>
      </c>
      <c r="P55" s="30" t="s">
        <v>814</v>
      </c>
      <c r="Q55" s="30" t="s">
        <v>9585</v>
      </c>
      <c r="R55" s="30" t="s">
        <v>814</v>
      </c>
      <c r="S55" s="30" t="s">
        <v>814</v>
      </c>
      <c r="T55" s="30" t="s">
        <v>814</v>
      </c>
      <c r="U55" s="30" t="s">
        <v>9492</v>
      </c>
      <c r="V55" s="20" t="s">
        <v>9627</v>
      </c>
      <c r="W55" s="20" t="s">
        <v>9628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9629</v>
      </c>
      <c r="B56" s="6" t="s">
        <v>9630</v>
      </c>
      <c r="C56" s="256" t="n">
        <v>558802.8</v>
      </c>
      <c r="D56" s="254"/>
      <c r="E56" s="254"/>
      <c r="F56" s="30" t="s">
        <v>9631</v>
      </c>
      <c r="G56" s="30" t="s">
        <v>9632</v>
      </c>
      <c r="H56" s="30" t="s">
        <v>9633</v>
      </c>
      <c r="I56" s="30" t="s">
        <v>9634</v>
      </c>
      <c r="J56" s="6" t="s">
        <v>9516</v>
      </c>
      <c r="K56" s="254" t="n">
        <v>1</v>
      </c>
      <c r="L56" s="254" t="s">
        <v>8580</v>
      </c>
      <c r="M56" s="6" t="s">
        <v>9635</v>
      </c>
      <c r="N56" s="254" t="s">
        <v>8582</v>
      </c>
      <c r="O56" s="30" t="s">
        <v>8583</v>
      </c>
      <c r="P56" s="30" t="s">
        <v>814</v>
      </c>
      <c r="Q56" s="30" t="s">
        <v>9636</v>
      </c>
      <c r="R56" s="30" t="s">
        <v>6842</v>
      </c>
      <c r="S56" s="30" t="s">
        <v>814</v>
      </c>
      <c r="T56" s="30" t="s">
        <v>814</v>
      </c>
      <c r="U56" s="30" t="s">
        <v>9637</v>
      </c>
      <c r="V56" s="6" t="s">
        <v>814</v>
      </c>
      <c r="W56" s="6" t="s">
        <v>9638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9639</v>
      </c>
      <c r="B57" s="6" t="s">
        <v>9640</v>
      </c>
      <c r="C57" s="256" t="n">
        <v>591368.3</v>
      </c>
      <c r="D57" s="254"/>
      <c r="E57" s="254"/>
      <c r="F57" s="30" t="s">
        <v>9631</v>
      </c>
      <c r="G57" s="30" t="s">
        <v>9641</v>
      </c>
      <c r="H57" s="30" t="s">
        <v>9633</v>
      </c>
      <c r="I57" s="30" t="s">
        <v>9634</v>
      </c>
      <c r="J57" s="6" t="s">
        <v>9516</v>
      </c>
      <c r="K57" s="254" t="n">
        <v>1</v>
      </c>
      <c r="L57" s="254" t="s">
        <v>8580</v>
      </c>
      <c r="M57" s="6" t="s">
        <v>9635</v>
      </c>
      <c r="N57" s="254" t="s">
        <v>8582</v>
      </c>
      <c r="O57" s="30" t="s">
        <v>8583</v>
      </c>
      <c r="P57" s="30" t="s">
        <v>814</v>
      </c>
      <c r="Q57" s="30" t="s">
        <v>9636</v>
      </c>
      <c r="R57" s="30" t="s">
        <v>9642</v>
      </c>
      <c r="S57" s="30" t="s">
        <v>814</v>
      </c>
      <c r="T57" s="30" t="s">
        <v>814</v>
      </c>
      <c r="U57" s="30" t="s">
        <v>9637</v>
      </c>
      <c r="V57" s="6" t="s">
        <v>814</v>
      </c>
      <c r="W57" s="6" t="s">
        <v>9638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9643</v>
      </c>
      <c r="B58" s="6" t="s">
        <v>9644</v>
      </c>
      <c r="C58" s="256" t="n">
        <v>689961</v>
      </c>
      <c r="D58" s="254"/>
      <c r="E58" s="254"/>
      <c r="F58" s="30" t="s">
        <v>9496</v>
      </c>
      <c r="G58" s="30" t="s">
        <v>9645</v>
      </c>
      <c r="H58" s="30" t="s">
        <v>9646</v>
      </c>
      <c r="I58" s="30" t="s">
        <v>9634</v>
      </c>
      <c r="J58" s="6" t="s">
        <v>9516</v>
      </c>
      <c r="K58" s="254" t="n">
        <v>1</v>
      </c>
      <c r="L58" s="254" t="s">
        <v>8580</v>
      </c>
      <c r="M58" s="6" t="s">
        <v>9647</v>
      </c>
      <c r="N58" s="254" t="s">
        <v>8582</v>
      </c>
      <c r="O58" s="30" t="s">
        <v>8583</v>
      </c>
      <c r="P58" s="30" t="s">
        <v>814</v>
      </c>
      <c r="Q58" s="30" t="s">
        <v>9636</v>
      </c>
      <c r="R58" s="30" t="s">
        <v>9648</v>
      </c>
      <c r="S58" s="30" t="s">
        <v>814</v>
      </c>
      <c r="T58" s="30" t="s">
        <v>814</v>
      </c>
      <c r="U58" s="30" t="s">
        <v>9637</v>
      </c>
      <c r="V58" s="6" t="s">
        <v>814</v>
      </c>
      <c r="W58" s="6" t="s">
        <v>9649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9650</v>
      </c>
      <c r="B59" s="6" t="s">
        <v>9651</v>
      </c>
      <c r="C59" s="256" t="n">
        <v>603023</v>
      </c>
      <c r="D59" s="254"/>
      <c r="E59" s="254"/>
      <c r="F59" s="30" t="s">
        <v>9496</v>
      </c>
      <c r="G59" s="30" t="s">
        <v>9652</v>
      </c>
      <c r="H59" s="30" t="s">
        <v>9646</v>
      </c>
      <c r="I59" s="30" t="s">
        <v>9634</v>
      </c>
      <c r="J59" s="6" t="s">
        <v>9516</v>
      </c>
      <c r="K59" s="254" t="n">
        <v>1</v>
      </c>
      <c r="L59" s="254" t="s">
        <v>8580</v>
      </c>
      <c r="M59" s="6" t="s">
        <v>9647</v>
      </c>
      <c r="N59" s="254" t="s">
        <v>8582</v>
      </c>
      <c r="O59" s="30" t="s">
        <v>8583</v>
      </c>
      <c r="P59" s="30" t="s">
        <v>814</v>
      </c>
      <c r="Q59" s="30" t="s">
        <v>9636</v>
      </c>
      <c r="R59" s="30" t="s">
        <v>9653</v>
      </c>
      <c r="S59" s="30" t="s">
        <v>814</v>
      </c>
      <c r="T59" s="30" t="s">
        <v>814</v>
      </c>
      <c r="U59" s="30" t="s">
        <v>9637</v>
      </c>
      <c r="V59" s="6" t="s">
        <v>814</v>
      </c>
      <c r="W59" s="6" t="s">
        <v>9649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6842</v>
      </c>
      <c r="B60" s="6" t="s">
        <v>9654</v>
      </c>
      <c r="C60" s="256" t="n">
        <v>1183326.9</v>
      </c>
      <c r="D60" s="254"/>
      <c r="E60" s="254"/>
      <c r="F60" s="30" t="s">
        <v>9496</v>
      </c>
      <c r="G60" s="30" t="s">
        <v>9632</v>
      </c>
      <c r="H60" s="30" t="s">
        <v>9655</v>
      </c>
      <c r="I60" s="30" t="s">
        <v>9634</v>
      </c>
      <c r="J60" s="6" t="s">
        <v>9516</v>
      </c>
      <c r="K60" s="254" t="n">
        <v>1</v>
      </c>
      <c r="L60" s="254" t="s">
        <v>8580</v>
      </c>
      <c r="M60" s="6" t="s">
        <v>9635</v>
      </c>
      <c r="N60" s="254" t="s">
        <v>8582</v>
      </c>
      <c r="O60" s="30" t="s">
        <v>8583</v>
      </c>
      <c r="P60" s="30" t="s">
        <v>814</v>
      </c>
      <c r="Q60" s="30" t="s">
        <v>9636</v>
      </c>
      <c r="R60" s="30" t="s">
        <v>9629</v>
      </c>
      <c r="S60" s="30" t="s">
        <v>814</v>
      </c>
      <c r="T60" s="30" t="s">
        <v>814</v>
      </c>
      <c r="U60" s="30" t="s">
        <v>9637</v>
      </c>
      <c r="V60" s="6" t="s">
        <v>814</v>
      </c>
      <c r="W60" s="6" t="s">
        <v>9656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9642</v>
      </c>
      <c r="B61" s="6" t="s">
        <v>9657</v>
      </c>
      <c r="C61" s="256" t="n">
        <v>1175890.2</v>
      </c>
      <c r="D61" s="254"/>
      <c r="E61" s="254"/>
      <c r="F61" s="30" t="s">
        <v>9496</v>
      </c>
      <c r="G61" s="30" t="s">
        <v>9641</v>
      </c>
      <c r="H61" s="30" t="s">
        <v>9655</v>
      </c>
      <c r="I61" s="30" t="s">
        <v>9634</v>
      </c>
      <c r="J61" s="6" t="s">
        <v>9516</v>
      </c>
      <c r="K61" s="254" t="n">
        <v>1</v>
      </c>
      <c r="L61" s="254" t="s">
        <v>8580</v>
      </c>
      <c r="M61" s="6" t="s">
        <v>9635</v>
      </c>
      <c r="N61" s="254" t="s">
        <v>8582</v>
      </c>
      <c r="O61" s="30" t="s">
        <v>8583</v>
      </c>
      <c r="P61" s="30" t="s">
        <v>814</v>
      </c>
      <c r="Q61" s="30" t="s">
        <v>9636</v>
      </c>
      <c r="R61" s="30" t="s">
        <v>9639</v>
      </c>
      <c r="S61" s="30" t="s">
        <v>814</v>
      </c>
      <c r="T61" s="30" t="s">
        <v>814</v>
      </c>
      <c r="U61" s="30" t="s">
        <v>9637</v>
      </c>
      <c r="V61" s="6" t="s">
        <v>814</v>
      </c>
      <c r="W61" s="6" t="s">
        <v>9656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9648</v>
      </c>
      <c r="B62" s="6" t="s">
        <v>9658</v>
      </c>
      <c r="C62" s="256" t="n">
        <v>679740</v>
      </c>
      <c r="D62" s="254"/>
      <c r="E62" s="254"/>
      <c r="F62" s="30" t="s">
        <v>9496</v>
      </c>
      <c r="G62" s="30" t="s">
        <v>9645</v>
      </c>
      <c r="H62" s="30" t="s">
        <v>9659</v>
      </c>
      <c r="I62" s="30" t="s">
        <v>9634</v>
      </c>
      <c r="J62" s="6" t="s">
        <v>9516</v>
      </c>
      <c r="K62" s="254" t="n">
        <v>1</v>
      </c>
      <c r="L62" s="254" t="s">
        <v>8580</v>
      </c>
      <c r="M62" s="6" t="s">
        <v>9647</v>
      </c>
      <c r="N62" s="254" t="s">
        <v>8582</v>
      </c>
      <c r="O62" s="30" t="s">
        <v>8583</v>
      </c>
      <c r="P62" s="30" t="s">
        <v>814</v>
      </c>
      <c r="Q62" s="30" t="s">
        <v>9636</v>
      </c>
      <c r="R62" s="30" t="s">
        <v>9643</v>
      </c>
      <c r="S62" s="30" t="s">
        <v>814</v>
      </c>
      <c r="T62" s="30" t="s">
        <v>814</v>
      </c>
      <c r="U62" s="30" t="s">
        <v>9637</v>
      </c>
      <c r="V62" s="6" t="s">
        <v>814</v>
      </c>
      <c r="W62" s="6" t="s">
        <v>9660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9653</v>
      </c>
      <c r="B63" s="6" t="s">
        <v>9661</v>
      </c>
      <c r="C63" s="256" t="n">
        <v>596944</v>
      </c>
      <c r="D63" s="254"/>
      <c r="E63" s="254"/>
      <c r="F63" s="30" t="s">
        <v>9496</v>
      </c>
      <c r="G63" s="30" t="s">
        <v>9652</v>
      </c>
      <c r="H63" s="30" t="s">
        <v>9659</v>
      </c>
      <c r="I63" s="30" t="s">
        <v>9634</v>
      </c>
      <c r="J63" s="6" t="s">
        <v>9516</v>
      </c>
      <c r="K63" s="254" t="n">
        <v>1</v>
      </c>
      <c r="L63" s="254" t="s">
        <v>8580</v>
      </c>
      <c r="M63" s="6" t="s">
        <v>9647</v>
      </c>
      <c r="N63" s="254" t="s">
        <v>8582</v>
      </c>
      <c r="O63" s="30" t="s">
        <v>8583</v>
      </c>
      <c r="P63" s="30" t="s">
        <v>814</v>
      </c>
      <c r="Q63" s="30" t="s">
        <v>9636</v>
      </c>
      <c r="R63" s="30" t="s">
        <v>9650</v>
      </c>
      <c r="S63" s="30" t="s">
        <v>814</v>
      </c>
      <c r="T63" s="30" t="s">
        <v>814</v>
      </c>
      <c r="U63" s="30" t="s">
        <v>9637</v>
      </c>
      <c r="V63" s="6" t="s">
        <v>814</v>
      </c>
      <c r="W63" s="6" t="s">
        <v>9660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9662</v>
      </c>
      <c r="B64" s="6" t="s">
        <v>9663</v>
      </c>
      <c r="C64" s="256" t="n">
        <v>556</v>
      </c>
      <c r="D64" s="208"/>
      <c r="E64" s="208"/>
      <c r="F64" s="30" t="s">
        <v>9510</v>
      </c>
      <c r="G64" s="30" t="s">
        <v>9664</v>
      </c>
      <c r="H64" s="30" t="s">
        <v>9665</v>
      </c>
      <c r="I64" s="30" t="s">
        <v>9527</v>
      </c>
      <c r="J64" s="6" t="s">
        <v>9666</v>
      </c>
      <c r="K64" s="208" t="n">
        <v>2</v>
      </c>
      <c r="L64" s="208" t="s">
        <v>8580</v>
      </c>
      <c r="M64" s="6" t="s">
        <v>9667</v>
      </c>
      <c r="N64" s="208" t="s">
        <v>9668</v>
      </c>
      <c r="O64" s="30" t="s">
        <v>8583</v>
      </c>
      <c r="P64" s="30" t="s">
        <v>814</v>
      </c>
      <c r="Q64" s="30" t="s">
        <v>9669</v>
      </c>
      <c r="R64" s="30" t="s">
        <v>814</v>
      </c>
      <c r="S64" s="30" t="s">
        <v>814</v>
      </c>
      <c r="T64" s="30" t="s">
        <v>814</v>
      </c>
      <c r="U64" s="30" t="s">
        <v>9670</v>
      </c>
      <c r="V64" s="6" t="s">
        <v>9671</v>
      </c>
      <c r="W64" s="6" t="s">
        <v>9672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GPU¦server；MLPerf v5.1 Closed 規則下 NVIDIA 自測；NVIDIA 註明 Hopper 結果未經 MLCommons 驗證（非 MLCommons 稽核結果）¦DGX H200（8 GPU；NVIDIA 提交）</v>
      </c>
    </row>
    <row r="65" customFormat="false" ht="43.5" hidden="false" customHeight="true" outlineLevel="0" collapsed="false">
      <c r="A65" s="30" t="s">
        <v>9673</v>
      </c>
      <c r="B65" s="6" t="s">
        <v>9674</v>
      </c>
      <c r="C65" s="256" t="n">
        <v>2327</v>
      </c>
      <c r="D65" s="208"/>
      <c r="E65" s="208"/>
      <c r="F65" s="30" t="s">
        <v>9510</v>
      </c>
      <c r="G65" s="30" t="s">
        <v>9675</v>
      </c>
      <c r="H65" s="30" t="s">
        <v>9676</v>
      </c>
      <c r="I65" s="30" t="s">
        <v>9527</v>
      </c>
      <c r="J65" s="6" t="s">
        <v>9677</v>
      </c>
      <c r="K65" s="208" t="n">
        <v>2</v>
      </c>
      <c r="L65" s="208" t="s">
        <v>8580</v>
      </c>
      <c r="M65" s="6" t="s">
        <v>9678</v>
      </c>
      <c r="N65" s="208" t="s">
        <v>9679</v>
      </c>
      <c r="O65" s="30" t="s">
        <v>8583</v>
      </c>
      <c r="P65" s="30" t="s">
        <v>814</v>
      </c>
      <c r="Q65" s="30" t="s">
        <v>9669</v>
      </c>
      <c r="R65" s="30" t="s">
        <v>814</v>
      </c>
      <c r="S65" s="30" t="s">
        <v>814</v>
      </c>
      <c r="T65" s="30" t="s">
        <v>814</v>
      </c>
      <c r="U65" s="30" t="s">
        <v>9670</v>
      </c>
      <c r="V65" s="6" t="s">
        <v>9680</v>
      </c>
      <c r="W65" s="6" t="s">
        <v>9681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9682</v>
      </c>
      <c r="B66" s="6" t="s">
        <v>9683</v>
      </c>
      <c r="C66" s="256" t="n">
        <v>2785</v>
      </c>
      <c r="D66" s="208"/>
      <c r="E66" s="208"/>
      <c r="F66" s="30" t="s">
        <v>9684</v>
      </c>
      <c r="G66" s="208" t="s">
        <v>9685</v>
      </c>
      <c r="H66" s="30" t="s">
        <v>9686</v>
      </c>
      <c r="I66" s="30" t="s">
        <v>9239</v>
      </c>
      <c r="J66" s="6" t="s">
        <v>9677</v>
      </c>
      <c r="K66" s="208" t="n">
        <v>2</v>
      </c>
      <c r="L66" s="208" t="s">
        <v>8580</v>
      </c>
      <c r="M66" s="246" t="s">
        <v>9687</v>
      </c>
      <c r="N66" s="208" t="s">
        <v>9679</v>
      </c>
      <c r="O66" s="30" t="s">
        <v>8583</v>
      </c>
      <c r="P66" s="30" t="s">
        <v>814</v>
      </c>
      <c r="Q66" s="30" t="s">
        <v>9669</v>
      </c>
      <c r="R66" s="30" t="s">
        <v>814</v>
      </c>
      <c r="S66" s="30" t="s">
        <v>814</v>
      </c>
      <c r="T66" s="30" t="s">
        <v>814</v>
      </c>
      <c r="U66" s="30" t="s">
        <v>9670</v>
      </c>
      <c r="V66" s="6" t="s">
        <v>9688</v>
      </c>
      <c r="W66" s="6" t="s">
        <v>9689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9690</v>
      </c>
      <c r="B67" s="6" t="s">
        <v>9691</v>
      </c>
      <c r="C67" s="256" t="n">
        <v>13386</v>
      </c>
      <c r="D67" s="208"/>
      <c r="E67" s="208"/>
      <c r="F67" s="30" t="s">
        <v>9684</v>
      </c>
      <c r="G67" s="30" t="s">
        <v>9692</v>
      </c>
      <c r="H67" s="30" t="s">
        <v>206</v>
      </c>
      <c r="I67" s="30" t="s">
        <v>9527</v>
      </c>
      <c r="J67" s="6" t="s">
        <v>9677</v>
      </c>
      <c r="K67" s="208" t="n">
        <v>2</v>
      </c>
      <c r="L67" s="208" t="s">
        <v>8580</v>
      </c>
      <c r="M67" s="246" t="s">
        <v>9693</v>
      </c>
      <c r="N67" s="208" t="s">
        <v>9679</v>
      </c>
      <c r="O67" s="30" t="s">
        <v>8583</v>
      </c>
      <c r="P67" s="30" t="s">
        <v>814</v>
      </c>
      <c r="Q67" s="30" t="s">
        <v>9669</v>
      </c>
      <c r="R67" s="30" t="s">
        <v>814</v>
      </c>
      <c r="S67" s="30" t="s">
        <v>814</v>
      </c>
      <c r="T67" s="30" t="s">
        <v>814</v>
      </c>
      <c r="U67" s="30" t="s">
        <v>9670</v>
      </c>
      <c r="V67" s="6" t="s">
        <v>9694</v>
      </c>
      <c r="W67" s="6" t="s">
        <v>9695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9696</v>
      </c>
      <c r="B68" s="6" t="s">
        <v>9697</v>
      </c>
      <c r="C68" s="256" t="n">
        <v>0.11</v>
      </c>
      <c r="D68" s="208"/>
      <c r="E68" s="208"/>
      <c r="F68" s="30" t="s">
        <v>136</v>
      </c>
      <c r="G68" s="30" t="s">
        <v>9698</v>
      </c>
      <c r="H68" s="30" t="s">
        <v>9699</v>
      </c>
      <c r="I68" s="30" t="s">
        <v>9700</v>
      </c>
      <c r="J68" s="6" t="s">
        <v>9701</v>
      </c>
      <c r="K68" s="208" t="n">
        <v>2</v>
      </c>
      <c r="L68" s="208" t="s">
        <v>8687</v>
      </c>
      <c r="M68" s="246" t="s">
        <v>9702</v>
      </c>
      <c r="N68" s="208" t="s">
        <v>9679</v>
      </c>
      <c r="O68" s="30" t="s">
        <v>8583</v>
      </c>
      <c r="P68" s="30" t="s">
        <v>814</v>
      </c>
      <c r="Q68" s="30" t="s">
        <v>9669</v>
      </c>
      <c r="R68" s="30" t="s">
        <v>814</v>
      </c>
      <c r="S68" s="30" t="s">
        <v>814</v>
      </c>
      <c r="T68" s="30" t="s">
        <v>814</v>
      </c>
      <c r="U68" s="30" t="s">
        <v>9670</v>
      </c>
      <c r="V68" s="6" t="s">
        <v>9703</v>
      </c>
      <c r="W68" s="6" t="s">
        <v>9704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9705</v>
      </c>
      <c r="B69" s="6" t="s">
        <v>9706</v>
      </c>
      <c r="C69" s="208"/>
      <c r="D69" s="256" t="n">
        <v>0.1</v>
      </c>
      <c r="E69" s="208"/>
      <c r="F69" s="30" t="s">
        <v>136</v>
      </c>
      <c r="G69" s="208" t="s">
        <v>9707</v>
      </c>
      <c r="H69" s="30" t="s">
        <v>9708</v>
      </c>
      <c r="I69" s="30" t="s">
        <v>9700</v>
      </c>
      <c r="J69" s="6" t="s">
        <v>9701</v>
      </c>
      <c r="K69" s="208" t="n">
        <v>2</v>
      </c>
      <c r="L69" s="208" t="s">
        <v>8580</v>
      </c>
      <c r="M69" s="246" t="s">
        <v>9709</v>
      </c>
      <c r="N69" s="208" t="s">
        <v>9679</v>
      </c>
      <c r="O69" s="30" t="s">
        <v>8583</v>
      </c>
      <c r="P69" s="30" t="s">
        <v>814</v>
      </c>
      <c r="Q69" s="30" t="s">
        <v>9669</v>
      </c>
      <c r="R69" s="30" t="s">
        <v>814</v>
      </c>
      <c r="S69" s="30" t="s">
        <v>814</v>
      </c>
      <c r="T69" s="30" t="s">
        <v>814</v>
      </c>
      <c r="U69" s="30" t="s">
        <v>9670</v>
      </c>
      <c r="V69" s="6" t="s">
        <v>9703</v>
      </c>
      <c r="W69" s="6" t="s">
        <v>9710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5826</v>
      </c>
      <c r="B70" s="246" t="s">
        <v>9711</v>
      </c>
      <c r="C70" s="256" t="n">
        <v>116.5</v>
      </c>
      <c r="D70" s="208"/>
      <c r="E70" s="208"/>
      <c r="F70" s="30" t="s">
        <v>9461</v>
      </c>
      <c r="G70" s="208" t="s">
        <v>9712</v>
      </c>
      <c r="H70" s="30" t="s">
        <v>1505</v>
      </c>
      <c r="I70" s="30" t="s">
        <v>9713</v>
      </c>
      <c r="J70" s="6" t="s">
        <v>9714</v>
      </c>
      <c r="K70" s="208" t="n">
        <v>2</v>
      </c>
      <c r="L70" s="208" t="s">
        <v>8687</v>
      </c>
      <c r="M70" s="246" t="s">
        <v>9715</v>
      </c>
      <c r="N70" s="208" t="s">
        <v>9716</v>
      </c>
      <c r="O70" s="30" t="s">
        <v>8583</v>
      </c>
      <c r="P70" s="30" t="s">
        <v>814</v>
      </c>
      <c r="Q70" s="30" t="s">
        <v>9717</v>
      </c>
      <c r="R70" s="30" t="s">
        <v>9718</v>
      </c>
      <c r="S70" s="30" t="s">
        <v>814</v>
      </c>
      <c r="T70" s="30" t="s">
        <v>814</v>
      </c>
      <c r="U70" s="30" t="s">
        <v>9719</v>
      </c>
      <c r="V70" s="6" t="s">
        <v>9720</v>
      </c>
      <c r="W70" s="6" t="s">
        <v>9721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9718</v>
      </c>
      <c r="B71" s="246" t="s">
        <v>9722</v>
      </c>
      <c r="C71" s="256" t="n">
        <v>61</v>
      </c>
      <c r="D71" s="208"/>
      <c r="E71" s="208"/>
      <c r="F71" s="30" t="s">
        <v>9461</v>
      </c>
      <c r="G71" s="208" t="s">
        <v>9723</v>
      </c>
      <c r="H71" s="30" t="s">
        <v>1505</v>
      </c>
      <c r="I71" s="30" t="s">
        <v>9713</v>
      </c>
      <c r="J71" s="6" t="s">
        <v>9724</v>
      </c>
      <c r="K71" s="208" t="n">
        <v>2</v>
      </c>
      <c r="L71" s="208" t="s">
        <v>8687</v>
      </c>
      <c r="M71" s="246" t="s">
        <v>9725</v>
      </c>
      <c r="N71" s="208" t="s">
        <v>9716</v>
      </c>
      <c r="O71" s="30" t="s">
        <v>8583</v>
      </c>
      <c r="P71" s="30" t="s">
        <v>814</v>
      </c>
      <c r="Q71" s="30" t="s">
        <v>9717</v>
      </c>
      <c r="R71" s="30" t="s">
        <v>5826</v>
      </c>
      <c r="S71" s="30" t="s">
        <v>814</v>
      </c>
      <c r="T71" s="30" t="s">
        <v>814</v>
      </c>
      <c r="U71" s="30" t="s">
        <v>9719</v>
      </c>
      <c r="V71" s="6" t="s">
        <v>9720</v>
      </c>
      <c r="W71" s="6" t="s">
        <v>9726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5833</v>
      </c>
      <c r="B72" s="246" t="s">
        <v>9727</v>
      </c>
      <c r="C72" s="256" t="n">
        <v>50.7</v>
      </c>
      <c r="D72" s="208"/>
      <c r="E72" s="208"/>
      <c r="F72" s="30" t="s">
        <v>9461</v>
      </c>
      <c r="G72" s="208" t="s">
        <v>9712</v>
      </c>
      <c r="H72" s="30" t="s">
        <v>9728</v>
      </c>
      <c r="I72" s="30" t="s">
        <v>9713</v>
      </c>
      <c r="J72" s="6" t="s">
        <v>9729</v>
      </c>
      <c r="K72" s="208" t="n">
        <v>2</v>
      </c>
      <c r="L72" s="208" t="s">
        <v>8687</v>
      </c>
      <c r="M72" s="246" t="s">
        <v>9730</v>
      </c>
      <c r="N72" s="208" t="s">
        <v>9716</v>
      </c>
      <c r="O72" s="30" t="s">
        <v>8583</v>
      </c>
      <c r="P72" s="30" t="s">
        <v>814</v>
      </c>
      <c r="Q72" s="30" t="s">
        <v>9717</v>
      </c>
      <c r="R72" s="30" t="s">
        <v>9731</v>
      </c>
      <c r="S72" s="30" t="s">
        <v>814</v>
      </c>
      <c r="T72" s="30" t="s">
        <v>814</v>
      </c>
      <c r="U72" s="30" t="s">
        <v>9719</v>
      </c>
      <c r="V72" s="6" t="s">
        <v>9732</v>
      </c>
      <c r="W72" s="6" t="s">
        <v>9733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9731</v>
      </c>
      <c r="B73" s="246" t="s">
        <v>9734</v>
      </c>
      <c r="C73" s="256" t="n">
        <v>37</v>
      </c>
      <c r="D73" s="208"/>
      <c r="E73" s="208"/>
      <c r="F73" s="30" t="s">
        <v>9461</v>
      </c>
      <c r="G73" s="208" t="s">
        <v>9723</v>
      </c>
      <c r="H73" s="30" t="s">
        <v>9735</v>
      </c>
      <c r="I73" s="30" t="s">
        <v>9713</v>
      </c>
      <c r="J73" s="6" t="s">
        <v>9736</v>
      </c>
      <c r="K73" s="208" t="n">
        <v>2</v>
      </c>
      <c r="L73" s="208" t="s">
        <v>8687</v>
      </c>
      <c r="M73" s="246" t="s">
        <v>9737</v>
      </c>
      <c r="N73" s="208" t="s">
        <v>9716</v>
      </c>
      <c r="O73" s="30" t="s">
        <v>8583</v>
      </c>
      <c r="P73" s="30" t="s">
        <v>814</v>
      </c>
      <c r="Q73" s="30" t="s">
        <v>9717</v>
      </c>
      <c r="R73" s="30" t="s">
        <v>5833</v>
      </c>
      <c r="S73" s="30" t="s">
        <v>814</v>
      </c>
      <c r="T73" s="30" t="s">
        <v>814</v>
      </c>
      <c r="U73" s="30" t="s">
        <v>9719</v>
      </c>
      <c r="V73" s="6" t="s">
        <v>9732</v>
      </c>
      <c r="W73" s="6" t="s">
        <v>9738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5838</v>
      </c>
      <c r="B74" s="246" t="s">
        <v>9739</v>
      </c>
      <c r="C74" s="256" t="n">
        <v>52.1</v>
      </c>
      <c r="D74" s="208"/>
      <c r="E74" s="208"/>
      <c r="F74" s="30" t="s">
        <v>9461</v>
      </c>
      <c r="G74" s="208" t="s">
        <v>9712</v>
      </c>
      <c r="H74" s="30" t="s">
        <v>9740</v>
      </c>
      <c r="I74" s="30" t="s">
        <v>9713</v>
      </c>
      <c r="J74" s="6" t="s">
        <v>9741</v>
      </c>
      <c r="K74" s="208" t="n">
        <v>2</v>
      </c>
      <c r="L74" s="208" t="s">
        <v>8687</v>
      </c>
      <c r="M74" s="246" t="s">
        <v>9730</v>
      </c>
      <c r="N74" s="208" t="s">
        <v>9716</v>
      </c>
      <c r="O74" s="30" t="s">
        <v>8583</v>
      </c>
      <c r="P74" s="30" t="s">
        <v>814</v>
      </c>
      <c r="Q74" s="30" t="s">
        <v>9717</v>
      </c>
      <c r="R74" s="30" t="s">
        <v>9742</v>
      </c>
      <c r="S74" s="30" t="s">
        <v>814</v>
      </c>
      <c r="T74" s="30" t="s">
        <v>814</v>
      </c>
      <c r="U74" s="30" t="s">
        <v>9719</v>
      </c>
      <c r="V74" s="6" t="s">
        <v>9743</v>
      </c>
      <c r="W74" s="6" t="s">
        <v>9744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9742</v>
      </c>
      <c r="B75" s="246" t="s">
        <v>9745</v>
      </c>
      <c r="C75" s="256" t="n">
        <v>32</v>
      </c>
      <c r="D75" s="208"/>
      <c r="E75" s="208"/>
      <c r="F75" s="30" t="s">
        <v>9461</v>
      </c>
      <c r="G75" s="208" t="s">
        <v>9723</v>
      </c>
      <c r="H75" s="30" t="s">
        <v>1513</v>
      </c>
      <c r="I75" s="30" t="s">
        <v>9713</v>
      </c>
      <c r="J75" s="6" t="s">
        <v>9746</v>
      </c>
      <c r="K75" s="208" t="n">
        <v>2</v>
      </c>
      <c r="L75" s="208" t="s">
        <v>8687</v>
      </c>
      <c r="M75" s="246" t="s">
        <v>9747</v>
      </c>
      <c r="N75" s="208" t="s">
        <v>9716</v>
      </c>
      <c r="O75" s="30" t="s">
        <v>8583</v>
      </c>
      <c r="P75" s="30" t="s">
        <v>814</v>
      </c>
      <c r="Q75" s="30" t="s">
        <v>9717</v>
      </c>
      <c r="R75" s="30" t="s">
        <v>5838</v>
      </c>
      <c r="S75" s="30" t="s">
        <v>814</v>
      </c>
      <c r="T75" s="30" t="s">
        <v>814</v>
      </c>
      <c r="U75" s="30" t="s">
        <v>9719</v>
      </c>
      <c r="V75" s="6" t="s">
        <v>9743</v>
      </c>
      <c r="W75" s="6" t="s">
        <v>9748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9749</v>
      </c>
      <c r="B76" s="6" t="s">
        <v>9750</v>
      </c>
      <c r="C76" s="256" t="n">
        <v>2324</v>
      </c>
      <c r="D76" s="208"/>
      <c r="E76" s="208"/>
      <c r="F76" s="30" t="s">
        <v>9751</v>
      </c>
      <c r="G76" s="208" t="s">
        <v>9752</v>
      </c>
      <c r="H76" s="30" t="s">
        <v>9753</v>
      </c>
      <c r="I76" s="30" t="s">
        <v>9488</v>
      </c>
      <c r="J76" s="6" t="s">
        <v>9754</v>
      </c>
      <c r="K76" s="208" t="n">
        <v>1</v>
      </c>
      <c r="L76" s="208" t="s">
        <v>8580</v>
      </c>
      <c r="M76" s="6" t="s">
        <v>9755</v>
      </c>
      <c r="N76" s="208" t="s">
        <v>9756</v>
      </c>
      <c r="O76" s="30" t="s">
        <v>8583</v>
      </c>
      <c r="P76" s="30" t="s">
        <v>814</v>
      </c>
      <c r="Q76" s="30" t="s">
        <v>9717</v>
      </c>
      <c r="R76" s="30" t="s">
        <v>814</v>
      </c>
      <c r="S76" s="30" t="s">
        <v>814</v>
      </c>
      <c r="T76" s="30" t="s">
        <v>814</v>
      </c>
      <c r="U76" s="30" t="s">
        <v>9719</v>
      </c>
      <c r="V76" s="6" t="s">
        <v>9757</v>
      </c>
      <c r="W76" s="6" t="s">
        <v>9758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9759</v>
      </c>
      <c r="B77" s="6" t="s">
        <v>9760</v>
      </c>
      <c r="C77" s="256" t="n">
        <v>1850</v>
      </c>
      <c r="D77" s="208"/>
      <c r="E77" s="208"/>
      <c r="F77" s="30" t="s">
        <v>9751</v>
      </c>
      <c r="G77" s="30" t="s">
        <v>9761</v>
      </c>
      <c r="H77" s="30" t="s">
        <v>9762</v>
      </c>
      <c r="I77" s="30" t="s">
        <v>9763</v>
      </c>
      <c r="J77" s="6" t="s">
        <v>9764</v>
      </c>
      <c r="K77" s="208" t="n">
        <v>1</v>
      </c>
      <c r="L77" s="208" t="s">
        <v>8580</v>
      </c>
      <c r="M77" s="6" t="s">
        <v>9765</v>
      </c>
      <c r="N77" s="208" t="s">
        <v>9766</v>
      </c>
      <c r="O77" s="30" t="s">
        <v>8583</v>
      </c>
      <c r="P77" s="30" t="s">
        <v>814</v>
      </c>
      <c r="Q77" s="30" t="s">
        <v>9717</v>
      </c>
      <c r="R77" s="30" t="s">
        <v>814</v>
      </c>
      <c r="S77" s="30" t="s">
        <v>814</v>
      </c>
      <c r="T77" s="30" t="s">
        <v>814</v>
      </c>
      <c r="U77" s="30" t="s">
        <v>9719</v>
      </c>
      <c r="V77" s="6" t="s">
        <v>9767</v>
      </c>
      <c r="W77" s="6" t="s">
        <v>9768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7225</v>
      </c>
      <c r="B78" s="6" t="s">
        <v>9769</v>
      </c>
      <c r="C78" s="256" t="n">
        <v>10100</v>
      </c>
      <c r="D78" s="208"/>
      <c r="E78" s="208"/>
      <c r="F78" s="30" t="s">
        <v>9751</v>
      </c>
      <c r="G78" s="30" t="s">
        <v>9770</v>
      </c>
      <c r="H78" s="30" t="s">
        <v>9771</v>
      </c>
      <c r="I78" s="30" t="s">
        <v>9286</v>
      </c>
      <c r="J78" s="6" t="s">
        <v>9772</v>
      </c>
      <c r="K78" s="208" t="n">
        <v>1</v>
      </c>
      <c r="L78" s="208" t="s">
        <v>8580</v>
      </c>
      <c r="M78" s="6" t="s">
        <v>9773</v>
      </c>
      <c r="N78" s="208" t="s">
        <v>9716</v>
      </c>
      <c r="O78" s="30" t="s">
        <v>8583</v>
      </c>
      <c r="P78" s="30" t="s">
        <v>814</v>
      </c>
      <c r="Q78" s="30" t="s">
        <v>9717</v>
      </c>
      <c r="R78" s="30" t="s">
        <v>814</v>
      </c>
      <c r="S78" s="30" t="s">
        <v>814</v>
      </c>
      <c r="T78" s="30" t="s">
        <v>814</v>
      </c>
      <c r="U78" s="30" t="s">
        <v>9719</v>
      </c>
      <c r="V78" s="6" t="s">
        <v>9774</v>
      </c>
      <c r="W78" s="6" t="s">
        <v>9775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9776</v>
      </c>
      <c r="B79" s="6" t="s">
        <v>9777</v>
      </c>
      <c r="C79" s="256" t="n">
        <v>4668.1</v>
      </c>
      <c r="D79" s="208"/>
      <c r="E79" s="208"/>
      <c r="F79" s="30" t="s">
        <v>9510</v>
      </c>
      <c r="G79" s="30" t="s">
        <v>9778</v>
      </c>
      <c r="H79" s="30" t="s">
        <v>9779</v>
      </c>
      <c r="I79" s="30" t="s">
        <v>9780</v>
      </c>
      <c r="J79" s="6" t="s">
        <v>9781</v>
      </c>
      <c r="K79" s="208" t="n">
        <v>1</v>
      </c>
      <c r="L79" s="208" t="s">
        <v>8580</v>
      </c>
      <c r="M79" s="6" t="s">
        <v>9782</v>
      </c>
      <c r="N79" s="208" t="s">
        <v>9783</v>
      </c>
      <c r="O79" s="30" t="s">
        <v>8583</v>
      </c>
      <c r="P79" s="30" t="s">
        <v>814</v>
      </c>
      <c r="Q79" s="30" t="s">
        <v>9717</v>
      </c>
      <c r="R79" s="30" t="s">
        <v>9784</v>
      </c>
      <c r="S79" s="30" t="s">
        <v>814</v>
      </c>
      <c r="T79" s="30" t="s">
        <v>814</v>
      </c>
      <c r="U79" s="30" t="s">
        <v>9719</v>
      </c>
      <c r="V79" s="6" t="s">
        <v>9785</v>
      </c>
      <c r="W79" s="6" t="s">
        <v>9786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6131</v>
      </c>
      <c r="B80" s="6" t="s">
        <v>9787</v>
      </c>
      <c r="C80" s="256" t="n">
        <v>5561.6</v>
      </c>
      <c r="D80" s="208"/>
      <c r="E80" s="208"/>
      <c r="F80" s="30" t="s">
        <v>9510</v>
      </c>
      <c r="G80" s="30" t="s">
        <v>9788</v>
      </c>
      <c r="H80" s="30" t="s">
        <v>9789</v>
      </c>
      <c r="I80" s="30" t="s">
        <v>9780</v>
      </c>
      <c r="J80" s="6" t="s">
        <v>9781</v>
      </c>
      <c r="K80" s="208" t="n">
        <v>1</v>
      </c>
      <c r="L80" s="208" t="s">
        <v>8580</v>
      </c>
      <c r="M80" s="6" t="s">
        <v>9790</v>
      </c>
      <c r="N80" s="208" t="s">
        <v>9783</v>
      </c>
      <c r="O80" s="30" t="s">
        <v>8583</v>
      </c>
      <c r="P80" s="30" t="s">
        <v>814</v>
      </c>
      <c r="Q80" s="30" t="s">
        <v>9717</v>
      </c>
      <c r="R80" s="30" t="s">
        <v>9791</v>
      </c>
      <c r="S80" s="30" t="s">
        <v>814</v>
      </c>
      <c r="T80" s="30" t="s">
        <v>814</v>
      </c>
      <c r="U80" s="30" t="s">
        <v>9719</v>
      </c>
      <c r="V80" s="6" t="s">
        <v>9792</v>
      </c>
      <c r="W80" s="6" t="s">
        <v>9793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9784</v>
      </c>
      <c r="B81" s="6" t="s">
        <v>9794</v>
      </c>
      <c r="C81" s="256" t="n">
        <v>4867.7</v>
      </c>
      <c r="D81" s="208"/>
      <c r="E81" s="208"/>
      <c r="F81" s="30" t="s">
        <v>9510</v>
      </c>
      <c r="G81" s="30" t="s">
        <v>9795</v>
      </c>
      <c r="H81" s="30" t="s">
        <v>9796</v>
      </c>
      <c r="I81" s="30" t="s">
        <v>9780</v>
      </c>
      <c r="J81" s="6" t="s">
        <v>9781</v>
      </c>
      <c r="K81" s="208" t="n">
        <v>1</v>
      </c>
      <c r="L81" s="208" t="s">
        <v>8580</v>
      </c>
      <c r="M81" s="6" t="s">
        <v>9797</v>
      </c>
      <c r="N81" s="208" t="s">
        <v>9783</v>
      </c>
      <c r="O81" s="30" t="s">
        <v>8583</v>
      </c>
      <c r="P81" s="30" t="s">
        <v>814</v>
      </c>
      <c r="Q81" s="30" t="s">
        <v>9717</v>
      </c>
      <c r="R81" s="30" t="s">
        <v>9776</v>
      </c>
      <c r="S81" s="30" t="s">
        <v>814</v>
      </c>
      <c r="T81" s="30" t="s">
        <v>814</v>
      </c>
      <c r="U81" s="30" t="s">
        <v>9719</v>
      </c>
      <c r="V81" s="6" t="s">
        <v>9798</v>
      </c>
      <c r="W81" s="6" t="s">
        <v>9799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9791</v>
      </c>
      <c r="B82" s="6" t="s">
        <v>9800</v>
      </c>
      <c r="C82" s="256" t="n">
        <v>7994.2</v>
      </c>
      <c r="D82" s="208"/>
      <c r="E82" s="208"/>
      <c r="F82" s="30" t="s">
        <v>9510</v>
      </c>
      <c r="G82" s="30" t="s">
        <v>9801</v>
      </c>
      <c r="H82" s="30" t="s">
        <v>9802</v>
      </c>
      <c r="I82" s="30" t="s">
        <v>9780</v>
      </c>
      <c r="J82" s="6" t="s">
        <v>9781</v>
      </c>
      <c r="K82" s="208" t="n">
        <v>1</v>
      </c>
      <c r="L82" s="208" t="s">
        <v>8580</v>
      </c>
      <c r="M82" s="6" t="s">
        <v>9803</v>
      </c>
      <c r="N82" s="208" t="s">
        <v>9783</v>
      </c>
      <c r="O82" s="30" t="s">
        <v>8583</v>
      </c>
      <c r="P82" s="30" t="s">
        <v>814</v>
      </c>
      <c r="Q82" s="30" t="s">
        <v>9717</v>
      </c>
      <c r="R82" s="30" t="s">
        <v>6131</v>
      </c>
      <c r="S82" s="30" t="s">
        <v>814</v>
      </c>
      <c r="T82" s="30" t="s">
        <v>814</v>
      </c>
      <c r="U82" s="30" t="s">
        <v>9719</v>
      </c>
      <c r="V82" s="6" t="s">
        <v>9804</v>
      </c>
      <c r="W82" s="6" t="s">
        <v>9805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9806</v>
      </c>
      <c r="B83" s="6" t="s">
        <v>9807</v>
      </c>
      <c r="C83" s="256" t="n">
        <v>6752</v>
      </c>
      <c r="D83" s="208"/>
      <c r="E83" s="208"/>
      <c r="F83" s="30" t="s">
        <v>9510</v>
      </c>
      <c r="G83" s="30" t="s">
        <v>9808</v>
      </c>
      <c r="H83" s="30" t="s">
        <v>9779</v>
      </c>
      <c r="I83" s="30" t="s">
        <v>9780</v>
      </c>
      <c r="J83" s="6" t="s">
        <v>9781</v>
      </c>
      <c r="K83" s="208" t="n">
        <v>1</v>
      </c>
      <c r="L83" s="208" t="s">
        <v>8580</v>
      </c>
      <c r="M83" s="6" t="s">
        <v>9809</v>
      </c>
      <c r="N83" s="208" t="s">
        <v>9810</v>
      </c>
      <c r="O83" s="30" t="s">
        <v>8583</v>
      </c>
      <c r="P83" s="30" t="s">
        <v>814</v>
      </c>
      <c r="Q83" s="30" t="s">
        <v>8947</v>
      </c>
      <c r="R83" s="30" t="s">
        <v>9811</v>
      </c>
      <c r="S83" s="30" t="s">
        <v>814</v>
      </c>
      <c r="T83" s="30" t="s">
        <v>814</v>
      </c>
      <c r="U83" s="30" t="s">
        <v>8949</v>
      </c>
      <c r="V83" s="6" t="s">
        <v>9812</v>
      </c>
      <c r="W83" s="6" t="s">
        <v>9813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9814</v>
      </c>
      <c r="B84" s="6" t="s">
        <v>9815</v>
      </c>
      <c r="C84" s="256" t="n">
        <v>8987.2</v>
      </c>
      <c r="D84" s="208"/>
      <c r="E84" s="208"/>
      <c r="F84" s="30" t="s">
        <v>9510</v>
      </c>
      <c r="G84" s="30" t="s">
        <v>9816</v>
      </c>
      <c r="H84" s="30" t="s">
        <v>9789</v>
      </c>
      <c r="I84" s="30" t="s">
        <v>9780</v>
      </c>
      <c r="J84" s="6" t="s">
        <v>9781</v>
      </c>
      <c r="K84" s="208" t="n">
        <v>1</v>
      </c>
      <c r="L84" s="208" t="s">
        <v>8580</v>
      </c>
      <c r="M84" s="6" t="s">
        <v>9817</v>
      </c>
      <c r="N84" s="208" t="s">
        <v>9810</v>
      </c>
      <c r="O84" s="30" t="s">
        <v>8583</v>
      </c>
      <c r="P84" s="30" t="s">
        <v>814</v>
      </c>
      <c r="Q84" s="30" t="s">
        <v>8947</v>
      </c>
      <c r="R84" s="30" t="s">
        <v>9818</v>
      </c>
      <c r="S84" s="30" t="s">
        <v>814</v>
      </c>
      <c r="T84" s="30" t="s">
        <v>814</v>
      </c>
      <c r="U84" s="30" t="s">
        <v>8949</v>
      </c>
      <c r="V84" s="6" t="s">
        <v>9819</v>
      </c>
      <c r="W84" s="6" t="s">
        <v>9820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9821</v>
      </c>
      <c r="B85" s="6" t="s">
        <v>9822</v>
      </c>
      <c r="C85" s="256" t="n">
        <v>1436.2</v>
      </c>
      <c r="D85" s="208"/>
      <c r="E85" s="208"/>
      <c r="F85" s="30" t="s">
        <v>9823</v>
      </c>
      <c r="G85" s="30" t="s">
        <v>9824</v>
      </c>
      <c r="H85" s="30" t="s">
        <v>9825</v>
      </c>
      <c r="I85" s="30" t="s">
        <v>9227</v>
      </c>
      <c r="J85" s="6" t="s">
        <v>9826</v>
      </c>
      <c r="K85" s="208" t="n">
        <v>1</v>
      </c>
      <c r="L85" s="208" t="s">
        <v>8580</v>
      </c>
      <c r="M85" s="6" t="s">
        <v>9827</v>
      </c>
      <c r="N85" s="208" t="s">
        <v>9828</v>
      </c>
      <c r="O85" s="30" t="s">
        <v>8583</v>
      </c>
      <c r="P85" s="30" t="s">
        <v>814</v>
      </c>
      <c r="Q85" s="30" t="s">
        <v>8947</v>
      </c>
      <c r="R85" s="30" t="s">
        <v>814</v>
      </c>
      <c r="S85" s="30" t="s">
        <v>814</v>
      </c>
      <c r="T85" s="30" t="s">
        <v>814</v>
      </c>
      <c r="U85" s="30" t="s">
        <v>8949</v>
      </c>
      <c r="V85" s="6" t="s">
        <v>9829</v>
      </c>
      <c r="W85" s="6" t="s">
        <v>9830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9811</v>
      </c>
      <c r="B86" s="6" t="s">
        <v>9831</v>
      </c>
      <c r="C86" s="256" t="n">
        <v>7322.9</v>
      </c>
      <c r="D86" s="208"/>
      <c r="E86" s="208"/>
      <c r="F86" s="30" t="s">
        <v>9510</v>
      </c>
      <c r="G86" s="30" t="s">
        <v>9832</v>
      </c>
      <c r="H86" s="30" t="s">
        <v>9796</v>
      </c>
      <c r="I86" s="30" t="s">
        <v>9780</v>
      </c>
      <c r="J86" s="6" t="s">
        <v>9781</v>
      </c>
      <c r="K86" s="208" t="n">
        <v>1</v>
      </c>
      <c r="L86" s="208" t="s">
        <v>8580</v>
      </c>
      <c r="M86" s="6" t="s">
        <v>9797</v>
      </c>
      <c r="N86" s="208" t="s">
        <v>9833</v>
      </c>
      <c r="O86" s="30" t="s">
        <v>8583</v>
      </c>
      <c r="P86" s="30" t="s">
        <v>814</v>
      </c>
      <c r="Q86" s="30" t="s">
        <v>8947</v>
      </c>
      <c r="R86" s="30" t="s">
        <v>9806</v>
      </c>
      <c r="S86" s="30" t="s">
        <v>814</v>
      </c>
      <c r="T86" s="30" t="s">
        <v>814</v>
      </c>
      <c r="U86" s="30" t="s">
        <v>8949</v>
      </c>
      <c r="V86" s="6" t="s">
        <v>9834</v>
      </c>
      <c r="W86" s="6" t="s">
        <v>9835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9818</v>
      </c>
      <c r="B87" s="6" t="s">
        <v>9836</v>
      </c>
      <c r="C87" s="256" t="n">
        <v>9360.2</v>
      </c>
      <c r="D87" s="208"/>
      <c r="E87" s="208"/>
      <c r="F87" s="30" t="s">
        <v>9510</v>
      </c>
      <c r="G87" s="30" t="s">
        <v>9837</v>
      </c>
      <c r="H87" s="30" t="s">
        <v>9802</v>
      </c>
      <c r="I87" s="30" t="s">
        <v>9780</v>
      </c>
      <c r="J87" s="6" t="s">
        <v>9781</v>
      </c>
      <c r="K87" s="208" t="n">
        <v>1</v>
      </c>
      <c r="L87" s="208" t="s">
        <v>8580</v>
      </c>
      <c r="M87" s="6" t="s">
        <v>9803</v>
      </c>
      <c r="N87" s="208" t="s">
        <v>9833</v>
      </c>
      <c r="O87" s="30" t="s">
        <v>8583</v>
      </c>
      <c r="P87" s="30" t="s">
        <v>814</v>
      </c>
      <c r="Q87" s="30" t="s">
        <v>8947</v>
      </c>
      <c r="R87" s="30" t="s">
        <v>9814</v>
      </c>
      <c r="S87" s="30" t="s">
        <v>814</v>
      </c>
      <c r="T87" s="30" t="s">
        <v>814</v>
      </c>
      <c r="U87" s="30" t="s">
        <v>8949</v>
      </c>
      <c r="V87" s="6" t="s">
        <v>9838</v>
      </c>
      <c r="W87" s="6" t="s">
        <v>9839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2" t="s">
        <v>9840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9841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38" t="s">
        <v>9842</v>
      </c>
      <c r="Y4" s="238" t="s">
        <v>9843</v>
      </c>
      <c r="Z4" s="238" t="s">
        <v>9844</v>
      </c>
      <c r="AA4" s="238" t="s">
        <v>9845</v>
      </c>
      <c r="AB4" s="238" t="s">
        <v>9846</v>
      </c>
      <c r="AC4" s="253" t="s">
        <v>8570</v>
      </c>
      <c r="AD4" s="253" t="s">
        <v>8571</v>
      </c>
      <c r="AE4" s="253" t="s">
        <v>8572</v>
      </c>
      <c r="AM4" s="84" t="s">
        <v>8573</v>
      </c>
    </row>
    <row r="5" customFormat="false" ht="29.25" hidden="false" customHeight="true" outlineLevel="0" collapsed="false">
      <c r="A5" s="30" t="s">
        <v>4022</v>
      </c>
      <c r="B5" s="6" t="s">
        <v>9847</v>
      </c>
      <c r="C5" s="256" t="n">
        <v>42</v>
      </c>
      <c r="D5" s="254"/>
      <c r="E5" s="254"/>
      <c r="F5" s="30" t="s">
        <v>9848</v>
      </c>
      <c r="G5" s="254" t="s">
        <v>9849</v>
      </c>
      <c r="H5" s="30" t="s">
        <v>9850</v>
      </c>
      <c r="I5" s="30" t="s">
        <v>8685</v>
      </c>
      <c r="J5" s="6" t="s">
        <v>9851</v>
      </c>
      <c r="K5" s="254" t="n">
        <v>3</v>
      </c>
      <c r="L5" s="254" t="s">
        <v>8580</v>
      </c>
      <c r="M5" s="6" t="s">
        <v>9852</v>
      </c>
      <c r="N5" s="254" t="s">
        <v>8593</v>
      </c>
      <c r="O5" s="30" t="s">
        <v>8583</v>
      </c>
      <c r="P5" s="30" t="s">
        <v>814</v>
      </c>
      <c r="Q5" s="30" t="s">
        <v>9853</v>
      </c>
      <c r="R5" s="30" t="s">
        <v>814</v>
      </c>
      <c r="S5" s="30" t="s">
        <v>814</v>
      </c>
      <c r="T5" s="30" t="s">
        <v>814</v>
      </c>
      <c r="U5" s="30" t="s">
        <v>9854</v>
      </c>
      <c r="V5" s="6" t="s">
        <v>9855</v>
      </c>
      <c r="W5" s="6" t="s">
        <v>9856</v>
      </c>
      <c r="AC5" s="32" t="n">
        <f aca="false">IF($O5="Active",SUMPRODUCT(($AM$5:$AM$101=$AM5)*1),0)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4031</v>
      </c>
      <c r="B6" s="20" t="s">
        <v>9857</v>
      </c>
      <c r="C6" s="256" t="n">
        <v>3.57</v>
      </c>
      <c r="D6" s="254"/>
      <c r="E6" s="254"/>
      <c r="F6" s="30" t="s">
        <v>1054</v>
      </c>
      <c r="G6" s="30" t="s">
        <v>9858</v>
      </c>
      <c r="H6" s="254" t="s">
        <v>9859</v>
      </c>
      <c r="I6" s="30" t="s">
        <v>1518</v>
      </c>
      <c r="J6" s="6" t="s">
        <v>9860</v>
      </c>
      <c r="K6" s="254" t="n">
        <v>2</v>
      </c>
      <c r="L6" s="254" t="s">
        <v>8687</v>
      </c>
      <c r="M6" s="20" t="s">
        <v>9861</v>
      </c>
      <c r="N6" s="254" t="s">
        <v>9862</v>
      </c>
      <c r="O6" s="30" t="s">
        <v>8583</v>
      </c>
      <c r="P6" s="30" t="s">
        <v>814</v>
      </c>
      <c r="Q6" s="30" t="s">
        <v>9863</v>
      </c>
      <c r="R6" s="30" t="s">
        <v>814</v>
      </c>
      <c r="S6" s="30" t="s">
        <v>814</v>
      </c>
      <c r="T6" s="30" t="s">
        <v>814</v>
      </c>
      <c r="U6" s="30" t="s">
        <v>9864</v>
      </c>
      <c r="V6" s="6" t="s">
        <v>9865</v>
      </c>
      <c r="W6" s="20" t="s">
        <v>9866</v>
      </c>
      <c r="AC6" s="32" t="n">
        <f aca="false">IF($O6="Active",SUMPRODUCT(($AM$5:$AM$101=$AM6)*1),0)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9867</v>
      </c>
      <c r="B7" s="6" t="s">
        <v>9868</v>
      </c>
      <c r="C7" s="256" t="n">
        <v>0.1</v>
      </c>
      <c r="D7" s="254"/>
      <c r="E7" s="254"/>
      <c r="F7" s="30" t="s">
        <v>1045</v>
      </c>
      <c r="G7" s="30" t="s">
        <v>9869</v>
      </c>
      <c r="H7" s="30" t="s">
        <v>1505</v>
      </c>
      <c r="I7" s="30" t="s">
        <v>1509</v>
      </c>
      <c r="J7" s="6" t="s">
        <v>9870</v>
      </c>
      <c r="K7" s="254" t="n">
        <v>1</v>
      </c>
      <c r="L7" s="254" t="s">
        <v>8580</v>
      </c>
      <c r="M7" s="6" t="s">
        <v>9871</v>
      </c>
      <c r="N7" s="254" t="s">
        <v>9200</v>
      </c>
      <c r="O7" s="30" t="s">
        <v>8583</v>
      </c>
      <c r="P7" s="30" t="s">
        <v>814</v>
      </c>
      <c r="Q7" s="30" t="s">
        <v>9872</v>
      </c>
      <c r="R7" s="30" t="s">
        <v>814</v>
      </c>
      <c r="S7" s="30" t="s">
        <v>814</v>
      </c>
      <c r="T7" s="30" t="s">
        <v>814</v>
      </c>
      <c r="U7" s="30" t="s">
        <v>9873</v>
      </c>
      <c r="V7" s="6" t="s">
        <v>9874</v>
      </c>
      <c r="W7" s="6" t="s">
        <v>814</v>
      </c>
      <c r="AC7" s="32" t="n">
        <f aca="false">IF($O7="Active",SUMPRODUCT(($AM$5:$AM$101=$AM7)*1),0)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9875</v>
      </c>
      <c r="B8" s="6" t="s">
        <v>9876</v>
      </c>
      <c r="C8" s="256" t="n">
        <v>0.01</v>
      </c>
      <c r="D8" s="254"/>
      <c r="E8" s="254"/>
      <c r="F8" s="30" t="s">
        <v>1045</v>
      </c>
      <c r="G8" s="30" t="s">
        <v>9869</v>
      </c>
      <c r="H8" s="30" t="s">
        <v>1505</v>
      </c>
      <c r="I8" s="30" t="s">
        <v>1509</v>
      </c>
      <c r="J8" s="6" t="s">
        <v>9870</v>
      </c>
      <c r="K8" s="254" t="n">
        <v>1</v>
      </c>
      <c r="L8" s="254" t="s">
        <v>8580</v>
      </c>
      <c r="M8" s="6" t="s">
        <v>9871</v>
      </c>
      <c r="N8" s="254" t="s">
        <v>9200</v>
      </c>
      <c r="O8" s="30" t="s">
        <v>8583</v>
      </c>
      <c r="P8" s="30" t="s">
        <v>814</v>
      </c>
      <c r="Q8" s="30" t="s">
        <v>9872</v>
      </c>
      <c r="R8" s="30" t="s">
        <v>814</v>
      </c>
      <c r="S8" s="30" t="s">
        <v>814</v>
      </c>
      <c r="T8" s="30" t="s">
        <v>814</v>
      </c>
      <c r="U8" s="30" t="s">
        <v>9873</v>
      </c>
      <c r="V8" s="6" t="s">
        <v>9877</v>
      </c>
      <c r="W8" s="6" t="s">
        <v>814</v>
      </c>
      <c r="AC8" s="32" t="n">
        <f aca="false">IF($O8="Active",SUMPRODUCT(($AM$5:$AM$101=$AM8)*1),0)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9878</v>
      </c>
      <c r="B9" s="6" t="s">
        <v>9879</v>
      </c>
      <c r="C9" s="256" t="n">
        <v>0.5</v>
      </c>
      <c r="D9" s="254"/>
      <c r="E9" s="254"/>
      <c r="F9" s="30" t="s">
        <v>1045</v>
      </c>
      <c r="G9" s="30" t="s">
        <v>9869</v>
      </c>
      <c r="H9" s="30" t="s">
        <v>1505</v>
      </c>
      <c r="I9" s="30" t="s">
        <v>1509</v>
      </c>
      <c r="J9" s="6" t="s">
        <v>9870</v>
      </c>
      <c r="K9" s="254" t="n">
        <v>1</v>
      </c>
      <c r="L9" s="254" t="s">
        <v>8580</v>
      </c>
      <c r="M9" s="6" t="s">
        <v>9871</v>
      </c>
      <c r="N9" s="254" t="s">
        <v>9200</v>
      </c>
      <c r="O9" s="30" t="s">
        <v>8583</v>
      </c>
      <c r="P9" s="30" t="s">
        <v>814</v>
      </c>
      <c r="Q9" s="30" t="s">
        <v>9872</v>
      </c>
      <c r="R9" s="30" t="s">
        <v>814</v>
      </c>
      <c r="S9" s="30" t="s">
        <v>814</v>
      </c>
      <c r="T9" s="30" t="s">
        <v>814</v>
      </c>
      <c r="U9" s="30" t="s">
        <v>9873</v>
      </c>
      <c r="V9" s="6" t="s">
        <v>9880</v>
      </c>
      <c r="W9" s="6" t="s">
        <v>814</v>
      </c>
      <c r="AC9" s="32" t="n">
        <f aca="false">IF($O9="Active",SUMPRODUCT(($AM$5:$AM$101=$AM9)*1),0)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9881</v>
      </c>
      <c r="B10" s="6" t="s">
        <v>9882</v>
      </c>
      <c r="C10" s="256" t="n">
        <v>2</v>
      </c>
      <c r="D10" s="254"/>
      <c r="E10" s="254"/>
      <c r="F10" s="30" t="s">
        <v>1045</v>
      </c>
      <c r="G10" s="30" t="s">
        <v>9869</v>
      </c>
      <c r="H10" s="30" t="s">
        <v>1511</v>
      </c>
      <c r="I10" s="30" t="s">
        <v>1509</v>
      </c>
      <c r="J10" s="6" t="s">
        <v>9870</v>
      </c>
      <c r="K10" s="254" t="n">
        <v>1</v>
      </c>
      <c r="L10" s="254" t="s">
        <v>8580</v>
      </c>
      <c r="M10" s="6" t="s">
        <v>9871</v>
      </c>
      <c r="N10" s="254" t="s">
        <v>9200</v>
      </c>
      <c r="O10" s="30" t="s">
        <v>8583</v>
      </c>
      <c r="P10" s="30" t="s">
        <v>814</v>
      </c>
      <c r="Q10" s="30" t="s">
        <v>9872</v>
      </c>
      <c r="R10" s="30" t="s">
        <v>814</v>
      </c>
      <c r="S10" s="30" t="s">
        <v>814</v>
      </c>
      <c r="T10" s="30" t="s">
        <v>814</v>
      </c>
      <c r="U10" s="30" t="s">
        <v>9873</v>
      </c>
      <c r="V10" s="6" t="s">
        <v>9883</v>
      </c>
      <c r="W10" s="6" t="s">
        <v>814</v>
      </c>
      <c r="AC10" s="32" t="n">
        <f aca="false">IF($O10="Active",SUMPRODUCT(($AM$5:$AM$101=$AM10)*1),0)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9884</v>
      </c>
      <c r="B11" s="6" t="s">
        <v>9885</v>
      </c>
      <c r="C11" s="256" t="n">
        <v>0.2</v>
      </c>
      <c r="D11" s="254"/>
      <c r="E11" s="254"/>
      <c r="F11" s="30" t="s">
        <v>1045</v>
      </c>
      <c r="G11" s="30" t="s">
        <v>9869</v>
      </c>
      <c r="H11" s="30" t="s">
        <v>1511</v>
      </c>
      <c r="I11" s="30" t="s">
        <v>1509</v>
      </c>
      <c r="J11" s="6" t="s">
        <v>9870</v>
      </c>
      <c r="K11" s="254" t="n">
        <v>1</v>
      </c>
      <c r="L11" s="254" t="s">
        <v>8580</v>
      </c>
      <c r="M11" s="6" t="s">
        <v>9871</v>
      </c>
      <c r="N11" s="254" t="s">
        <v>9200</v>
      </c>
      <c r="O11" s="30" t="s">
        <v>8583</v>
      </c>
      <c r="P11" s="30" t="s">
        <v>814</v>
      </c>
      <c r="Q11" s="30" t="s">
        <v>9872</v>
      </c>
      <c r="R11" s="30" t="s">
        <v>814</v>
      </c>
      <c r="S11" s="30" t="s">
        <v>814</v>
      </c>
      <c r="T11" s="30" t="s">
        <v>814</v>
      </c>
      <c r="U11" s="30" t="s">
        <v>9873</v>
      </c>
      <c r="V11" s="6" t="s">
        <v>9886</v>
      </c>
      <c r="W11" s="6" t="s">
        <v>814</v>
      </c>
      <c r="AC11" s="32" t="n">
        <f aca="false">IF($O11="Active",SUMPRODUCT(($AM$5:$AM$101=$AM11)*1),0)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9887</v>
      </c>
      <c r="B12" s="6" t="s">
        <v>9888</v>
      </c>
      <c r="C12" s="256" t="n">
        <v>10</v>
      </c>
      <c r="D12" s="254"/>
      <c r="E12" s="254"/>
      <c r="F12" s="30" t="s">
        <v>1045</v>
      </c>
      <c r="G12" s="30" t="s">
        <v>9869</v>
      </c>
      <c r="H12" s="30" t="s">
        <v>1511</v>
      </c>
      <c r="I12" s="30" t="s">
        <v>1509</v>
      </c>
      <c r="J12" s="6" t="s">
        <v>9870</v>
      </c>
      <c r="K12" s="254" t="n">
        <v>1</v>
      </c>
      <c r="L12" s="254" t="s">
        <v>8580</v>
      </c>
      <c r="M12" s="6" t="s">
        <v>9871</v>
      </c>
      <c r="N12" s="254" t="s">
        <v>9200</v>
      </c>
      <c r="O12" s="30" t="s">
        <v>8583</v>
      </c>
      <c r="P12" s="30" t="s">
        <v>814</v>
      </c>
      <c r="Q12" s="30" t="s">
        <v>9872</v>
      </c>
      <c r="R12" s="30" t="s">
        <v>814</v>
      </c>
      <c r="S12" s="30" t="s">
        <v>814</v>
      </c>
      <c r="T12" s="30" t="s">
        <v>814</v>
      </c>
      <c r="U12" s="30" t="s">
        <v>9873</v>
      </c>
      <c r="V12" s="6" t="s">
        <v>9889</v>
      </c>
      <c r="W12" s="6" t="s">
        <v>814</v>
      </c>
      <c r="AC12" s="32" t="n">
        <f aca="false">IF($O12="Active",SUMPRODUCT(($AM$5:$AM$101=$AM12)*1),0)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9890</v>
      </c>
      <c r="B13" s="6" t="s">
        <v>9891</v>
      </c>
      <c r="C13" s="256" t="n">
        <v>10</v>
      </c>
      <c r="D13" s="254"/>
      <c r="E13" s="254"/>
      <c r="F13" s="30" t="s">
        <v>1045</v>
      </c>
      <c r="G13" s="30" t="s">
        <v>9869</v>
      </c>
      <c r="H13" s="30" t="s">
        <v>1513</v>
      </c>
      <c r="I13" s="30" t="s">
        <v>1509</v>
      </c>
      <c r="J13" s="6" t="s">
        <v>9870</v>
      </c>
      <c r="K13" s="254" t="n">
        <v>1</v>
      </c>
      <c r="L13" s="254" t="s">
        <v>8580</v>
      </c>
      <c r="M13" s="6" t="s">
        <v>9871</v>
      </c>
      <c r="N13" s="254" t="s">
        <v>9200</v>
      </c>
      <c r="O13" s="30" t="s">
        <v>8583</v>
      </c>
      <c r="P13" s="30" t="s">
        <v>814</v>
      </c>
      <c r="Q13" s="30" t="s">
        <v>9872</v>
      </c>
      <c r="R13" s="30" t="s">
        <v>814</v>
      </c>
      <c r="S13" s="30" t="s">
        <v>814</v>
      </c>
      <c r="T13" s="30" t="s">
        <v>814</v>
      </c>
      <c r="U13" s="30" t="s">
        <v>9873</v>
      </c>
      <c r="V13" s="6" t="s">
        <v>9892</v>
      </c>
      <c r="W13" s="6" t="s">
        <v>814</v>
      </c>
      <c r="AC13" s="32" t="n">
        <f aca="false">IF($O13="Active",SUMPRODUCT(($AM$5:$AM$101=$AM13)*1),0)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9893</v>
      </c>
      <c r="B14" s="6" t="s">
        <v>9894</v>
      </c>
      <c r="C14" s="256" t="n">
        <v>1</v>
      </c>
      <c r="D14" s="254"/>
      <c r="E14" s="254"/>
      <c r="F14" s="30" t="s">
        <v>1045</v>
      </c>
      <c r="G14" s="30" t="s">
        <v>9869</v>
      </c>
      <c r="H14" s="30" t="s">
        <v>1513</v>
      </c>
      <c r="I14" s="30" t="s">
        <v>1509</v>
      </c>
      <c r="J14" s="6" t="s">
        <v>9870</v>
      </c>
      <c r="K14" s="254" t="n">
        <v>1</v>
      </c>
      <c r="L14" s="254" t="s">
        <v>8580</v>
      </c>
      <c r="M14" s="6" t="s">
        <v>9871</v>
      </c>
      <c r="N14" s="254" t="s">
        <v>9200</v>
      </c>
      <c r="O14" s="30" t="s">
        <v>8583</v>
      </c>
      <c r="P14" s="30" t="s">
        <v>814</v>
      </c>
      <c r="Q14" s="30" t="s">
        <v>9872</v>
      </c>
      <c r="R14" s="30" t="s">
        <v>814</v>
      </c>
      <c r="S14" s="30" t="s">
        <v>814</v>
      </c>
      <c r="T14" s="30" t="s">
        <v>814</v>
      </c>
      <c r="U14" s="30" t="s">
        <v>9873</v>
      </c>
      <c r="V14" s="6" t="s">
        <v>9895</v>
      </c>
      <c r="W14" s="6" t="s">
        <v>814</v>
      </c>
      <c r="AC14" s="32" t="n">
        <f aca="false">IF($O14="Active",SUMPRODUCT(($AM$5:$AM$101=$AM14)*1),0)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9896</v>
      </c>
      <c r="B15" s="6" t="s">
        <v>9897</v>
      </c>
      <c r="C15" s="256" t="n">
        <v>50</v>
      </c>
      <c r="D15" s="254"/>
      <c r="E15" s="254"/>
      <c r="F15" s="30" t="s">
        <v>1045</v>
      </c>
      <c r="G15" s="30" t="s">
        <v>9869</v>
      </c>
      <c r="H15" s="30" t="s">
        <v>1513</v>
      </c>
      <c r="I15" s="30" t="s">
        <v>1509</v>
      </c>
      <c r="J15" s="6" t="s">
        <v>9870</v>
      </c>
      <c r="K15" s="254" t="n">
        <v>1</v>
      </c>
      <c r="L15" s="254" t="s">
        <v>8580</v>
      </c>
      <c r="M15" s="6" t="s">
        <v>9871</v>
      </c>
      <c r="N15" s="254" t="s">
        <v>9200</v>
      </c>
      <c r="O15" s="30" t="s">
        <v>8583</v>
      </c>
      <c r="P15" s="30" t="s">
        <v>814</v>
      </c>
      <c r="Q15" s="30" t="s">
        <v>9872</v>
      </c>
      <c r="R15" s="30" t="s">
        <v>814</v>
      </c>
      <c r="S15" s="30" t="s">
        <v>814</v>
      </c>
      <c r="T15" s="30" t="s">
        <v>814</v>
      </c>
      <c r="U15" s="30" t="s">
        <v>9873</v>
      </c>
      <c r="V15" s="6" t="s">
        <v>9898</v>
      </c>
      <c r="W15" s="6" t="s">
        <v>814</v>
      </c>
      <c r="AC15" s="32" t="n">
        <f aca="false">IF($O15="Active",SUMPRODUCT(($AM$5:$AM$101=$AM15)*1),0)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9899</v>
      </c>
      <c r="B16" s="6" t="s">
        <v>9900</v>
      </c>
      <c r="C16" s="256" t="n">
        <v>10</v>
      </c>
      <c r="D16" s="254"/>
      <c r="E16" s="254"/>
      <c r="F16" s="30" t="s">
        <v>1045</v>
      </c>
      <c r="G16" s="30" t="s">
        <v>9869</v>
      </c>
      <c r="H16" s="30" t="s">
        <v>1516</v>
      </c>
      <c r="I16" s="30" t="s">
        <v>1518</v>
      </c>
      <c r="J16" s="6" t="s">
        <v>9901</v>
      </c>
      <c r="K16" s="254" t="n">
        <v>2</v>
      </c>
      <c r="L16" s="254" t="s">
        <v>8580</v>
      </c>
      <c r="M16" s="6" t="s">
        <v>9902</v>
      </c>
      <c r="N16" s="254" t="s">
        <v>8593</v>
      </c>
      <c r="O16" s="30" t="s">
        <v>8583</v>
      </c>
      <c r="P16" s="30" t="s">
        <v>814</v>
      </c>
      <c r="Q16" s="30" t="s">
        <v>9903</v>
      </c>
      <c r="R16" s="30" t="s">
        <v>814</v>
      </c>
      <c r="S16" s="30" t="s">
        <v>814</v>
      </c>
      <c r="T16" s="30" t="s">
        <v>814</v>
      </c>
      <c r="U16" s="30" t="s">
        <v>9904</v>
      </c>
      <c r="V16" s="6" t="s">
        <v>9905</v>
      </c>
      <c r="W16" s="6" t="s">
        <v>814</v>
      </c>
      <c r="AC16" s="32" t="n">
        <f aca="false">IF($O16="Active",SUMPRODUCT(($AM$5:$AM$101=$AM16)*1),0)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9906</v>
      </c>
      <c r="B17" s="6" t="s">
        <v>9907</v>
      </c>
      <c r="C17" s="256" t="n">
        <v>0.25</v>
      </c>
      <c r="D17" s="254"/>
      <c r="E17" s="254"/>
      <c r="F17" s="30" t="s">
        <v>1045</v>
      </c>
      <c r="G17" s="30" t="s">
        <v>9869</v>
      </c>
      <c r="H17" s="30" t="s">
        <v>1516</v>
      </c>
      <c r="I17" s="30" t="s">
        <v>1518</v>
      </c>
      <c r="J17" s="6" t="s">
        <v>9901</v>
      </c>
      <c r="K17" s="254" t="n">
        <v>2</v>
      </c>
      <c r="L17" s="254" t="s">
        <v>8580</v>
      </c>
      <c r="M17" s="6" t="s">
        <v>9902</v>
      </c>
      <c r="N17" s="254" t="s">
        <v>8593</v>
      </c>
      <c r="O17" s="30" t="s">
        <v>8583</v>
      </c>
      <c r="P17" s="30" t="s">
        <v>814</v>
      </c>
      <c r="Q17" s="30" t="s">
        <v>9903</v>
      </c>
      <c r="R17" s="30" t="s">
        <v>814</v>
      </c>
      <c r="S17" s="30" t="s">
        <v>814</v>
      </c>
      <c r="T17" s="30" t="s">
        <v>814</v>
      </c>
      <c r="U17" s="30" t="s">
        <v>9904</v>
      </c>
      <c r="V17" s="6" t="s">
        <v>9908</v>
      </c>
      <c r="W17" s="20" t="s">
        <v>9909</v>
      </c>
      <c r="AC17" s="32" t="n">
        <f aca="false">IF($O17="Active",SUMPRODUCT(($AM$5:$AM$101=$AM17)*1),0)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9910</v>
      </c>
      <c r="B18" s="6" t="s">
        <v>9911</v>
      </c>
      <c r="C18" s="256" t="n">
        <v>50</v>
      </c>
      <c r="D18" s="254"/>
      <c r="E18" s="254"/>
      <c r="F18" s="30" t="s">
        <v>1045</v>
      </c>
      <c r="G18" s="30" t="s">
        <v>9869</v>
      </c>
      <c r="H18" s="30" t="s">
        <v>1516</v>
      </c>
      <c r="I18" s="30" t="s">
        <v>1518</v>
      </c>
      <c r="J18" s="6" t="s">
        <v>9901</v>
      </c>
      <c r="K18" s="254" t="n">
        <v>2</v>
      </c>
      <c r="L18" s="254" t="s">
        <v>8580</v>
      </c>
      <c r="M18" s="6" t="s">
        <v>9902</v>
      </c>
      <c r="N18" s="254" t="s">
        <v>8593</v>
      </c>
      <c r="O18" s="30" t="s">
        <v>8583</v>
      </c>
      <c r="P18" s="30" t="s">
        <v>814</v>
      </c>
      <c r="Q18" s="30" t="s">
        <v>9903</v>
      </c>
      <c r="R18" s="30" t="s">
        <v>814</v>
      </c>
      <c r="S18" s="30" t="s">
        <v>814</v>
      </c>
      <c r="T18" s="30" t="s">
        <v>814</v>
      </c>
      <c r="U18" s="30" t="s">
        <v>9904</v>
      </c>
      <c r="V18" s="6" t="s">
        <v>9912</v>
      </c>
      <c r="W18" s="6" t="s">
        <v>814</v>
      </c>
      <c r="AC18" s="32" t="n">
        <f aca="false">IF($O18="Active",SUMPRODUCT(($AM$5:$AM$101=$AM18)*1),0)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9913</v>
      </c>
      <c r="B19" s="6" t="s">
        <v>9914</v>
      </c>
      <c r="C19" s="256" t="n">
        <v>5</v>
      </c>
      <c r="D19" s="254"/>
      <c r="E19" s="254"/>
      <c r="F19" s="30" t="s">
        <v>1045</v>
      </c>
      <c r="G19" s="30" t="s">
        <v>9869</v>
      </c>
      <c r="H19" s="30" t="s">
        <v>1520</v>
      </c>
      <c r="I19" s="30" t="s">
        <v>9915</v>
      </c>
      <c r="J19" s="6" t="s">
        <v>9901</v>
      </c>
      <c r="K19" s="254" t="n">
        <v>2</v>
      </c>
      <c r="L19" s="254" t="s">
        <v>8580</v>
      </c>
      <c r="M19" s="6" t="s">
        <v>9902</v>
      </c>
      <c r="N19" s="254" t="s">
        <v>8593</v>
      </c>
      <c r="O19" s="30" t="s">
        <v>8583</v>
      </c>
      <c r="P19" s="30" t="s">
        <v>814</v>
      </c>
      <c r="Q19" s="30" t="s">
        <v>9903</v>
      </c>
      <c r="R19" s="30" t="s">
        <v>814</v>
      </c>
      <c r="S19" s="30" t="s">
        <v>814</v>
      </c>
      <c r="T19" s="30" t="s">
        <v>814</v>
      </c>
      <c r="U19" s="30" t="s">
        <v>9904</v>
      </c>
      <c r="V19" s="6" t="s">
        <v>9916</v>
      </c>
      <c r="W19" s="20" t="s">
        <v>9917</v>
      </c>
      <c r="AC19" s="32" t="n">
        <f aca="false">IF($O19="Active",SUMPRODUCT(($AM$5:$AM$101=$AM19)*1),0)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9918</v>
      </c>
      <c r="B20" s="6" t="s">
        <v>9919</v>
      </c>
      <c r="C20" s="256" t="n">
        <v>25</v>
      </c>
      <c r="D20" s="254"/>
      <c r="E20" s="254"/>
      <c r="F20" s="30" t="s">
        <v>1045</v>
      </c>
      <c r="G20" s="30" t="s">
        <v>9869</v>
      </c>
      <c r="H20" s="30" t="s">
        <v>1520</v>
      </c>
      <c r="I20" s="30" t="s">
        <v>9915</v>
      </c>
      <c r="J20" s="6" t="s">
        <v>9901</v>
      </c>
      <c r="K20" s="254" t="n">
        <v>2</v>
      </c>
      <c r="L20" s="254" t="s">
        <v>8580</v>
      </c>
      <c r="M20" s="6" t="s">
        <v>9902</v>
      </c>
      <c r="N20" s="254" t="s">
        <v>8593</v>
      </c>
      <c r="O20" s="30" t="s">
        <v>8583</v>
      </c>
      <c r="P20" s="30" t="s">
        <v>814</v>
      </c>
      <c r="Q20" s="30" t="s">
        <v>9903</v>
      </c>
      <c r="R20" s="30" t="s">
        <v>814</v>
      </c>
      <c r="S20" s="30" t="s">
        <v>814</v>
      </c>
      <c r="T20" s="30" t="s">
        <v>814</v>
      </c>
      <c r="U20" s="30" t="s">
        <v>9904</v>
      </c>
      <c r="V20" s="6" t="s">
        <v>9920</v>
      </c>
      <c r="W20" s="6" t="s">
        <v>814</v>
      </c>
      <c r="AC20" s="32" t="n">
        <f aca="false">IF($O20="Active",SUMPRODUCT(($AM$5:$AM$101=$AM20)*1),0)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9921</v>
      </c>
      <c r="B21" s="6" t="s">
        <v>9922</v>
      </c>
      <c r="C21" s="256" t="n">
        <v>4</v>
      </c>
      <c r="D21" s="254"/>
      <c r="E21" s="254"/>
      <c r="F21" s="30" t="s">
        <v>1045</v>
      </c>
      <c r="G21" s="30" t="s">
        <v>9869</v>
      </c>
      <c r="H21" s="30" t="s">
        <v>1523</v>
      </c>
      <c r="I21" s="30" t="s">
        <v>1525</v>
      </c>
      <c r="J21" s="6" t="s">
        <v>9901</v>
      </c>
      <c r="K21" s="254" t="n">
        <v>2</v>
      </c>
      <c r="L21" s="254" t="s">
        <v>8580</v>
      </c>
      <c r="M21" s="6" t="s">
        <v>9902</v>
      </c>
      <c r="N21" s="254" t="s">
        <v>8593</v>
      </c>
      <c r="O21" s="30" t="s">
        <v>8583</v>
      </c>
      <c r="P21" s="30" t="s">
        <v>814</v>
      </c>
      <c r="Q21" s="30" t="s">
        <v>9903</v>
      </c>
      <c r="R21" s="30" t="s">
        <v>814</v>
      </c>
      <c r="S21" s="30" t="s">
        <v>814</v>
      </c>
      <c r="T21" s="30" t="s">
        <v>814</v>
      </c>
      <c r="U21" s="30" t="s">
        <v>9904</v>
      </c>
      <c r="V21" s="6" t="s">
        <v>9923</v>
      </c>
      <c r="W21" s="20" t="s">
        <v>9924</v>
      </c>
      <c r="AC21" s="32" t="n">
        <f aca="false">IF($O21="Active",SUMPRODUCT(($AM$5:$AM$101=$AM21)*1),0)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9925</v>
      </c>
      <c r="B22" s="6" t="s">
        <v>9926</v>
      </c>
      <c r="C22" s="256" t="n">
        <v>20</v>
      </c>
      <c r="D22" s="254"/>
      <c r="E22" s="254"/>
      <c r="F22" s="30" t="s">
        <v>1045</v>
      </c>
      <c r="G22" s="30" t="s">
        <v>9869</v>
      </c>
      <c r="H22" s="30" t="s">
        <v>1523</v>
      </c>
      <c r="I22" s="30" t="s">
        <v>1525</v>
      </c>
      <c r="J22" s="6" t="s">
        <v>9901</v>
      </c>
      <c r="K22" s="254" t="n">
        <v>2</v>
      </c>
      <c r="L22" s="254" t="s">
        <v>8580</v>
      </c>
      <c r="M22" s="6" t="s">
        <v>9902</v>
      </c>
      <c r="N22" s="254" t="s">
        <v>8593</v>
      </c>
      <c r="O22" s="30" t="s">
        <v>8583</v>
      </c>
      <c r="P22" s="30" t="s">
        <v>814</v>
      </c>
      <c r="Q22" s="30" t="s">
        <v>9903</v>
      </c>
      <c r="R22" s="30" t="s">
        <v>814</v>
      </c>
      <c r="S22" s="30" t="s">
        <v>814</v>
      </c>
      <c r="T22" s="30" t="s">
        <v>814</v>
      </c>
      <c r="U22" s="30" t="s">
        <v>9904</v>
      </c>
      <c r="V22" s="6" t="s">
        <v>9927</v>
      </c>
      <c r="W22" s="6" t="s">
        <v>814</v>
      </c>
      <c r="AC22" s="32" t="n">
        <f aca="false">IF($O22="Active",SUMPRODUCT(($AM$5:$AM$101=$AM22)*1),0)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9928</v>
      </c>
      <c r="B23" s="6" t="s">
        <v>9929</v>
      </c>
      <c r="C23" s="256" t="n">
        <v>1.25</v>
      </c>
      <c r="D23" s="254"/>
      <c r="E23" s="254"/>
      <c r="F23" s="30" t="s">
        <v>9930</v>
      </c>
      <c r="G23" s="30" t="s">
        <v>814</v>
      </c>
      <c r="H23" s="30" t="s">
        <v>1517</v>
      </c>
      <c r="I23" s="30" t="s">
        <v>9915</v>
      </c>
      <c r="J23" s="6" t="s">
        <v>9901</v>
      </c>
      <c r="K23" s="254" t="n">
        <v>2</v>
      </c>
      <c r="L23" s="254" t="s">
        <v>8580</v>
      </c>
      <c r="M23" s="6" t="s">
        <v>9902</v>
      </c>
      <c r="N23" s="254" t="s">
        <v>8593</v>
      </c>
      <c r="O23" s="30" t="s">
        <v>8583</v>
      </c>
      <c r="P23" s="30" t="s">
        <v>814</v>
      </c>
      <c r="Q23" s="30" t="s">
        <v>9903</v>
      </c>
      <c r="R23" s="30" t="s">
        <v>814</v>
      </c>
      <c r="S23" s="30" t="s">
        <v>814</v>
      </c>
      <c r="T23" s="30" t="s">
        <v>814</v>
      </c>
      <c r="U23" s="30" t="s">
        <v>9904</v>
      </c>
      <c r="V23" s="6" t="s">
        <v>814</v>
      </c>
      <c r="W23" s="6" t="s">
        <v>814</v>
      </c>
      <c r="AC23" s="32" t="n">
        <f aca="false">IF($O23="Active",SUMPRODUCT(($AM$5:$AM$101=$AM23)*1),0)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9931</v>
      </c>
      <c r="B24" s="6" t="s">
        <v>9932</v>
      </c>
      <c r="C24" s="256" t="n">
        <v>2</v>
      </c>
      <c r="D24" s="254"/>
      <c r="E24" s="254"/>
      <c r="F24" s="30" t="s">
        <v>9930</v>
      </c>
      <c r="G24" s="30" t="s">
        <v>814</v>
      </c>
      <c r="H24" s="30" t="s">
        <v>1517</v>
      </c>
      <c r="I24" s="30" t="s">
        <v>9915</v>
      </c>
      <c r="J24" s="6" t="s">
        <v>9901</v>
      </c>
      <c r="K24" s="254" t="n">
        <v>2</v>
      </c>
      <c r="L24" s="254" t="s">
        <v>8580</v>
      </c>
      <c r="M24" s="6" t="s">
        <v>9902</v>
      </c>
      <c r="N24" s="254" t="s">
        <v>8593</v>
      </c>
      <c r="O24" s="30" t="s">
        <v>8583</v>
      </c>
      <c r="P24" s="30" t="s">
        <v>814</v>
      </c>
      <c r="Q24" s="30" t="s">
        <v>9903</v>
      </c>
      <c r="R24" s="30" t="s">
        <v>814</v>
      </c>
      <c r="S24" s="30" t="s">
        <v>814</v>
      </c>
      <c r="T24" s="30" t="s">
        <v>814</v>
      </c>
      <c r="U24" s="30" t="s">
        <v>9904</v>
      </c>
      <c r="V24" s="6" t="s">
        <v>814</v>
      </c>
      <c r="W24" s="6" t="s">
        <v>814</v>
      </c>
      <c r="AC24" s="32" t="n">
        <f aca="false">IF($O24="Active",SUMPRODUCT(($AM$5:$AM$101=$AM24)*1),0)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9933</v>
      </c>
      <c r="B25" s="6" t="s">
        <v>9934</v>
      </c>
      <c r="C25" s="256" t="n">
        <v>0.3</v>
      </c>
      <c r="D25" s="254"/>
      <c r="E25" s="254"/>
      <c r="F25" s="30" t="s">
        <v>1045</v>
      </c>
      <c r="G25" s="254" t="s">
        <v>9935</v>
      </c>
      <c r="H25" s="30" t="s">
        <v>1527</v>
      </c>
      <c r="I25" s="30" t="s">
        <v>1530</v>
      </c>
      <c r="J25" s="6" t="s">
        <v>9936</v>
      </c>
      <c r="K25" s="254" t="n">
        <v>1</v>
      </c>
      <c r="L25" s="254" t="s">
        <v>8580</v>
      </c>
      <c r="M25" s="6" t="s">
        <v>9937</v>
      </c>
      <c r="N25" s="254" t="s">
        <v>9200</v>
      </c>
      <c r="O25" s="30" t="s">
        <v>8583</v>
      </c>
      <c r="P25" s="30" t="s">
        <v>814</v>
      </c>
      <c r="Q25" s="30" t="s">
        <v>9938</v>
      </c>
      <c r="R25" s="30" t="s">
        <v>814</v>
      </c>
      <c r="S25" s="30" t="s">
        <v>814</v>
      </c>
      <c r="T25" s="30" t="s">
        <v>814</v>
      </c>
      <c r="U25" s="30" t="s">
        <v>4963</v>
      </c>
      <c r="V25" s="6" t="s">
        <v>9939</v>
      </c>
      <c r="W25" s="6" t="s">
        <v>814</v>
      </c>
      <c r="AC25" s="32" t="n">
        <f aca="false">IF($O25="Active",SUMPRODUCT(($AM$5:$AM$101=$AM25)*1),0)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9940</v>
      </c>
      <c r="B26" s="6" t="s">
        <v>9941</v>
      </c>
      <c r="C26" s="256" t="n">
        <v>0.006</v>
      </c>
      <c r="D26" s="254"/>
      <c r="E26" s="254"/>
      <c r="F26" s="30" t="s">
        <v>1045</v>
      </c>
      <c r="G26" s="254" t="s">
        <v>9942</v>
      </c>
      <c r="H26" s="30" t="s">
        <v>1527</v>
      </c>
      <c r="I26" s="30" t="s">
        <v>1530</v>
      </c>
      <c r="J26" s="6" t="s">
        <v>9936</v>
      </c>
      <c r="K26" s="254" t="n">
        <v>1</v>
      </c>
      <c r="L26" s="254" t="s">
        <v>8580</v>
      </c>
      <c r="M26" s="6" t="s">
        <v>9937</v>
      </c>
      <c r="N26" s="254" t="s">
        <v>9200</v>
      </c>
      <c r="O26" s="30" t="s">
        <v>8583</v>
      </c>
      <c r="P26" s="30" t="s">
        <v>814</v>
      </c>
      <c r="Q26" s="30" t="s">
        <v>9938</v>
      </c>
      <c r="R26" s="30" t="s">
        <v>814</v>
      </c>
      <c r="S26" s="30" t="s">
        <v>814</v>
      </c>
      <c r="T26" s="30" t="s">
        <v>814</v>
      </c>
      <c r="U26" s="30" t="s">
        <v>4963</v>
      </c>
      <c r="V26" s="6" t="s">
        <v>9943</v>
      </c>
      <c r="W26" s="6" t="s">
        <v>814</v>
      </c>
      <c r="AC26" s="32" t="n">
        <f aca="false">IF($O26="Active",SUMPRODUCT(($AM$5:$AM$101=$AM26)*1),0)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9944</v>
      </c>
      <c r="B27" s="6" t="s">
        <v>9945</v>
      </c>
      <c r="C27" s="256" t="n">
        <v>1.2</v>
      </c>
      <c r="D27" s="254"/>
      <c r="E27" s="254"/>
      <c r="F27" s="30" t="s">
        <v>1045</v>
      </c>
      <c r="G27" s="254" t="s">
        <v>9942</v>
      </c>
      <c r="H27" s="30" t="s">
        <v>1527</v>
      </c>
      <c r="I27" s="30" t="s">
        <v>1530</v>
      </c>
      <c r="J27" s="6" t="s">
        <v>9936</v>
      </c>
      <c r="K27" s="254" t="n">
        <v>1</v>
      </c>
      <c r="L27" s="254" t="s">
        <v>8580</v>
      </c>
      <c r="M27" s="6" t="s">
        <v>9937</v>
      </c>
      <c r="N27" s="254" t="s">
        <v>9200</v>
      </c>
      <c r="O27" s="30" t="s">
        <v>8583</v>
      </c>
      <c r="P27" s="30" t="s">
        <v>814</v>
      </c>
      <c r="Q27" s="30" t="s">
        <v>9938</v>
      </c>
      <c r="R27" s="30" t="s">
        <v>814</v>
      </c>
      <c r="S27" s="30" t="s">
        <v>814</v>
      </c>
      <c r="T27" s="30" t="s">
        <v>814</v>
      </c>
      <c r="U27" s="30" t="s">
        <v>4963</v>
      </c>
      <c r="V27" s="6" t="s">
        <v>9946</v>
      </c>
      <c r="W27" s="6" t="s">
        <v>814</v>
      </c>
      <c r="AC27" s="32" t="n">
        <f aca="false">IF($O27="Active",SUMPRODUCT(($AM$5:$AM$101=$AM27)*1),0)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9947</v>
      </c>
      <c r="B28" s="6" t="s">
        <v>9948</v>
      </c>
      <c r="C28" s="256" t="n">
        <v>1.32</v>
      </c>
      <c r="D28" s="254"/>
      <c r="E28" s="254"/>
      <c r="F28" s="30" t="s">
        <v>1045</v>
      </c>
      <c r="G28" s="254" t="s">
        <v>9942</v>
      </c>
      <c r="H28" s="30" t="s">
        <v>1532</v>
      </c>
      <c r="I28" s="30" t="s">
        <v>1530</v>
      </c>
      <c r="J28" s="6" t="s">
        <v>9936</v>
      </c>
      <c r="K28" s="254" t="n">
        <v>1</v>
      </c>
      <c r="L28" s="254" t="s">
        <v>8580</v>
      </c>
      <c r="M28" s="6" t="s">
        <v>9937</v>
      </c>
      <c r="N28" s="254" t="s">
        <v>9200</v>
      </c>
      <c r="O28" s="30" t="s">
        <v>8583</v>
      </c>
      <c r="P28" s="30" t="s">
        <v>814</v>
      </c>
      <c r="Q28" s="30" t="s">
        <v>9938</v>
      </c>
      <c r="R28" s="30" t="s">
        <v>814</v>
      </c>
      <c r="S28" s="30" t="s">
        <v>814</v>
      </c>
      <c r="T28" s="30" t="s">
        <v>814</v>
      </c>
      <c r="U28" s="30" t="s">
        <v>4963</v>
      </c>
      <c r="V28" s="6" t="s">
        <v>9949</v>
      </c>
      <c r="W28" s="6" t="s">
        <v>814</v>
      </c>
      <c r="AC28" s="32" t="n">
        <f aca="false">IF($O28="Active",SUMPRODUCT(($AM$5:$AM$101=$AM28)*1),0)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9950</v>
      </c>
      <c r="B29" s="6" t="s">
        <v>9951</v>
      </c>
      <c r="C29" s="256" t="n">
        <v>0.044</v>
      </c>
      <c r="D29" s="254"/>
      <c r="E29" s="254"/>
      <c r="F29" s="30" t="s">
        <v>1045</v>
      </c>
      <c r="G29" s="254" t="s">
        <v>9942</v>
      </c>
      <c r="H29" s="30" t="s">
        <v>1532</v>
      </c>
      <c r="I29" s="30" t="s">
        <v>1530</v>
      </c>
      <c r="J29" s="6" t="s">
        <v>9936</v>
      </c>
      <c r="K29" s="254" t="n">
        <v>1</v>
      </c>
      <c r="L29" s="254" t="s">
        <v>8580</v>
      </c>
      <c r="M29" s="6" t="s">
        <v>9937</v>
      </c>
      <c r="N29" s="254" t="s">
        <v>9200</v>
      </c>
      <c r="O29" s="30" t="s">
        <v>8583</v>
      </c>
      <c r="P29" s="30" t="s">
        <v>814</v>
      </c>
      <c r="Q29" s="30" t="s">
        <v>9938</v>
      </c>
      <c r="R29" s="30" t="s">
        <v>814</v>
      </c>
      <c r="S29" s="30" t="s">
        <v>814</v>
      </c>
      <c r="T29" s="30" t="s">
        <v>814</v>
      </c>
      <c r="U29" s="30" t="s">
        <v>4963</v>
      </c>
      <c r="V29" s="6" t="s">
        <v>9952</v>
      </c>
      <c r="W29" s="6" t="s">
        <v>814</v>
      </c>
      <c r="AC29" s="32" t="n">
        <f aca="false">IF($O29="Active",SUMPRODUCT(($AM$5:$AM$101=$AM29)*1),0)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9953</v>
      </c>
      <c r="B30" s="6" t="s">
        <v>9954</v>
      </c>
      <c r="C30" s="256" t="n">
        <v>3.96</v>
      </c>
      <c r="D30" s="254"/>
      <c r="E30" s="254"/>
      <c r="F30" s="30" t="s">
        <v>1045</v>
      </c>
      <c r="G30" s="254" t="s">
        <v>9942</v>
      </c>
      <c r="H30" s="30" t="s">
        <v>1532</v>
      </c>
      <c r="I30" s="30" t="s">
        <v>1530</v>
      </c>
      <c r="J30" s="6" t="s">
        <v>9936</v>
      </c>
      <c r="K30" s="254" t="n">
        <v>1</v>
      </c>
      <c r="L30" s="254" t="s">
        <v>8580</v>
      </c>
      <c r="M30" s="6" t="s">
        <v>9937</v>
      </c>
      <c r="N30" s="254" t="s">
        <v>9200</v>
      </c>
      <c r="O30" s="30" t="s">
        <v>8583</v>
      </c>
      <c r="P30" s="30" t="s">
        <v>814</v>
      </c>
      <c r="Q30" s="30" t="s">
        <v>9938</v>
      </c>
      <c r="R30" s="30" t="s">
        <v>814</v>
      </c>
      <c r="S30" s="30" t="s">
        <v>814</v>
      </c>
      <c r="T30" s="30" t="s">
        <v>814</v>
      </c>
      <c r="U30" s="30" t="s">
        <v>4963</v>
      </c>
      <c r="V30" s="6" t="s">
        <v>9955</v>
      </c>
      <c r="W30" s="6" t="s">
        <v>814</v>
      </c>
      <c r="AC30" s="32" t="n">
        <f aca="false">IF($O30="Active",SUMPRODUCT(($AM$5:$AM$101=$AM30)*1),0)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6371</v>
      </c>
      <c r="B31" s="6" t="s">
        <v>9956</v>
      </c>
      <c r="C31" s="256" t="n">
        <v>0.5</v>
      </c>
      <c r="D31" s="254"/>
      <c r="E31" s="254"/>
      <c r="F31" s="30" t="s">
        <v>136</v>
      </c>
      <c r="G31" s="30" t="s">
        <v>814</v>
      </c>
      <c r="H31" s="30" t="s">
        <v>1528</v>
      </c>
      <c r="I31" s="30" t="s">
        <v>1530</v>
      </c>
      <c r="J31" s="6" t="s">
        <v>9936</v>
      </c>
      <c r="K31" s="254" t="n">
        <v>1</v>
      </c>
      <c r="L31" s="254" t="s">
        <v>8580</v>
      </c>
      <c r="M31" s="6" t="s">
        <v>9937</v>
      </c>
      <c r="N31" s="254" t="s">
        <v>9200</v>
      </c>
      <c r="O31" s="30" t="s">
        <v>8583</v>
      </c>
      <c r="P31" s="30" t="s">
        <v>814</v>
      </c>
      <c r="Q31" s="30" t="s">
        <v>9938</v>
      </c>
      <c r="R31" s="30" t="s">
        <v>814</v>
      </c>
      <c r="S31" s="30" t="s">
        <v>814</v>
      </c>
      <c r="T31" s="30" t="s">
        <v>814</v>
      </c>
      <c r="U31" s="30" t="s">
        <v>4963</v>
      </c>
      <c r="V31" s="6" t="s">
        <v>9957</v>
      </c>
      <c r="W31" s="6" t="s">
        <v>814</v>
      </c>
      <c r="AC31" s="32" t="n">
        <f aca="false">IF($O31="Active",SUMPRODUCT(($AM$5:$AM$101=$AM31)*1),0)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9958</v>
      </c>
      <c r="B32" s="6" t="s">
        <v>9959</v>
      </c>
      <c r="C32" s="256" t="n">
        <v>35</v>
      </c>
      <c r="D32" s="254"/>
      <c r="E32" s="254"/>
      <c r="F32" s="30" t="s">
        <v>9960</v>
      </c>
      <c r="G32" s="254" t="s">
        <v>9961</v>
      </c>
      <c r="H32" s="30" t="s">
        <v>1528</v>
      </c>
      <c r="I32" s="30" t="s">
        <v>1530</v>
      </c>
      <c r="J32" s="6" t="s">
        <v>9936</v>
      </c>
      <c r="K32" s="254" t="n">
        <v>1</v>
      </c>
      <c r="L32" s="254" t="s">
        <v>8580</v>
      </c>
      <c r="M32" s="6" t="s">
        <v>9937</v>
      </c>
      <c r="N32" s="254" t="s">
        <v>9200</v>
      </c>
      <c r="O32" s="30" t="s">
        <v>8583</v>
      </c>
      <c r="P32" s="30" t="s">
        <v>814</v>
      </c>
      <c r="Q32" s="30" t="s">
        <v>9938</v>
      </c>
      <c r="R32" s="30" t="s">
        <v>814</v>
      </c>
      <c r="S32" s="30" t="s">
        <v>814</v>
      </c>
      <c r="T32" s="30" t="s">
        <v>814</v>
      </c>
      <c r="U32" s="30" t="s">
        <v>4963</v>
      </c>
      <c r="V32" s="6" t="s">
        <v>9962</v>
      </c>
      <c r="W32" s="20" t="s">
        <v>9963</v>
      </c>
      <c r="AC32" s="32" t="n">
        <f aca="false">IF($O32="Active",SUMPRODUCT(($AM$5:$AM$101=$AM32)*1),0)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9964</v>
      </c>
      <c r="B33" s="6" t="s">
        <v>9965</v>
      </c>
      <c r="C33" s="256" t="n">
        <v>1.4</v>
      </c>
      <c r="D33" s="254"/>
      <c r="E33" s="254"/>
      <c r="F33" s="30" t="s">
        <v>1045</v>
      </c>
      <c r="G33" s="30" t="s">
        <v>814</v>
      </c>
      <c r="H33" s="30" t="s">
        <v>1534</v>
      </c>
      <c r="I33" s="30" t="s">
        <v>1530</v>
      </c>
      <c r="J33" s="6" t="s">
        <v>9966</v>
      </c>
      <c r="K33" s="254" t="n">
        <v>1</v>
      </c>
      <c r="L33" s="254" t="s">
        <v>8580</v>
      </c>
      <c r="M33" s="6" t="s">
        <v>9967</v>
      </c>
      <c r="N33" s="254" t="s">
        <v>9200</v>
      </c>
      <c r="O33" s="30" t="s">
        <v>8583</v>
      </c>
      <c r="P33" s="30" t="s">
        <v>814</v>
      </c>
      <c r="Q33" s="30" t="s">
        <v>9968</v>
      </c>
      <c r="R33" s="30" t="s">
        <v>814</v>
      </c>
      <c r="S33" s="30" t="s">
        <v>814</v>
      </c>
      <c r="T33" s="30" t="s">
        <v>814</v>
      </c>
      <c r="U33" s="30" t="s">
        <v>9969</v>
      </c>
      <c r="V33" s="6" t="s">
        <v>9970</v>
      </c>
      <c r="W33" s="6" t="s">
        <v>814</v>
      </c>
      <c r="AC33" s="32" t="n">
        <f aca="false">IF($O33="Active",SUMPRODUCT(($AM$5:$AM$101=$AM33)*1),0)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9971</v>
      </c>
      <c r="B34" s="6" t="s">
        <v>9972</v>
      </c>
      <c r="C34" s="256" t="n">
        <v>0.26</v>
      </c>
      <c r="D34" s="254"/>
      <c r="E34" s="254"/>
      <c r="F34" s="30" t="s">
        <v>1045</v>
      </c>
      <c r="G34" s="30" t="s">
        <v>814</v>
      </c>
      <c r="H34" s="30" t="s">
        <v>1534</v>
      </c>
      <c r="I34" s="30" t="s">
        <v>1530</v>
      </c>
      <c r="J34" s="6" t="s">
        <v>9966</v>
      </c>
      <c r="K34" s="254" t="n">
        <v>1</v>
      </c>
      <c r="L34" s="254" t="s">
        <v>8580</v>
      </c>
      <c r="M34" s="6" t="s">
        <v>9967</v>
      </c>
      <c r="N34" s="254" t="s">
        <v>9200</v>
      </c>
      <c r="O34" s="30" t="s">
        <v>8583</v>
      </c>
      <c r="P34" s="30" t="s">
        <v>814</v>
      </c>
      <c r="Q34" s="30" t="s">
        <v>9968</v>
      </c>
      <c r="R34" s="30" t="s">
        <v>814</v>
      </c>
      <c r="S34" s="30" t="s">
        <v>814</v>
      </c>
      <c r="T34" s="30" t="s">
        <v>814</v>
      </c>
      <c r="U34" s="30" t="s">
        <v>9969</v>
      </c>
      <c r="V34" s="6" t="s">
        <v>9973</v>
      </c>
      <c r="W34" s="6" t="s">
        <v>814</v>
      </c>
      <c r="AC34" s="32" t="n">
        <f aca="false">IF($O34="Active",SUMPRODUCT(($AM$5:$AM$101=$AM34)*1),0)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9974</v>
      </c>
      <c r="B35" s="6" t="s">
        <v>9975</v>
      </c>
      <c r="C35" s="256" t="n">
        <v>4.4</v>
      </c>
      <c r="D35" s="254"/>
      <c r="E35" s="254"/>
      <c r="F35" s="30" t="s">
        <v>1045</v>
      </c>
      <c r="G35" s="30" t="s">
        <v>814</v>
      </c>
      <c r="H35" s="30" t="s">
        <v>1534</v>
      </c>
      <c r="I35" s="30" t="s">
        <v>1530</v>
      </c>
      <c r="J35" s="6" t="s">
        <v>9966</v>
      </c>
      <c r="K35" s="254" t="n">
        <v>1</v>
      </c>
      <c r="L35" s="254" t="s">
        <v>8580</v>
      </c>
      <c r="M35" s="6" t="s">
        <v>9967</v>
      </c>
      <c r="N35" s="254" t="s">
        <v>9200</v>
      </c>
      <c r="O35" s="30" t="s">
        <v>8583</v>
      </c>
      <c r="P35" s="30" t="s">
        <v>814</v>
      </c>
      <c r="Q35" s="30" t="s">
        <v>9968</v>
      </c>
      <c r="R35" s="30" t="s">
        <v>814</v>
      </c>
      <c r="S35" s="30" t="s">
        <v>814</v>
      </c>
      <c r="T35" s="30" t="s">
        <v>814</v>
      </c>
      <c r="U35" s="30" t="s">
        <v>9969</v>
      </c>
      <c r="V35" s="6" t="s">
        <v>9976</v>
      </c>
      <c r="W35" s="6" t="s">
        <v>814</v>
      </c>
      <c r="AC35" s="32" t="n">
        <f aca="false">IF($O35="Active",SUMPRODUCT(($AM$5:$AM$101=$AM35)*1),0)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9977</v>
      </c>
      <c r="B36" s="6" t="s">
        <v>9978</v>
      </c>
      <c r="C36" s="256" t="n">
        <v>0.15</v>
      </c>
      <c r="D36" s="254"/>
      <c r="E36" s="254"/>
      <c r="F36" s="30" t="s">
        <v>1045</v>
      </c>
      <c r="G36" s="30" t="s">
        <v>814</v>
      </c>
      <c r="H36" s="30" t="s">
        <v>1538</v>
      </c>
      <c r="I36" s="30" t="s">
        <v>1530</v>
      </c>
      <c r="J36" s="6" t="s">
        <v>9966</v>
      </c>
      <c r="K36" s="254" t="n">
        <v>1</v>
      </c>
      <c r="L36" s="254" t="s">
        <v>8580</v>
      </c>
      <c r="M36" s="6" t="s">
        <v>9967</v>
      </c>
      <c r="N36" s="254" t="s">
        <v>9200</v>
      </c>
      <c r="O36" s="30" t="s">
        <v>8583</v>
      </c>
      <c r="P36" s="30" t="s">
        <v>814</v>
      </c>
      <c r="Q36" s="30" t="s">
        <v>9968</v>
      </c>
      <c r="R36" s="30" t="s">
        <v>814</v>
      </c>
      <c r="S36" s="30" t="s">
        <v>814</v>
      </c>
      <c r="T36" s="30" t="s">
        <v>814</v>
      </c>
      <c r="U36" s="30" t="s">
        <v>9969</v>
      </c>
      <c r="V36" s="6" t="s">
        <v>9979</v>
      </c>
      <c r="W36" s="6" t="s">
        <v>814</v>
      </c>
      <c r="AC36" s="32" t="n">
        <f aca="false">IF($O36="Active",SUMPRODUCT(($AM$5:$AM$101=$AM36)*1),0)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9980</v>
      </c>
      <c r="B37" s="6" t="s">
        <v>9981</v>
      </c>
      <c r="C37" s="256" t="n">
        <v>0.03</v>
      </c>
      <c r="D37" s="254"/>
      <c r="E37" s="254"/>
      <c r="F37" s="30" t="s">
        <v>1045</v>
      </c>
      <c r="G37" s="30" t="s">
        <v>814</v>
      </c>
      <c r="H37" s="30" t="s">
        <v>1538</v>
      </c>
      <c r="I37" s="30" t="s">
        <v>1530</v>
      </c>
      <c r="J37" s="6" t="s">
        <v>9966</v>
      </c>
      <c r="K37" s="254" t="n">
        <v>1</v>
      </c>
      <c r="L37" s="254" t="s">
        <v>8580</v>
      </c>
      <c r="M37" s="6" t="s">
        <v>9967</v>
      </c>
      <c r="N37" s="254" t="s">
        <v>9200</v>
      </c>
      <c r="O37" s="30" t="s">
        <v>8583</v>
      </c>
      <c r="P37" s="30" t="s">
        <v>814</v>
      </c>
      <c r="Q37" s="30" t="s">
        <v>9968</v>
      </c>
      <c r="R37" s="30" t="s">
        <v>814</v>
      </c>
      <c r="S37" s="30" t="s">
        <v>814</v>
      </c>
      <c r="T37" s="30" t="s">
        <v>814</v>
      </c>
      <c r="U37" s="30" t="s">
        <v>9969</v>
      </c>
      <c r="V37" s="6" t="s">
        <v>9982</v>
      </c>
      <c r="W37" s="6" t="s">
        <v>814</v>
      </c>
      <c r="AC37" s="32" t="n">
        <f aca="false">IF($O37="Active",SUMPRODUCT(($AM$5:$AM$101=$AM37)*1),0)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9983</v>
      </c>
      <c r="B38" s="6" t="s">
        <v>9984</v>
      </c>
      <c r="C38" s="256" t="n">
        <v>0.5</v>
      </c>
      <c r="D38" s="254"/>
      <c r="E38" s="254"/>
      <c r="F38" s="30" t="s">
        <v>1045</v>
      </c>
      <c r="G38" s="30" t="s">
        <v>814</v>
      </c>
      <c r="H38" s="30" t="s">
        <v>1538</v>
      </c>
      <c r="I38" s="30" t="s">
        <v>1530</v>
      </c>
      <c r="J38" s="6" t="s">
        <v>9966</v>
      </c>
      <c r="K38" s="254" t="n">
        <v>1</v>
      </c>
      <c r="L38" s="254" t="s">
        <v>8580</v>
      </c>
      <c r="M38" s="6" t="s">
        <v>9967</v>
      </c>
      <c r="N38" s="254" t="s">
        <v>9200</v>
      </c>
      <c r="O38" s="30" t="s">
        <v>8583</v>
      </c>
      <c r="P38" s="30" t="s">
        <v>814</v>
      </c>
      <c r="Q38" s="30" t="s">
        <v>9968</v>
      </c>
      <c r="R38" s="30" t="s">
        <v>814</v>
      </c>
      <c r="S38" s="30" t="s">
        <v>814</v>
      </c>
      <c r="T38" s="30" t="s">
        <v>814</v>
      </c>
      <c r="U38" s="30" t="s">
        <v>9969</v>
      </c>
      <c r="V38" s="6" t="s">
        <v>9985</v>
      </c>
      <c r="W38" s="6" t="s">
        <v>814</v>
      </c>
      <c r="AC38" s="32" t="n">
        <f aca="false">IF($O38="Active",SUMPRODUCT(($AM$5:$AM$101=$AM38)*1),0)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9986</v>
      </c>
      <c r="B39" s="6" t="s">
        <v>9987</v>
      </c>
      <c r="C39" s="256" t="n">
        <v>3</v>
      </c>
      <c r="D39" s="254"/>
      <c r="E39" s="254"/>
      <c r="F39" s="30" t="s">
        <v>1045</v>
      </c>
      <c r="G39" s="30" t="s">
        <v>814</v>
      </c>
      <c r="H39" s="30" t="s">
        <v>1544</v>
      </c>
      <c r="I39" s="30" t="s">
        <v>9915</v>
      </c>
      <c r="J39" s="6" t="s">
        <v>9988</v>
      </c>
      <c r="K39" s="254" t="n">
        <v>2</v>
      </c>
      <c r="L39" s="254" t="s">
        <v>8580</v>
      </c>
      <c r="M39" s="6" t="s">
        <v>9989</v>
      </c>
      <c r="N39" s="254" t="s">
        <v>8593</v>
      </c>
      <c r="O39" s="30" t="s">
        <v>8583</v>
      </c>
      <c r="P39" s="30" t="s">
        <v>814</v>
      </c>
      <c r="Q39" s="30" t="s">
        <v>3281</v>
      </c>
      <c r="R39" s="30" t="s">
        <v>814</v>
      </c>
      <c r="S39" s="30" t="s">
        <v>814</v>
      </c>
      <c r="T39" s="30" t="s">
        <v>814</v>
      </c>
      <c r="U39" s="30" t="s">
        <v>9990</v>
      </c>
      <c r="V39" s="6" t="s">
        <v>9991</v>
      </c>
      <c r="W39" s="6" t="s">
        <v>814</v>
      </c>
      <c r="AC39" s="32" t="n">
        <f aca="false">IF($O39="Active",SUMPRODUCT(($AM$5:$AM$101=$AM39)*1),0)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9992</v>
      </c>
      <c r="B40" s="6" t="s">
        <v>9993</v>
      </c>
      <c r="C40" s="256" t="n">
        <v>0.3</v>
      </c>
      <c r="D40" s="254"/>
      <c r="E40" s="254"/>
      <c r="F40" s="30" t="s">
        <v>1045</v>
      </c>
      <c r="G40" s="30" t="s">
        <v>814</v>
      </c>
      <c r="H40" s="30" t="s">
        <v>1544</v>
      </c>
      <c r="I40" s="30" t="s">
        <v>9915</v>
      </c>
      <c r="J40" s="6" t="s">
        <v>9988</v>
      </c>
      <c r="K40" s="254" t="n">
        <v>2</v>
      </c>
      <c r="L40" s="254" t="s">
        <v>8580</v>
      </c>
      <c r="M40" s="6" t="s">
        <v>9989</v>
      </c>
      <c r="N40" s="254" t="s">
        <v>8593</v>
      </c>
      <c r="O40" s="30" t="s">
        <v>8583</v>
      </c>
      <c r="P40" s="30" t="s">
        <v>814</v>
      </c>
      <c r="Q40" s="30" t="s">
        <v>3281</v>
      </c>
      <c r="R40" s="30" t="s">
        <v>814</v>
      </c>
      <c r="S40" s="30" t="s">
        <v>814</v>
      </c>
      <c r="T40" s="30" t="s">
        <v>814</v>
      </c>
      <c r="U40" s="30" t="s">
        <v>9990</v>
      </c>
      <c r="V40" s="6" t="s">
        <v>9994</v>
      </c>
      <c r="W40" s="6" t="s">
        <v>814</v>
      </c>
      <c r="AC40" s="32" t="n">
        <f aca="false">IF($O40="Active",SUMPRODUCT(($AM$5:$AM$101=$AM40)*1),0)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9995</v>
      </c>
      <c r="B41" s="6" t="s">
        <v>9996</v>
      </c>
      <c r="C41" s="256" t="n">
        <v>15</v>
      </c>
      <c r="D41" s="254"/>
      <c r="E41" s="254"/>
      <c r="F41" s="30" t="s">
        <v>1045</v>
      </c>
      <c r="G41" s="30" t="s">
        <v>814</v>
      </c>
      <c r="H41" s="30" t="s">
        <v>1544</v>
      </c>
      <c r="I41" s="30" t="s">
        <v>9915</v>
      </c>
      <c r="J41" s="6" t="s">
        <v>9988</v>
      </c>
      <c r="K41" s="254" t="n">
        <v>2</v>
      </c>
      <c r="L41" s="254" t="s">
        <v>8580</v>
      </c>
      <c r="M41" s="6" t="s">
        <v>9989</v>
      </c>
      <c r="N41" s="254" t="s">
        <v>8593</v>
      </c>
      <c r="O41" s="30" t="s">
        <v>8583</v>
      </c>
      <c r="P41" s="30" t="s">
        <v>814</v>
      </c>
      <c r="Q41" s="30" t="s">
        <v>3281</v>
      </c>
      <c r="R41" s="30" t="s">
        <v>814</v>
      </c>
      <c r="S41" s="30" t="s">
        <v>814</v>
      </c>
      <c r="T41" s="30" t="s">
        <v>814</v>
      </c>
      <c r="U41" s="30" t="s">
        <v>9990</v>
      </c>
      <c r="V41" s="6" t="s">
        <v>9997</v>
      </c>
      <c r="W41" s="6" t="s">
        <v>814</v>
      </c>
      <c r="AC41" s="32" t="n">
        <f aca="false">IF($O41="Active",SUMPRODUCT(($AM$5:$AM$101=$AM41)*1),0)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9998</v>
      </c>
      <c r="B42" s="6" t="s">
        <v>9999</v>
      </c>
      <c r="C42" s="256" t="n">
        <v>2</v>
      </c>
      <c r="D42" s="254"/>
      <c r="E42" s="254"/>
      <c r="F42" s="30" t="s">
        <v>1045</v>
      </c>
      <c r="G42" s="254" t="s">
        <v>10000</v>
      </c>
      <c r="H42" s="30" t="s">
        <v>1540</v>
      </c>
      <c r="I42" s="30" t="s">
        <v>1518</v>
      </c>
      <c r="J42" s="6" t="s">
        <v>9988</v>
      </c>
      <c r="K42" s="254" t="n">
        <v>2</v>
      </c>
      <c r="L42" s="254" t="s">
        <v>8580</v>
      </c>
      <c r="M42" s="6" t="s">
        <v>9989</v>
      </c>
      <c r="N42" s="254" t="s">
        <v>8593</v>
      </c>
      <c r="O42" s="30" t="s">
        <v>8583</v>
      </c>
      <c r="P42" s="30" t="s">
        <v>814</v>
      </c>
      <c r="Q42" s="30" t="s">
        <v>3281</v>
      </c>
      <c r="R42" s="30" t="s">
        <v>814</v>
      </c>
      <c r="S42" s="30" t="s">
        <v>814</v>
      </c>
      <c r="T42" s="30" t="s">
        <v>814</v>
      </c>
      <c r="U42" s="30" t="s">
        <v>9990</v>
      </c>
      <c r="V42" s="6" t="s">
        <v>10001</v>
      </c>
      <c r="W42" s="6" t="s">
        <v>814</v>
      </c>
      <c r="AC42" s="32" t="n">
        <f aca="false">IF($O42="Active",SUMPRODUCT(($AM$5:$AM$101=$AM42)*1),0)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10002</v>
      </c>
      <c r="B43" s="6" t="s">
        <v>10003</v>
      </c>
      <c r="C43" s="256" t="n">
        <v>0.25</v>
      </c>
      <c r="D43" s="254"/>
      <c r="E43" s="254"/>
      <c r="F43" s="30" t="s">
        <v>1045</v>
      </c>
      <c r="G43" s="254" t="s">
        <v>10000</v>
      </c>
      <c r="H43" s="30" t="s">
        <v>1540</v>
      </c>
      <c r="I43" s="30" t="s">
        <v>1518</v>
      </c>
      <c r="J43" s="6" t="s">
        <v>9988</v>
      </c>
      <c r="K43" s="254" t="n">
        <v>2</v>
      </c>
      <c r="L43" s="254" t="s">
        <v>8580</v>
      </c>
      <c r="M43" s="6" t="s">
        <v>9989</v>
      </c>
      <c r="N43" s="254" t="s">
        <v>8593</v>
      </c>
      <c r="O43" s="30" t="s">
        <v>8583</v>
      </c>
      <c r="P43" s="30" t="s">
        <v>814</v>
      </c>
      <c r="Q43" s="30" t="s">
        <v>3281</v>
      </c>
      <c r="R43" s="30" t="s">
        <v>814</v>
      </c>
      <c r="S43" s="30" t="s">
        <v>814</v>
      </c>
      <c r="T43" s="30" t="s">
        <v>814</v>
      </c>
      <c r="U43" s="30" t="s">
        <v>9990</v>
      </c>
      <c r="V43" s="6" t="s">
        <v>10004</v>
      </c>
      <c r="W43" s="6" t="s">
        <v>814</v>
      </c>
      <c r="AC43" s="32" t="n">
        <f aca="false">IF($O43="Active",SUMPRODUCT(($AM$5:$AM$101=$AM43)*1),0)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10005</v>
      </c>
      <c r="B44" s="6" t="s">
        <v>10006</v>
      </c>
      <c r="C44" s="256" t="n">
        <v>6</v>
      </c>
      <c r="D44" s="254"/>
      <c r="E44" s="254"/>
      <c r="F44" s="30" t="s">
        <v>1045</v>
      </c>
      <c r="G44" s="254" t="s">
        <v>10000</v>
      </c>
      <c r="H44" s="30" t="s">
        <v>1540</v>
      </c>
      <c r="I44" s="30" t="s">
        <v>1518</v>
      </c>
      <c r="J44" s="6" t="s">
        <v>9988</v>
      </c>
      <c r="K44" s="254" t="n">
        <v>2</v>
      </c>
      <c r="L44" s="254" t="s">
        <v>8580</v>
      </c>
      <c r="M44" s="6" t="s">
        <v>9989</v>
      </c>
      <c r="N44" s="254" t="s">
        <v>8593</v>
      </c>
      <c r="O44" s="30" t="s">
        <v>8583</v>
      </c>
      <c r="P44" s="30" t="s">
        <v>814</v>
      </c>
      <c r="Q44" s="30" t="s">
        <v>3281</v>
      </c>
      <c r="R44" s="30" t="s">
        <v>814</v>
      </c>
      <c r="S44" s="30" t="s">
        <v>814</v>
      </c>
      <c r="T44" s="30" t="s">
        <v>814</v>
      </c>
      <c r="U44" s="30" t="s">
        <v>9990</v>
      </c>
      <c r="V44" s="6" t="s">
        <v>10007</v>
      </c>
      <c r="W44" s="6" t="s">
        <v>814</v>
      </c>
      <c r="AC44" s="32" t="n">
        <f aca="false">IF($O44="Active",SUMPRODUCT(($AM$5:$AM$101=$AM44)*1),0)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10008</v>
      </c>
      <c r="B45" s="6" t="s">
        <v>10009</v>
      </c>
      <c r="C45" s="256" t="n">
        <v>2.5</v>
      </c>
      <c r="D45" s="254"/>
      <c r="E45" s="254"/>
      <c r="F45" s="30" t="s">
        <v>1045</v>
      </c>
      <c r="G45" s="254" t="s">
        <v>10010</v>
      </c>
      <c r="H45" s="30" t="s">
        <v>1540</v>
      </c>
      <c r="I45" s="30" t="s">
        <v>1518</v>
      </c>
      <c r="J45" s="6" t="s">
        <v>9988</v>
      </c>
      <c r="K45" s="254" t="n">
        <v>2</v>
      </c>
      <c r="L45" s="254" t="s">
        <v>8580</v>
      </c>
      <c r="M45" s="6" t="s">
        <v>9989</v>
      </c>
      <c r="N45" s="254" t="s">
        <v>8593</v>
      </c>
      <c r="O45" s="30" t="s">
        <v>8629</v>
      </c>
      <c r="P45" s="30" t="s">
        <v>814</v>
      </c>
      <c r="Q45" s="30" t="s">
        <v>3281</v>
      </c>
      <c r="R45" s="30" t="s">
        <v>814</v>
      </c>
      <c r="S45" s="30" t="s">
        <v>814</v>
      </c>
      <c r="T45" s="30" t="s">
        <v>814</v>
      </c>
      <c r="U45" s="30" t="s">
        <v>9990</v>
      </c>
      <c r="V45" s="6" t="s">
        <v>814</v>
      </c>
      <c r="W45" s="20" t="s">
        <v>10011</v>
      </c>
      <c r="AC45" s="32" t="n">
        <f aca="false">IF($O45="Active",SUMPRODUCT(($AM$5:$AM$101=$AM45)*1),0)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10012</v>
      </c>
      <c r="B46" s="6" t="s">
        <v>10013</v>
      </c>
      <c r="C46" s="256" t="n">
        <v>7.5</v>
      </c>
      <c r="D46" s="254"/>
      <c r="E46" s="254"/>
      <c r="F46" s="30" t="s">
        <v>1045</v>
      </c>
      <c r="G46" s="254" t="s">
        <v>10010</v>
      </c>
      <c r="H46" s="30" t="s">
        <v>1540</v>
      </c>
      <c r="I46" s="30" t="s">
        <v>1518</v>
      </c>
      <c r="J46" s="6" t="s">
        <v>9988</v>
      </c>
      <c r="K46" s="254" t="n">
        <v>2</v>
      </c>
      <c r="L46" s="254" t="s">
        <v>8580</v>
      </c>
      <c r="M46" s="6" t="s">
        <v>9989</v>
      </c>
      <c r="N46" s="254" t="s">
        <v>8593</v>
      </c>
      <c r="O46" s="30" t="s">
        <v>8629</v>
      </c>
      <c r="P46" s="30" t="s">
        <v>814</v>
      </c>
      <c r="Q46" s="30" t="s">
        <v>3281</v>
      </c>
      <c r="R46" s="30" t="s">
        <v>814</v>
      </c>
      <c r="S46" s="30" t="s">
        <v>814</v>
      </c>
      <c r="T46" s="30" t="s">
        <v>814</v>
      </c>
      <c r="U46" s="30" t="s">
        <v>9990</v>
      </c>
      <c r="V46" s="6" t="s">
        <v>814</v>
      </c>
      <c r="W46" s="20" t="s">
        <v>10011</v>
      </c>
      <c r="AC46" s="32" t="n">
        <f aca="false">IF($O46="Active",SUMPRODUCT(($AM$5:$AM$101=$AM46)*1),0)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10014</v>
      </c>
      <c r="B47" s="6" t="s">
        <v>10015</v>
      </c>
      <c r="C47" s="256" t="n">
        <v>0.3</v>
      </c>
      <c r="D47" s="254"/>
      <c r="E47" s="254"/>
      <c r="F47" s="30" t="s">
        <v>1045</v>
      </c>
      <c r="G47" s="30" t="s">
        <v>10016</v>
      </c>
      <c r="H47" s="30" t="s">
        <v>1549</v>
      </c>
      <c r="I47" s="30" t="s">
        <v>1521</v>
      </c>
      <c r="J47" s="6" t="s">
        <v>9988</v>
      </c>
      <c r="K47" s="254" t="n">
        <v>2</v>
      </c>
      <c r="L47" s="254" t="s">
        <v>8580</v>
      </c>
      <c r="M47" s="6" t="s">
        <v>9989</v>
      </c>
      <c r="N47" s="254" t="s">
        <v>8593</v>
      </c>
      <c r="O47" s="30" t="s">
        <v>8583</v>
      </c>
      <c r="P47" s="30" t="s">
        <v>814</v>
      </c>
      <c r="Q47" s="30" t="s">
        <v>3281</v>
      </c>
      <c r="R47" s="30" t="s">
        <v>814</v>
      </c>
      <c r="S47" s="30" t="s">
        <v>814</v>
      </c>
      <c r="T47" s="30" t="s">
        <v>814</v>
      </c>
      <c r="U47" s="30" t="s">
        <v>9990</v>
      </c>
      <c r="V47" s="6" t="s">
        <v>10017</v>
      </c>
      <c r="W47" s="6" t="s">
        <v>814</v>
      </c>
      <c r="AC47" s="32" t="n">
        <f aca="false">IF($O47="Active",SUMPRODUCT(($AM$5:$AM$101=$AM47)*1),0)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10018</v>
      </c>
      <c r="B48" s="6" t="s">
        <v>10019</v>
      </c>
      <c r="C48" s="256" t="n">
        <v>1.2</v>
      </c>
      <c r="D48" s="254"/>
      <c r="E48" s="254"/>
      <c r="F48" s="30" t="s">
        <v>1045</v>
      </c>
      <c r="G48" s="30" t="s">
        <v>10016</v>
      </c>
      <c r="H48" s="30" t="s">
        <v>1549</v>
      </c>
      <c r="I48" s="30" t="s">
        <v>1521</v>
      </c>
      <c r="J48" s="6" t="s">
        <v>9988</v>
      </c>
      <c r="K48" s="254" t="n">
        <v>2</v>
      </c>
      <c r="L48" s="254" t="s">
        <v>8580</v>
      </c>
      <c r="M48" s="6" t="s">
        <v>9989</v>
      </c>
      <c r="N48" s="254" t="s">
        <v>8593</v>
      </c>
      <c r="O48" s="30" t="s">
        <v>8583</v>
      </c>
      <c r="P48" s="30" t="s">
        <v>814</v>
      </c>
      <c r="Q48" s="30" t="s">
        <v>3281</v>
      </c>
      <c r="R48" s="30" t="s">
        <v>814</v>
      </c>
      <c r="S48" s="30" t="s">
        <v>814</v>
      </c>
      <c r="T48" s="30" t="s">
        <v>814</v>
      </c>
      <c r="U48" s="30" t="s">
        <v>9990</v>
      </c>
      <c r="V48" s="6" t="s">
        <v>10020</v>
      </c>
      <c r="W48" s="6" t="s">
        <v>814</v>
      </c>
      <c r="AC48" s="32" t="n">
        <f aca="false">IF($O48="Active",SUMPRODUCT(($AM$5:$AM$101=$AM48)*1),0)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6257</v>
      </c>
      <c r="B49" s="6" t="s">
        <v>10021</v>
      </c>
      <c r="C49" s="256" t="n">
        <v>0.5</v>
      </c>
      <c r="D49" s="208"/>
      <c r="E49" s="208"/>
      <c r="F49" s="30" t="s">
        <v>10022</v>
      </c>
      <c r="G49" s="30" t="s">
        <v>10023</v>
      </c>
      <c r="H49" s="30" t="s">
        <v>10024</v>
      </c>
      <c r="I49" s="30" t="s">
        <v>8284</v>
      </c>
      <c r="J49" s="6" t="s">
        <v>10025</v>
      </c>
      <c r="K49" s="208" t="n">
        <v>1</v>
      </c>
      <c r="L49" s="208" t="s">
        <v>8580</v>
      </c>
      <c r="M49" s="6" t="s">
        <v>10026</v>
      </c>
      <c r="N49" s="208" t="s">
        <v>8582</v>
      </c>
      <c r="O49" s="30" t="s">
        <v>8583</v>
      </c>
      <c r="P49" s="30" t="s">
        <v>814</v>
      </c>
      <c r="Q49" s="30" t="s">
        <v>10027</v>
      </c>
      <c r="R49" s="30" t="s">
        <v>10028</v>
      </c>
      <c r="S49" s="30" t="s">
        <v>814</v>
      </c>
      <c r="T49" s="30" t="s">
        <v>814</v>
      </c>
      <c r="U49" s="30" t="s">
        <v>8963</v>
      </c>
      <c r="V49" s="6" t="s">
        <v>10029</v>
      </c>
      <c r="W49" s="6" t="s">
        <v>10030</v>
      </c>
      <c r="AC49" s="32" t="n">
        <f aca="false">IF($O49="Active",SUMPRODUCT(($AM$5:$AM$101=$AM49)*1),0)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10028</v>
      </c>
      <c r="B50" s="6" t="s">
        <v>10031</v>
      </c>
      <c r="C50" s="256" t="n">
        <v>0.5</v>
      </c>
      <c r="D50" s="208"/>
      <c r="E50" s="208"/>
      <c r="F50" s="30" t="s">
        <v>10022</v>
      </c>
      <c r="G50" s="30" t="s">
        <v>10032</v>
      </c>
      <c r="H50" s="30" t="s">
        <v>10033</v>
      </c>
      <c r="I50" s="30" t="s">
        <v>8284</v>
      </c>
      <c r="J50" s="6" t="s">
        <v>10034</v>
      </c>
      <c r="K50" s="208" t="n">
        <v>1</v>
      </c>
      <c r="L50" s="208" t="s">
        <v>8580</v>
      </c>
      <c r="M50" s="6" t="s">
        <v>10035</v>
      </c>
      <c r="N50" s="208" t="s">
        <v>8582</v>
      </c>
      <c r="O50" s="30" t="s">
        <v>8583</v>
      </c>
      <c r="P50" s="30" t="s">
        <v>814</v>
      </c>
      <c r="Q50" s="30" t="s">
        <v>10027</v>
      </c>
      <c r="R50" s="30" t="s">
        <v>6257</v>
      </c>
      <c r="S50" s="30" t="s">
        <v>814</v>
      </c>
      <c r="T50" s="30" t="s">
        <v>814</v>
      </c>
      <c r="U50" s="30" t="s">
        <v>8963</v>
      </c>
      <c r="V50" s="6" t="s">
        <v>10036</v>
      </c>
      <c r="W50" s="6" t="s">
        <v>10037</v>
      </c>
      <c r="AC50" s="32" t="n">
        <f aca="false">IF($O50="Active",SUMPRODUCT(($AM$5:$AM$101=$AM50)*1),0)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  <row r="51" customFormat="false" ht="55.2" hidden="false" customHeight="false" outlineLevel="0" collapsed="false">
      <c r="A51" s="62" t="s">
        <v>10038</v>
      </c>
      <c r="B51" s="5" t="s">
        <v>10039</v>
      </c>
      <c r="C51" s="136" t="n">
        <v>0.85</v>
      </c>
      <c r="D51" s="61"/>
      <c r="E51" s="61"/>
      <c r="F51" s="62" t="s">
        <v>10040</v>
      </c>
      <c r="G51" s="61" t="s">
        <v>10041</v>
      </c>
      <c r="H51" s="61" t="s">
        <v>10042</v>
      </c>
      <c r="I51" s="62" t="s">
        <v>1518</v>
      </c>
      <c r="J51" s="6" t="s">
        <v>10043</v>
      </c>
      <c r="K51" s="61" t="n">
        <v>2</v>
      </c>
      <c r="L51" s="61" t="s">
        <v>8687</v>
      </c>
      <c r="M51" s="5" t="s">
        <v>10044</v>
      </c>
      <c r="N51" s="61" t="s">
        <v>9862</v>
      </c>
      <c r="O51" s="62" t="s">
        <v>8583</v>
      </c>
      <c r="P51" s="62" t="s">
        <v>814</v>
      </c>
      <c r="Q51" s="62" t="s">
        <v>9863</v>
      </c>
      <c r="R51" s="62" t="s">
        <v>814</v>
      </c>
      <c r="S51" s="62" t="s">
        <v>814</v>
      </c>
      <c r="T51" s="62" t="s">
        <v>814</v>
      </c>
      <c r="U51" s="62" t="s">
        <v>10045</v>
      </c>
      <c r="V51" s="6" t="s">
        <v>10046</v>
      </c>
      <c r="W51" s="6" t="s">
        <v>10047</v>
      </c>
      <c r="AC51" s="105" t="n">
        <f aca="false">IF($O51="Active",SUMPRODUCT(($AM$5:$AM$101=$AM51)*1),0)</f>
        <v>1</v>
      </c>
      <c r="AD51" s="105" t="n">
        <f aca="false">IF(AND($O51="Active",OR($Q51="—",$Q51="")),1,0)</f>
        <v>0</v>
      </c>
      <c r="AE51" s="105" t="n">
        <f aca="false">IF(AND($O51="Active",$L51="利害關係方",OR($R51="—",$R51="")),1,0)</f>
        <v>0</v>
      </c>
      <c r="AM51" s="61" t="str">
        <f aca="false">IF($O51="Active",$B51&amp;"¦"&amp;$G51&amp;"¦"&amp;$H51,"")</f>
        <v>新雲損益兩平租金的利用率前提（Cape Fear；SRC_PRC_002 的 85%）¦與 SRC_PRC_002 同一計算前提：85% 利用率、9.12% 資金成本、6 年¦機型未明（同 SRC_PRC_002）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10048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29.25" hidden="false" customHeight="true" outlineLevel="0" collapsed="false">
      <c r="A5" s="30" t="s">
        <v>10049</v>
      </c>
      <c r="B5" s="6" t="s">
        <v>10050</v>
      </c>
      <c r="C5" s="256" t="n">
        <v>53</v>
      </c>
      <c r="D5" s="254"/>
      <c r="E5" s="254"/>
      <c r="F5" s="254" t="s">
        <v>10051</v>
      </c>
      <c r="G5" s="30" t="s">
        <v>1514</v>
      </c>
      <c r="H5" s="30" t="s">
        <v>1513</v>
      </c>
      <c r="I5" s="30" t="s">
        <v>1518</v>
      </c>
      <c r="J5" s="6" t="s">
        <v>10052</v>
      </c>
      <c r="K5" s="254" t="n">
        <v>2</v>
      </c>
      <c r="L5" s="254" t="s">
        <v>8687</v>
      </c>
      <c r="M5" s="6" t="s">
        <v>10053</v>
      </c>
      <c r="N5" s="254" t="s">
        <v>8593</v>
      </c>
      <c r="O5" s="30" t="s">
        <v>8583</v>
      </c>
      <c r="P5" s="30" t="s">
        <v>814</v>
      </c>
      <c r="Q5" s="30" t="s">
        <v>10054</v>
      </c>
      <c r="R5" s="30" t="s">
        <v>814</v>
      </c>
      <c r="S5" s="30" t="s">
        <v>814</v>
      </c>
      <c r="T5" s="30" t="s">
        <v>814</v>
      </c>
      <c r="U5" s="30" t="s">
        <v>10055</v>
      </c>
      <c r="V5" s="6" t="s">
        <v>10056</v>
      </c>
      <c r="W5" s="6" t="s">
        <v>814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10057</v>
      </c>
      <c r="B6" s="6" t="s">
        <v>10058</v>
      </c>
      <c r="C6" s="256" t="n">
        <v>53</v>
      </c>
      <c r="D6" s="254"/>
      <c r="E6" s="254"/>
      <c r="F6" s="254" t="s">
        <v>10051</v>
      </c>
      <c r="G6" s="30" t="s">
        <v>1514</v>
      </c>
      <c r="H6" s="30" t="s">
        <v>1516</v>
      </c>
      <c r="I6" s="30" t="s">
        <v>1518</v>
      </c>
      <c r="J6" s="6" t="s">
        <v>10052</v>
      </c>
      <c r="K6" s="254" t="n">
        <v>2</v>
      </c>
      <c r="L6" s="254" t="s">
        <v>8687</v>
      </c>
      <c r="M6" s="6" t="s">
        <v>10053</v>
      </c>
      <c r="N6" s="254" t="s">
        <v>8593</v>
      </c>
      <c r="O6" s="30" t="s">
        <v>8583</v>
      </c>
      <c r="P6" s="30" t="s">
        <v>814</v>
      </c>
      <c r="Q6" s="30" t="s">
        <v>10054</v>
      </c>
      <c r="R6" s="30" t="s">
        <v>814</v>
      </c>
      <c r="S6" s="30" t="s">
        <v>814</v>
      </c>
      <c r="T6" s="30" t="s">
        <v>814</v>
      </c>
      <c r="U6" s="30" t="s">
        <v>10055</v>
      </c>
      <c r="V6" s="6" t="s">
        <v>10059</v>
      </c>
      <c r="W6" s="6" t="s">
        <v>814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10060</v>
      </c>
      <c r="B7" s="6" t="s">
        <v>10061</v>
      </c>
      <c r="C7" s="256" t="n">
        <v>51</v>
      </c>
      <c r="D7" s="254"/>
      <c r="E7" s="254"/>
      <c r="F7" s="254" t="s">
        <v>10051</v>
      </c>
      <c r="G7" s="30" t="s">
        <v>1514</v>
      </c>
      <c r="H7" s="30" t="s">
        <v>1520</v>
      </c>
      <c r="I7" s="30" t="s">
        <v>1518</v>
      </c>
      <c r="J7" s="6" t="s">
        <v>10052</v>
      </c>
      <c r="K7" s="254" t="n">
        <v>2</v>
      </c>
      <c r="L7" s="254" t="s">
        <v>8687</v>
      </c>
      <c r="M7" s="6" t="s">
        <v>10053</v>
      </c>
      <c r="N7" s="254" t="s">
        <v>8593</v>
      </c>
      <c r="O7" s="30" t="s">
        <v>8583</v>
      </c>
      <c r="P7" s="30" t="s">
        <v>814</v>
      </c>
      <c r="Q7" s="30" t="s">
        <v>10054</v>
      </c>
      <c r="R7" s="30" t="s">
        <v>814</v>
      </c>
      <c r="S7" s="30" t="s">
        <v>814</v>
      </c>
      <c r="T7" s="30" t="s">
        <v>814</v>
      </c>
      <c r="U7" s="30" t="s">
        <v>10055</v>
      </c>
      <c r="V7" s="6" t="s">
        <v>10062</v>
      </c>
      <c r="W7" s="6" t="s">
        <v>814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10063</v>
      </c>
      <c r="B8" s="6" t="s">
        <v>10064</v>
      </c>
      <c r="C8" s="256" t="n">
        <v>47</v>
      </c>
      <c r="D8" s="254"/>
      <c r="E8" s="254"/>
      <c r="F8" s="254" t="s">
        <v>10051</v>
      </c>
      <c r="G8" s="30" t="s">
        <v>1514</v>
      </c>
      <c r="H8" s="30" t="s">
        <v>9472</v>
      </c>
      <c r="I8" s="30" t="s">
        <v>1518</v>
      </c>
      <c r="J8" s="6" t="s">
        <v>10052</v>
      </c>
      <c r="K8" s="254" t="n">
        <v>2</v>
      </c>
      <c r="L8" s="254" t="s">
        <v>8687</v>
      </c>
      <c r="M8" s="6" t="s">
        <v>10053</v>
      </c>
      <c r="N8" s="254" t="s">
        <v>8593</v>
      </c>
      <c r="O8" s="30" t="s">
        <v>8583</v>
      </c>
      <c r="P8" s="30" t="s">
        <v>814</v>
      </c>
      <c r="Q8" s="30" t="s">
        <v>10054</v>
      </c>
      <c r="R8" s="30" t="s">
        <v>814</v>
      </c>
      <c r="S8" s="30" t="s">
        <v>814</v>
      </c>
      <c r="T8" s="30" t="s">
        <v>814</v>
      </c>
      <c r="U8" s="30" t="s">
        <v>10055</v>
      </c>
      <c r="V8" s="6" t="s">
        <v>814</v>
      </c>
      <c r="W8" s="6" t="s">
        <v>814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10065</v>
      </c>
      <c r="B9" s="6" t="s">
        <v>10066</v>
      </c>
      <c r="C9" s="256" t="n">
        <v>42</v>
      </c>
      <c r="D9" s="254"/>
      <c r="E9" s="254"/>
      <c r="F9" s="254" t="s">
        <v>10051</v>
      </c>
      <c r="G9" s="30" t="s">
        <v>1514</v>
      </c>
      <c r="H9" s="30" t="s">
        <v>1538</v>
      </c>
      <c r="I9" s="30" t="s">
        <v>1518</v>
      </c>
      <c r="J9" s="6" t="s">
        <v>10052</v>
      </c>
      <c r="K9" s="254" t="n">
        <v>2</v>
      </c>
      <c r="L9" s="254" t="s">
        <v>8687</v>
      </c>
      <c r="M9" s="6" t="s">
        <v>10053</v>
      </c>
      <c r="N9" s="254" t="s">
        <v>8593</v>
      </c>
      <c r="O9" s="30" t="s">
        <v>8583</v>
      </c>
      <c r="P9" s="30" t="s">
        <v>814</v>
      </c>
      <c r="Q9" s="30" t="s">
        <v>10054</v>
      </c>
      <c r="R9" s="30" t="s">
        <v>814</v>
      </c>
      <c r="S9" s="30" t="s">
        <v>814</v>
      </c>
      <c r="T9" s="30" t="s">
        <v>814</v>
      </c>
      <c r="U9" s="30" t="s">
        <v>10055</v>
      </c>
      <c r="V9" s="6" t="s">
        <v>10067</v>
      </c>
      <c r="W9" s="6" t="s">
        <v>814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6396</v>
      </c>
      <c r="B10" s="6" t="s">
        <v>10068</v>
      </c>
      <c r="C10" s="256" t="n">
        <v>40</v>
      </c>
      <c r="D10" s="254"/>
      <c r="E10" s="254"/>
      <c r="F10" s="254" t="s">
        <v>10051</v>
      </c>
      <c r="G10" s="30" t="s">
        <v>1514</v>
      </c>
      <c r="H10" s="30" t="s">
        <v>10069</v>
      </c>
      <c r="I10" s="30" t="s">
        <v>1518</v>
      </c>
      <c r="J10" s="6" t="s">
        <v>10052</v>
      </c>
      <c r="K10" s="254" t="n">
        <v>2</v>
      </c>
      <c r="L10" s="254" t="s">
        <v>8687</v>
      </c>
      <c r="M10" s="6" t="s">
        <v>10053</v>
      </c>
      <c r="N10" s="254" t="s">
        <v>8593</v>
      </c>
      <c r="O10" s="30" t="s">
        <v>8583</v>
      </c>
      <c r="P10" s="30" t="s">
        <v>814</v>
      </c>
      <c r="Q10" s="30" t="s">
        <v>10054</v>
      </c>
      <c r="R10" s="30" t="s">
        <v>814</v>
      </c>
      <c r="S10" s="30" t="s">
        <v>814</v>
      </c>
      <c r="T10" s="30" t="s">
        <v>814</v>
      </c>
      <c r="U10" s="30" t="s">
        <v>10055</v>
      </c>
      <c r="V10" s="6" t="s">
        <v>10070</v>
      </c>
      <c r="W10" s="20" t="s">
        <v>10071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6389</v>
      </c>
      <c r="B11" s="6" t="s">
        <v>10072</v>
      </c>
      <c r="C11" s="256" t="n">
        <v>36</v>
      </c>
      <c r="D11" s="254"/>
      <c r="E11" s="254"/>
      <c r="F11" s="254" t="s">
        <v>10051</v>
      </c>
      <c r="G11" s="30" t="s">
        <v>1514</v>
      </c>
      <c r="H11" s="30" t="s">
        <v>10073</v>
      </c>
      <c r="I11" s="30" t="s">
        <v>1518</v>
      </c>
      <c r="J11" s="6" t="s">
        <v>10052</v>
      </c>
      <c r="K11" s="254" t="n">
        <v>2</v>
      </c>
      <c r="L11" s="254" t="s">
        <v>8687</v>
      </c>
      <c r="M11" s="6" t="s">
        <v>10053</v>
      </c>
      <c r="N11" s="254" t="s">
        <v>8593</v>
      </c>
      <c r="O11" s="30" t="s">
        <v>8583</v>
      </c>
      <c r="P11" s="30" t="s">
        <v>814</v>
      </c>
      <c r="Q11" s="30" t="s">
        <v>10054</v>
      </c>
      <c r="R11" s="30" t="s">
        <v>814</v>
      </c>
      <c r="S11" s="30" t="s">
        <v>814</v>
      </c>
      <c r="T11" s="30" t="s">
        <v>814</v>
      </c>
      <c r="U11" s="30" t="s">
        <v>10055</v>
      </c>
      <c r="V11" s="6" t="s">
        <v>10074</v>
      </c>
      <c r="W11" s="20" t="s">
        <v>10075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10076</v>
      </c>
      <c r="B12" s="6" t="s">
        <v>10077</v>
      </c>
      <c r="C12" s="256" t="n">
        <v>48</v>
      </c>
      <c r="D12" s="254"/>
      <c r="E12" s="254"/>
      <c r="F12" s="254" t="s">
        <v>10051</v>
      </c>
      <c r="G12" s="30" t="s">
        <v>1508</v>
      </c>
      <c r="H12" s="30" t="s">
        <v>1511</v>
      </c>
      <c r="I12" s="30" t="s">
        <v>1518</v>
      </c>
      <c r="J12" s="6" t="s">
        <v>10078</v>
      </c>
      <c r="K12" s="254" t="n">
        <v>1</v>
      </c>
      <c r="L12" s="254" t="s">
        <v>8687</v>
      </c>
      <c r="M12" s="6" t="s">
        <v>10079</v>
      </c>
      <c r="N12" s="254" t="s">
        <v>8582</v>
      </c>
      <c r="O12" s="30" t="s">
        <v>8583</v>
      </c>
      <c r="P12" s="30" t="s">
        <v>814</v>
      </c>
      <c r="Q12" s="30" t="s">
        <v>10080</v>
      </c>
      <c r="R12" s="30" t="s">
        <v>814</v>
      </c>
      <c r="S12" s="30" t="s">
        <v>7535</v>
      </c>
      <c r="T12" s="30" t="s">
        <v>814</v>
      </c>
      <c r="U12" s="30" t="s">
        <v>10081</v>
      </c>
      <c r="V12" s="6" t="s">
        <v>10082</v>
      </c>
      <c r="W12" s="20" t="s">
        <v>10083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10084</v>
      </c>
      <c r="B13" s="6" t="s">
        <v>10085</v>
      </c>
      <c r="C13" s="256" t="n">
        <v>37</v>
      </c>
      <c r="D13" s="254"/>
      <c r="E13" s="254"/>
      <c r="F13" s="254" t="s">
        <v>10051</v>
      </c>
      <c r="G13" s="30" t="s">
        <v>1508</v>
      </c>
      <c r="H13" s="30" t="s">
        <v>1505</v>
      </c>
      <c r="I13" s="30" t="s">
        <v>1518</v>
      </c>
      <c r="J13" s="6" t="s">
        <v>10078</v>
      </c>
      <c r="K13" s="254" t="n">
        <v>3</v>
      </c>
      <c r="L13" s="254" t="s">
        <v>8687</v>
      </c>
      <c r="M13" s="6" t="s">
        <v>10079</v>
      </c>
      <c r="N13" s="254" t="s">
        <v>9432</v>
      </c>
      <c r="O13" s="30" t="s">
        <v>8583</v>
      </c>
      <c r="P13" s="30" t="s">
        <v>814</v>
      </c>
      <c r="Q13" s="30" t="s">
        <v>10086</v>
      </c>
      <c r="R13" s="30" t="s">
        <v>814</v>
      </c>
      <c r="S13" s="30" t="s">
        <v>814</v>
      </c>
      <c r="T13" s="30" t="s">
        <v>814</v>
      </c>
      <c r="U13" s="30" t="s">
        <v>10081</v>
      </c>
      <c r="V13" s="6" t="s">
        <v>10087</v>
      </c>
      <c r="W13" s="6" t="s">
        <v>814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10088</v>
      </c>
      <c r="B14" s="6" t="s">
        <v>10089</v>
      </c>
      <c r="C14" s="256" t="n">
        <v>39</v>
      </c>
      <c r="D14" s="254"/>
      <c r="E14" s="254"/>
      <c r="F14" s="254" t="s">
        <v>10051</v>
      </c>
      <c r="G14" s="30" t="s">
        <v>1508</v>
      </c>
      <c r="H14" s="30" t="s">
        <v>1527</v>
      </c>
      <c r="I14" s="30" t="s">
        <v>1518</v>
      </c>
      <c r="J14" s="6" t="s">
        <v>10078</v>
      </c>
      <c r="K14" s="254" t="n">
        <v>3</v>
      </c>
      <c r="L14" s="254" t="s">
        <v>8687</v>
      </c>
      <c r="M14" s="6" t="s">
        <v>10079</v>
      </c>
      <c r="N14" s="254" t="s">
        <v>9432</v>
      </c>
      <c r="O14" s="30" t="s">
        <v>8583</v>
      </c>
      <c r="P14" s="30" t="s">
        <v>814</v>
      </c>
      <c r="Q14" s="30" t="s">
        <v>10086</v>
      </c>
      <c r="R14" s="30" t="s">
        <v>814</v>
      </c>
      <c r="S14" s="30" t="s">
        <v>814</v>
      </c>
      <c r="T14" s="30" t="s">
        <v>814</v>
      </c>
      <c r="U14" s="30" t="s">
        <v>10081</v>
      </c>
      <c r="V14" s="6" t="s">
        <v>10090</v>
      </c>
      <c r="W14" s="6" t="s">
        <v>814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10091</v>
      </c>
      <c r="B15" s="6" t="s">
        <v>10092</v>
      </c>
      <c r="C15" s="256" t="n">
        <v>45</v>
      </c>
      <c r="D15" s="254"/>
      <c r="E15" s="254"/>
      <c r="F15" s="254" t="s">
        <v>10051</v>
      </c>
      <c r="G15" s="30" t="s">
        <v>10093</v>
      </c>
      <c r="H15" s="30" t="s">
        <v>1534</v>
      </c>
      <c r="I15" s="30" t="s">
        <v>1518</v>
      </c>
      <c r="J15" s="6" t="s">
        <v>10078</v>
      </c>
      <c r="K15" s="254" t="n">
        <v>1</v>
      </c>
      <c r="L15" s="254" t="s">
        <v>8687</v>
      </c>
      <c r="M15" s="6" t="s">
        <v>10079</v>
      </c>
      <c r="N15" s="254" t="s">
        <v>8582</v>
      </c>
      <c r="O15" s="30" t="s">
        <v>8583</v>
      </c>
      <c r="P15" s="30" t="s">
        <v>814</v>
      </c>
      <c r="Q15" s="30" t="s">
        <v>10094</v>
      </c>
      <c r="R15" s="30" t="s">
        <v>814</v>
      </c>
      <c r="S15" s="30" t="s">
        <v>7535</v>
      </c>
      <c r="T15" s="30" t="s">
        <v>814</v>
      </c>
      <c r="U15" s="30" t="s">
        <v>10081</v>
      </c>
      <c r="V15" s="6" t="s">
        <v>10095</v>
      </c>
      <c r="W15" s="6" t="s">
        <v>10096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6502</v>
      </c>
      <c r="B16" s="6" t="s">
        <v>10097</v>
      </c>
      <c r="C16" s="256" t="n">
        <v>3.5667</v>
      </c>
      <c r="D16" s="254"/>
      <c r="E16" s="254"/>
      <c r="F16" s="254" t="s">
        <v>10098</v>
      </c>
      <c r="G16" s="30" t="s">
        <v>10099</v>
      </c>
      <c r="H16" s="30" t="s">
        <v>2475</v>
      </c>
      <c r="I16" s="30" t="s">
        <v>8590</v>
      </c>
      <c r="J16" s="6" t="s">
        <v>10100</v>
      </c>
      <c r="K16" s="254" t="n">
        <v>2</v>
      </c>
      <c r="L16" s="254" t="s">
        <v>8687</v>
      </c>
      <c r="M16" s="6" t="s">
        <v>10101</v>
      </c>
      <c r="N16" s="254" t="s">
        <v>8593</v>
      </c>
      <c r="O16" s="30" t="s">
        <v>8583</v>
      </c>
      <c r="P16" s="30" t="s">
        <v>814</v>
      </c>
      <c r="Q16" s="30" t="s">
        <v>10102</v>
      </c>
      <c r="R16" s="30" t="s">
        <v>814</v>
      </c>
      <c r="S16" s="30" t="s">
        <v>814</v>
      </c>
      <c r="T16" s="30" t="s">
        <v>814</v>
      </c>
      <c r="U16" s="30" t="s">
        <v>2477</v>
      </c>
      <c r="V16" s="6" t="s">
        <v>10103</v>
      </c>
      <c r="W16" s="6" t="s">
        <v>10104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10105</v>
      </c>
      <c r="B17" s="6" t="s">
        <v>10106</v>
      </c>
      <c r="C17" s="256" t="n">
        <v>0.5333</v>
      </c>
      <c r="D17" s="254"/>
      <c r="E17" s="254"/>
      <c r="F17" s="254" t="s">
        <v>10098</v>
      </c>
      <c r="G17" s="30" t="s">
        <v>10099</v>
      </c>
      <c r="H17" s="30" t="s">
        <v>2475</v>
      </c>
      <c r="I17" s="30" t="s">
        <v>8590</v>
      </c>
      <c r="J17" s="6" t="s">
        <v>10100</v>
      </c>
      <c r="K17" s="254" t="n">
        <v>2</v>
      </c>
      <c r="L17" s="254" t="s">
        <v>8687</v>
      </c>
      <c r="M17" s="6" t="s">
        <v>10101</v>
      </c>
      <c r="N17" s="254" t="s">
        <v>8593</v>
      </c>
      <c r="O17" s="30" t="s">
        <v>8583</v>
      </c>
      <c r="P17" s="30" t="s">
        <v>814</v>
      </c>
      <c r="Q17" s="30" t="s">
        <v>10102</v>
      </c>
      <c r="R17" s="30" t="s">
        <v>814</v>
      </c>
      <c r="S17" s="30" t="s">
        <v>814</v>
      </c>
      <c r="T17" s="30" t="s">
        <v>814</v>
      </c>
      <c r="U17" s="30" t="s">
        <v>2477</v>
      </c>
      <c r="V17" s="6" t="s">
        <v>10107</v>
      </c>
      <c r="W17" s="6" t="s">
        <v>10108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10109</v>
      </c>
      <c r="B18" s="6" t="s">
        <v>10110</v>
      </c>
      <c r="C18" s="256" t="n">
        <v>6.5667</v>
      </c>
      <c r="D18" s="254"/>
      <c r="E18" s="254"/>
      <c r="F18" s="254" t="s">
        <v>10098</v>
      </c>
      <c r="G18" s="30" t="s">
        <v>10111</v>
      </c>
      <c r="H18" s="30" t="s">
        <v>10112</v>
      </c>
      <c r="I18" s="30" t="s">
        <v>8590</v>
      </c>
      <c r="J18" s="6" t="s">
        <v>10100</v>
      </c>
      <c r="K18" s="254" t="n">
        <v>2</v>
      </c>
      <c r="L18" s="254" t="s">
        <v>8687</v>
      </c>
      <c r="M18" s="6" t="s">
        <v>10101</v>
      </c>
      <c r="N18" s="254" t="s">
        <v>8593</v>
      </c>
      <c r="O18" s="30" t="s">
        <v>8583</v>
      </c>
      <c r="P18" s="30" t="s">
        <v>814</v>
      </c>
      <c r="Q18" s="30" t="s">
        <v>10102</v>
      </c>
      <c r="R18" s="30" t="s">
        <v>814</v>
      </c>
      <c r="S18" s="30" t="s">
        <v>814</v>
      </c>
      <c r="T18" s="30" t="s">
        <v>814</v>
      </c>
      <c r="U18" s="30" t="s">
        <v>2477</v>
      </c>
      <c r="V18" s="6" t="s">
        <v>10113</v>
      </c>
      <c r="W18" s="6" t="s">
        <v>814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10114</v>
      </c>
      <c r="B19" s="6" t="s">
        <v>10115</v>
      </c>
      <c r="C19" s="256" t="n">
        <v>0.9167</v>
      </c>
      <c r="D19" s="254"/>
      <c r="E19" s="254"/>
      <c r="F19" s="254" t="s">
        <v>10098</v>
      </c>
      <c r="G19" s="30" t="s">
        <v>10111</v>
      </c>
      <c r="H19" s="30" t="s">
        <v>10112</v>
      </c>
      <c r="I19" s="30" t="s">
        <v>8590</v>
      </c>
      <c r="J19" s="6" t="s">
        <v>10100</v>
      </c>
      <c r="K19" s="254" t="n">
        <v>2</v>
      </c>
      <c r="L19" s="254" t="s">
        <v>8687</v>
      </c>
      <c r="M19" s="6" t="s">
        <v>10101</v>
      </c>
      <c r="N19" s="254" t="s">
        <v>8593</v>
      </c>
      <c r="O19" s="30" t="s">
        <v>8583</v>
      </c>
      <c r="P19" s="30" t="s">
        <v>814</v>
      </c>
      <c r="Q19" s="30" t="s">
        <v>10102</v>
      </c>
      <c r="R19" s="30" t="s">
        <v>814</v>
      </c>
      <c r="S19" s="30" t="s">
        <v>814</v>
      </c>
      <c r="T19" s="30" t="s">
        <v>814</v>
      </c>
      <c r="U19" s="30" t="s">
        <v>2477</v>
      </c>
      <c r="V19" s="6" t="s">
        <v>10116</v>
      </c>
      <c r="W19" s="6" t="s">
        <v>814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10117</v>
      </c>
      <c r="B20" s="6" t="s">
        <v>10118</v>
      </c>
      <c r="C20" s="256" t="n">
        <v>5.7</v>
      </c>
      <c r="D20" s="254"/>
      <c r="E20" s="254"/>
      <c r="F20" s="254" t="s">
        <v>10098</v>
      </c>
      <c r="G20" s="30" t="s">
        <v>10111</v>
      </c>
      <c r="H20" s="30" t="s">
        <v>10119</v>
      </c>
      <c r="I20" s="30" t="s">
        <v>8590</v>
      </c>
      <c r="J20" s="6" t="s">
        <v>10100</v>
      </c>
      <c r="K20" s="254" t="n">
        <v>2</v>
      </c>
      <c r="L20" s="254" t="s">
        <v>8687</v>
      </c>
      <c r="M20" s="6" t="s">
        <v>10101</v>
      </c>
      <c r="N20" s="254" t="s">
        <v>8593</v>
      </c>
      <c r="O20" s="30" t="s">
        <v>8583</v>
      </c>
      <c r="P20" s="30" t="s">
        <v>814</v>
      </c>
      <c r="Q20" s="30" t="s">
        <v>10102</v>
      </c>
      <c r="R20" s="30" t="s">
        <v>814</v>
      </c>
      <c r="S20" s="30" t="s">
        <v>814</v>
      </c>
      <c r="T20" s="30" t="s">
        <v>814</v>
      </c>
      <c r="U20" s="30" t="s">
        <v>2477</v>
      </c>
      <c r="V20" s="6" t="s">
        <v>10120</v>
      </c>
      <c r="W20" s="6" t="s">
        <v>814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10121</v>
      </c>
      <c r="B21" s="6" t="s">
        <v>10122</v>
      </c>
      <c r="C21" s="256" t="n">
        <v>0.9</v>
      </c>
      <c r="D21" s="254"/>
      <c r="E21" s="254"/>
      <c r="F21" s="254" t="s">
        <v>10098</v>
      </c>
      <c r="G21" s="30" t="s">
        <v>10111</v>
      </c>
      <c r="H21" s="30" t="s">
        <v>10119</v>
      </c>
      <c r="I21" s="30" t="s">
        <v>8590</v>
      </c>
      <c r="J21" s="6" t="s">
        <v>10100</v>
      </c>
      <c r="K21" s="254" t="n">
        <v>2</v>
      </c>
      <c r="L21" s="254" t="s">
        <v>8687</v>
      </c>
      <c r="M21" s="6" t="s">
        <v>10101</v>
      </c>
      <c r="N21" s="254" t="s">
        <v>8593</v>
      </c>
      <c r="O21" s="30" t="s">
        <v>8583</v>
      </c>
      <c r="P21" s="30" t="s">
        <v>814</v>
      </c>
      <c r="Q21" s="30" t="s">
        <v>10102</v>
      </c>
      <c r="R21" s="30" t="s">
        <v>814</v>
      </c>
      <c r="S21" s="30" t="s">
        <v>814</v>
      </c>
      <c r="T21" s="30" t="s">
        <v>814</v>
      </c>
      <c r="U21" s="30" t="s">
        <v>2477</v>
      </c>
      <c r="V21" s="6" t="s">
        <v>10123</v>
      </c>
      <c r="W21" s="6" t="s">
        <v>814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10124</v>
      </c>
      <c r="B22" s="6" t="s">
        <v>10125</v>
      </c>
      <c r="C22" s="256" t="n">
        <v>5.8333</v>
      </c>
      <c r="D22" s="254"/>
      <c r="E22" s="254"/>
      <c r="F22" s="254" t="s">
        <v>10098</v>
      </c>
      <c r="G22" s="30" t="s">
        <v>10111</v>
      </c>
      <c r="H22" s="30" t="s">
        <v>2482</v>
      </c>
      <c r="I22" s="30" t="s">
        <v>8590</v>
      </c>
      <c r="J22" s="6" t="s">
        <v>10100</v>
      </c>
      <c r="K22" s="254" t="n">
        <v>2</v>
      </c>
      <c r="L22" s="254" t="s">
        <v>8687</v>
      </c>
      <c r="M22" s="6" t="s">
        <v>10101</v>
      </c>
      <c r="N22" s="254" t="s">
        <v>8593</v>
      </c>
      <c r="O22" s="30" t="s">
        <v>8583</v>
      </c>
      <c r="P22" s="30" t="s">
        <v>814</v>
      </c>
      <c r="Q22" s="30" t="s">
        <v>10102</v>
      </c>
      <c r="R22" s="30" t="s">
        <v>814</v>
      </c>
      <c r="S22" s="30" t="s">
        <v>814</v>
      </c>
      <c r="T22" s="30" t="s">
        <v>814</v>
      </c>
      <c r="U22" s="30" t="s">
        <v>2477</v>
      </c>
      <c r="V22" s="6" t="s">
        <v>10126</v>
      </c>
      <c r="W22" s="6" t="s">
        <v>814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10127</v>
      </c>
      <c r="B23" s="6" t="s">
        <v>10128</v>
      </c>
      <c r="C23" s="256" t="n">
        <v>1.5</v>
      </c>
      <c r="D23" s="254"/>
      <c r="E23" s="254"/>
      <c r="F23" s="254" t="s">
        <v>10098</v>
      </c>
      <c r="G23" s="30" t="s">
        <v>10111</v>
      </c>
      <c r="H23" s="30" t="s">
        <v>2482</v>
      </c>
      <c r="I23" s="30" t="s">
        <v>8590</v>
      </c>
      <c r="J23" s="6" t="s">
        <v>10100</v>
      </c>
      <c r="K23" s="254" t="n">
        <v>2</v>
      </c>
      <c r="L23" s="254" t="s">
        <v>8687</v>
      </c>
      <c r="M23" s="6" t="s">
        <v>10101</v>
      </c>
      <c r="N23" s="254" t="s">
        <v>8593</v>
      </c>
      <c r="O23" s="30" t="s">
        <v>8583</v>
      </c>
      <c r="P23" s="30" t="s">
        <v>814</v>
      </c>
      <c r="Q23" s="30" t="s">
        <v>10102</v>
      </c>
      <c r="R23" s="30" t="s">
        <v>814</v>
      </c>
      <c r="S23" s="30" t="s">
        <v>814</v>
      </c>
      <c r="T23" s="30" t="s">
        <v>814</v>
      </c>
      <c r="U23" s="30" t="s">
        <v>2477</v>
      </c>
      <c r="V23" s="6" t="s">
        <v>10129</v>
      </c>
      <c r="W23" s="6" t="s">
        <v>814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6488</v>
      </c>
      <c r="B24" s="6" t="s">
        <v>10130</v>
      </c>
      <c r="C24" s="256" t="n">
        <v>11.3</v>
      </c>
      <c r="D24" s="254"/>
      <c r="E24" s="254"/>
      <c r="F24" s="254" t="s">
        <v>10098</v>
      </c>
      <c r="G24" s="30" t="s">
        <v>10111</v>
      </c>
      <c r="H24" s="30" t="s">
        <v>9472</v>
      </c>
      <c r="I24" s="30" t="s">
        <v>8590</v>
      </c>
      <c r="J24" s="6" t="s">
        <v>10100</v>
      </c>
      <c r="K24" s="254" t="n">
        <v>2</v>
      </c>
      <c r="L24" s="254" t="s">
        <v>8687</v>
      </c>
      <c r="M24" s="6" t="s">
        <v>10101</v>
      </c>
      <c r="N24" s="254" t="s">
        <v>8593</v>
      </c>
      <c r="O24" s="30" t="s">
        <v>8583</v>
      </c>
      <c r="P24" s="30" t="s">
        <v>814</v>
      </c>
      <c r="Q24" s="30" t="s">
        <v>10102</v>
      </c>
      <c r="R24" s="30" t="s">
        <v>814</v>
      </c>
      <c r="S24" s="30" t="s">
        <v>814</v>
      </c>
      <c r="T24" s="30" t="s">
        <v>814</v>
      </c>
      <c r="U24" s="30" t="s">
        <v>2477</v>
      </c>
      <c r="V24" s="6" t="s">
        <v>814</v>
      </c>
      <c r="W24" s="6" t="s">
        <v>10131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6497</v>
      </c>
      <c r="B25" s="6" t="s">
        <v>10132</v>
      </c>
      <c r="C25" s="256" t="n">
        <v>17.4</v>
      </c>
      <c r="D25" s="254"/>
      <c r="E25" s="254"/>
      <c r="F25" s="254" t="s">
        <v>10098</v>
      </c>
      <c r="G25" s="30" t="s">
        <v>10133</v>
      </c>
      <c r="H25" s="30" t="s">
        <v>10134</v>
      </c>
      <c r="I25" s="30" t="s">
        <v>8590</v>
      </c>
      <c r="J25" s="6" t="s">
        <v>10100</v>
      </c>
      <c r="K25" s="254" t="n">
        <v>2</v>
      </c>
      <c r="L25" s="254" t="s">
        <v>8687</v>
      </c>
      <c r="M25" s="6" t="s">
        <v>10101</v>
      </c>
      <c r="N25" s="254" t="s">
        <v>8593</v>
      </c>
      <c r="O25" s="30" t="s">
        <v>8583</v>
      </c>
      <c r="P25" s="30" t="s">
        <v>814</v>
      </c>
      <c r="Q25" s="30" t="s">
        <v>10102</v>
      </c>
      <c r="R25" s="30" t="s">
        <v>814</v>
      </c>
      <c r="S25" s="30" t="s">
        <v>814</v>
      </c>
      <c r="T25" s="30" t="s">
        <v>814</v>
      </c>
      <c r="U25" s="30" t="s">
        <v>2477</v>
      </c>
      <c r="V25" s="6" t="s">
        <v>814</v>
      </c>
      <c r="W25" s="6" t="s">
        <v>814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10135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15" hidden="false" customHeight="true" outlineLevel="0" collapsed="false">
      <c r="A5" s="30" t="s">
        <v>5942</v>
      </c>
      <c r="B5" s="6" t="s">
        <v>10136</v>
      </c>
      <c r="C5" s="256" t="n">
        <v>4</v>
      </c>
      <c r="D5" s="254"/>
      <c r="E5" s="254"/>
      <c r="F5" s="30" t="s">
        <v>136</v>
      </c>
      <c r="G5" s="254" t="s">
        <v>10137</v>
      </c>
      <c r="H5" s="30" t="s">
        <v>10138</v>
      </c>
      <c r="I5" s="30" t="s">
        <v>9215</v>
      </c>
      <c r="J5" s="6" t="s">
        <v>10139</v>
      </c>
      <c r="K5" s="254" t="n">
        <v>2</v>
      </c>
      <c r="L5" s="254" t="s">
        <v>8580</v>
      </c>
      <c r="M5" s="6" t="s">
        <v>10140</v>
      </c>
      <c r="N5" s="254" t="s">
        <v>8593</v>
      </c>
      <c r="O5" s="30" t="s">
        <v>8583</v>
      </c>
      <c r="P5" s="30" t="s">
        <v>814</v>
      </c>
      <c r="Q5" s="30" t="s">
        <v>10141</v>
      </c>
      <c r="R5" s="30" t="s">
        <v>814</v>
      </c>
      <c r="S5" s="30" t="s">
        <v>814</v>
      </c>
      <c r="T5" s="30" t="s">
        <v>814</v>
      </c>
      <c r="U5" s="30" t="s">
        <v>10142</v>
      </c>
      <c r="V5" s="6" t="s">
        <v>10143</v>
      </c>
      <c r="W5" s="6" t="s">
        <v>814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5945</v>
      </c>
      <c r="B6" s="6" t="s">
        <v>10144</v>
      </c>
      <c r="C6" s="256" t="n">
        <v>15</v>
      </c>
      <c r="D6" s="254"/>
      <c r="E6" s="254"/>
      <c r="F6" s="30" t="s">
        <v>136</v>
      </c>
      <c r="G6" s="254" t="s">
        <v>8668</v>
      </c>
      <c r="H6" s="30" t="s">
        <v>10138</v>
      </c>
      <c r="I6" s="30" t="s">
        <v>9215</v>
      </c>
      <c r="J6" s="6" t="s">
        <v>10139</v>
      </c>
      <c r="K6" s="254" t="n">
        <v>2</v>
      </c>
      <c r="L6" s="254" t="s">
        <v>8580</v>
      </c>
      <c r="M6" s="6" t="s">
        <v>10140</v>
      </c>
      <c r="N6" s="254" t="s">
        <v>8593</v>
      </c>
      <c r="O6" s="30" t="s">
        <v>8583</v>
      </c>
      <c r="P6" s="30" t="s">
        <v>814</v>
      </c>
      <c r="Q6" s="30" t="s">
        <v>10141</v>
      </c>
      <c r="R6" s="30" t="s">
        <v>814</v>
      </c>
      <c r="S6" s="30" t="s">
        <v>814</v>
      </c>
      <c r="T6" s="30" t="s">
        <v>814</v>
      </c>
      <c r="U6" s="30" t="s">
        <v>10142</v>
      </c>
      <c r="V6" s="6" t="s">
        <v>10145</v>
      </c>
      <c r="W6" s="6" t="s">
        <v>10146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6443</v>
      </c>
      <c r="B7" s="6" t="s">
        <v>10147</v>
      </c>
      <c r="C7" s="256" t="n">
        <v>0.627</v>
      </c>
      <c r="D7" s="254"/>
      <c r="E7" s="254"/>
      <c r="F7" s="30" t="s">
        <v>131</v>
      </c>
      <c r="G7" s="30" t="s">
        <v>10148</v>
      </c>
      <c r="H7" s="30" t="s">
        <v>1513</v>
      </c>
      <c r="I7" s="30" t="s">
        <v>1518</v>
      </c>
      <c r="J7" s="6" t="s">
        <v>10149</v>
      </c>
      <c r="K7" s="254" t="n">
        <v>2</v>
      </c>
      <c r="L7" s="254" t="s">
        <v>8580</v>
      </c>
      <c r="M7" s="6" t="s">
        <v>10150</v>
      </c>
      <c r="N7" s="254" t="s">
        <v>8593</v>
      </c>
      <c r="O7" s="30" t="s">
        <v>8583</v>
      </c>
      <c r="P7" s="30" t="s">
        <v>814</v>
      </c>
      <c r="Q7" s="30" t="s">
        <v>10151</v>
      </c>
      <c r="R7" s="30" t="s">
        <v>814</v>
      </c>
      <c r="S7" s="30" t="s">
        <v>814</v>
      </c>
      <c r="T7" s="30" t="s">
        <v>814</v>
      </c>
      <c r="U7" s="30" t="s">
        <v>2454</v>
      </c>
      <c r="V7" s="6" t="s">
        <v>10152</v>
      </c>
      <c r="W7" s="6" t="s">
        <v>814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10153</v>
      </c>
      <c r="B8" s="6" t="s">
        <v>10154</v>
      </c>
      <c r="C8" s="256" t="n">
        <v>26098</v>
      </c>
      <c r="D8" s="254"/>
      <c r="E8" s="254"/>
      <c r="F8" s="30" t="s">
        <v>2517</v>
      </c>
      <c r="G8" s="254" t="s">
        <v>158</v>
      </c>
      <c r="H8" s="30" t="s">
        <v>1513</v>
      </c>
      <c r="I8" s="30" t="s">
        <v>1518</v>
      </c>
      <c r="J8" s="6" t="s">
        <v>10149</v>
      </c>
      <c r="K8" s="254" t="n">
        <v>2</v>
      </c>
      <c r="L8" s="254" t="s">
        <v>8580</v>
      </c>
      <c r="M8" s="6" t="s">
        <v>10150</v>
      </c>
      <c r="N8" s="254" t="s">
        <v>8593</v>
      </c>
      <c r="O8" s="30" t="s">
        <v>8583</v>
      </c>
      <c r="P8" s="30" t="s">
        <v>814</v>
      </c>
      <c r="Q8" s="30" t="s">
        <v>10151</v>
      </c>
      <c r="R8" s="30" t="s">
        <v>814</v>
      </c>
      <c r="S8" s="30" t="s">
        <v>814</v>
      </c>
      <c r="T8" s="30" t="s">
        <v>814</v>
      </c>
      <c r="U8" s="30" t="s">
        <v>2454</v>
      </c>
      <c r="V8" s="6" t="s">
        <v>10155</v>
      </c>
      <c r="W8" s="6" t="s">
        <v>814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10156</v>
      </c>
      <c r="B9" s="6" t="s">
        <v>10157</v>
      </c>
      <c r="C9" s="256" t="n">
        <v>0.986</v>
      </c>
      <c r="D9" s="254"/>
      <c r="E9" s="254"/>
      <c r="F9" s="30" t="s">
        <v>131</v>
      </c>
      <c r="G9" s="254" t="s">
        <v>158</v>
      </c>
      <c r="H9" s="30" t="s">
        <v>1513</v>
      </c>
      <c r="I9" s="30" t="s">
        <v>1518</v>
      </c>
      <c r="J9" s="6" t="s">
        <v>10149</v>
      </c>
      <c r="K9" s="254" t="n">
        <v>2</v>
      </c>
      <c r="L9" s="254" t="s">
        <v>8580</v>
      </c>
      <c r="M9" s="6" t="s">
        <v>10150</v>
      </c>
      <c r="N9" s="254" t="s">
        <v>8593</v>
      </c>
      <c r="O9" s="30" t="s">
        <v>8583</v>
      </c>
      <c r="P9" s="30" t="s">
        <v>814</v>
      </c>
      <c r="Q9" s="30" t="s">
        <v>10151</v>
      </c>
      <c r="R9" s="30" t="s">
        <v>814</v>
      </c>
      <c r="S9" s="30" t="s">
        <v>814</v>
      </c>
      <c r="T9" s="30" t="s">
        <v>814</v>
      </c>
      <c r="U9" s="30" t="s">
        <v>2454</v>
      </c>
      <c r="V9" s="6" t="s">
        <v>10158</v>
      </c>
      <c r="W9" s="6" t="s">
        <v>814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10159</v>
      </c>
      <c r="B10" s="6" t="s">
        <v>10160</v>
      </c>
      <c r="C10" s="256" t="n">
        <v>17332</v>
      </c>
      <c r="D10" s="254"/>
      <c r="E10" s="254"/>
      <c r="F10" s="30" t="s">
        <v>2517</v>
      </c>
      <c r="G10" s="254" t="s">
        <v>158</v>
      </c>
      <c r="H10" s="30" t="s">
        <v>1513</v>
      </c>
      <c r="I10" s="30" t="s">
        <v>1518</v>
      </c>
      <c r="J10" s="6" t="s">
        <v>10149</v>
      </c>
      <c r="K10" s="254" t="n">
        <v>2</v>
      </c>
      <c r="L10" s="254" t="s">
        <v>8580</v>
      </c>
      <c r="M10" s="6" t="s">
        <v>10150</v>
      </c>
      <c r="N10" s="254" t="s">
        <v>8593</v>
      </c>
      <c r="O10" s="30" t="s">
        <v>8583</v>
      </c>
      <c r="P10" s="30" t="s">
        <v>814</v>
      </c>
      <c r="Q10" s="30" t="s">
        <v>10151</v>
      </c>
      <c r="R10" s="30" t="s">
        <v>814</v>
      </c>
      <c r="S10" s="30" t="s">
        <v>814</v>
      </c>
      <c r="T10" s="30" t="s">
        <v>814</v>
      </c>
      <c r="U10" s="30" t="s">
        <v>2454</v>
      </c>
      <c r="V10" s="6" t="s">
        <v>10161</v>
      </c>
      <c r="W10" s="6" t="s">
        <v>814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10162</v>
      </c>
      <c r="B11" s="6" t="s">
        <v>10163</v>
      </c>
      <c r="C11" s="256" t="n">
        <v>0.999</v>
      </c>
      <c r="D11" s="254"/>
      <c r="E11" s="254"/>
      <c r="F11" s="30" t="s">
        <v>131</v>
      </c>
      <c r="G11" s="30" t="s">
        <v>10164</v>
      </c>
      <c r="H11" s="30" t="s">
        <v>1513</v>
      </c>
      <c r="I11" s="30" t="s">
        <v>1518</v>
      </c>
      <c r="J11" s="6" t="s">
        <v>10149</v>
      </c>
      <c r="K11" s="254" t="n">
        <v>2</v>
      </c>
      <c r="L11" s="254" t="s">
        <v>8580</v>
      </c>
      <c r="M11" s="6" t="s">
        <v>10150</v>
      </c>
      <c r="N11" s="254" t="s">
        <v>8593</v>
      </c>
      <c r="O11" s="30" t="s">
        <v>8583</v>
      </c>
      <c r="P11" s="30" t="s">
        <v>814</v>
      </c>
      <c r="Q11" s="30" t="s">
        <v>10151</v>
      </c>
      <c r="R11" s="30" t="s">
        <v>814</v>
      </c>
      <c r="S11" s="30" t="s">
        <v>814</v>
      </c>
      <c r="T11" s="30" t="s">
        <v>814</v>
      </c>
      <c r="U11" s="30" t="s">
        <v>2454</v>
      </c>
      <c r="V11" s="6" t="s">
        <v>10165</v>
      </c>
      <c r="W11" s="6" t="s">
        <v>814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10166</v>
      </c>
      <c r="B12" s="6" t="s">
        <v>10167</v>
      </c>
      <c r="C12" s="256" t="n">
        <v>18817</v>
      </c>
      <c r="D12" s="254"/>
      <c r="E12" s="254"/>
      <c r="F12" s="30" t="s">
        <v>2517</v>
      </c>
      <c r="G12" s="254" t="s">
        <v>158</v>
      </c>
      <c r="H12" s="30" t="s">
        <v>1513</v>
      </c>
      <c r="I12" s="30" t="s">
        <v>1518</v>
      </c>
      <c r="J12" s="6" t="s">
        <v>10149</v>
      </c>
      <c r="K12" s="254" t="n">
        <v>2</v>
      </c>
      <c r="L12" s="254" t="s">
        <v>8580</v>
      </c>
      <c r="M12" s="6" t="s">
        <v>10150</v>
      </c>
      <c r="N12" s="254" t="s">
        <v>8593</v>
      </c>
      <c r="O12" s="30" t="s">
        <v>8583</v>
      </c>
      <c r="P12" s="30" t="s">
        <v>814</v>
      </c>
      <c r="Q12" s="30" t="s">
        <v>10151</v>
      </c>
      <c r="R12" s="30" t="s">
        <v>814</v>
      </c>
      <c r="S12" s="30" t="s">
        <v>814</v>
      </c>
      <c r="T12" s="30" t="s">
        <v>814</v>
      </c>
      <c r="U12" s="30" t="s">
        <v>2454</v>
      </c>
      <c r="V12" s="6" t="s">
        <v>10168</v>
      </c>
      <c r="W12" s="20" t="s">
        <v>10169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10170</v>
      </c>
      <c r="B13" s="6" t="s">
        <v>10171</v>
      </c>
      <c r="C13" s="256" t="n">
        <v>19302</v>
      </c>
      <c r="D13" s="254"/>
      <c r="E13" s="254"/>
      <c r="F13" s="30" t="s">
        <v>2517</v>
      </c>
      <c r="G13" s="254" t="s">
        <v>158</v>
      </c>
      <c r="H13" s="30" t="s">
        <v>1513</v>
      </c>
      <c r="I13" s="30" t="s">
        <v>1518</v>
      </c>
      <c r="J13" s="6" t="s">
        <v>10149</v>
      </c>
      <c r="K13" s="254" t="n">
        <v>2</v>
      </c>
      <c r="L13" s="254" t="s">
        <v>8580</v>
      </c>
      <c r="M13" s="6" t="s">
        <v>10150</v>
      </c>
      <c r="N13" s="254" t="s">
        <v>8593</v>
      </c>
      <c r="O13" s="30" t="s">
        <v>8629</v>
      </c>
      <c r="P13" s="30" t="s">
        <v>814</v>
      </c>
      <c r="Q13" s="30" t="s">
        <v>10151</v>
      </c>
      <c r="R13" s="30" t="s">
        <v>814</v>
      </c>
      <c r="S13" s="30" t="s">
        <v>814</v>
      </c>
      <c r="T13" s="30" t="s">
        <v>814</v>
      </c>
      <c r="U13" s="30" t="s">
        <v>2454</v>
      </c>
      <c r="V13" s="6" t="s">
        <v>814</v>
      </c>
      <c r="W13" s="20" t="s">
        <v>10172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10173</v>
      </c>
      <c r="B14" s="6" t="s">
        <v>10174</v>
      </c>
      <c r="C14" s="256" t="n">
        <v>0.51</v>
      </c>
      <c r="D14" s="254"/>
      <c r="E14" s="254"/>
      <c r="F14" s="30" t="s">
        <v>136</v>
      </c>
      <c r="G14" s="254" t="s">
        <v>10175</v>
      </c>
      <c r="H14" s="30" t="s">
        <v>1513</v>
      </c>
      <c r="I14" s="30" t="s">
        <v>1518</v>
      </c>
      <c r="J14" s="6" t="s">
        <v>10149</v>
      </c>
      <c r="K14" s="254" t="n">
        <v>2</v>
      </c>
      <c r="L14" s="254" t="s">
        <v>8580</v>
      </c>
      <c r="M14" s="6" t="s">
        <v>10150</v>
      </c>
      <c r="N14" s="254" t="s">
        <v>8593</v>
      </c>
      <c r="O14" s="30" t="s">
        <v>8583</v>
      </c>
      <c r="P14" s="30" t="s">
        <v>814</v>
      </c>
      <c r="Q14" s="30" t="s">
        <v>10151</v>
      </c>
      <c r="R14" s="30" t="s">
        <v>814</v>
      </c>
      <c r="S14" s="30" t="s">
        <v>814</v>
      </c>
      <c r="T14" s="30" t="s">
        <v>814</v>
      </c>
      <c r="U14" s="30" t="s">
        <v>2454</v>
      </c>
      <c r="V14" s="6" t="s">
        <v>10176</v>
      </c>
      <c r="W14" s="6" t="s">
        <v>814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10177</v>
      </c>
      <c r="B15" s="6" t="s">
        <v>10178</v>
      </c>
      <c r="C15" s="256" t="n">
        <v>3.66</v>
      </c>
      <c r="D15" s="254"/>
      <c r="E15" s="254"/>
      <c r="F15" s="30" t="s">
        <v>136</v>
      </c>
      <c r="G15" s="30" t="s">
        <v>814</v>
      </c>
      <c r="H15" s="30" t="s">
        <v>1513</v>
      </c>
      <c r="I15" s="30" t="s">
        <v>1518</v>
      </c>
      <c r="J15" s="6" t="s">
        <v>10149</v>
      </c>
      <c r="K15" s="254" t="n">
        <v>2</v>
      </c>
      <c r="L15" s="254" t="s">
        <v>8580</v>
      </c>
      <c r="M15" s="6" t="s">
        <v>10150</v>
      </c>
      <c r="N15" s="254" t="s">
        <v>8593</v>
      </c>
      <c r="O15" s="30" t="s">
        <v>8583</v>
      </c>
      <c r="P15" s="30" t="s">
        <v>814</v>
      </c>
      <c r="Q15" s="30" t="s">
        <v>10151</v>
      </c>
      <c r="R15" s="30" t="s">
        <v>814</v>
      </c>
      <c r="S15" s="30" t="s">
        <v>814</v>
      </c>
      <c r="T15" s="30" t="s">
        <v>814</v>
      </c>
      <c r="U15" s="30" t="s">
        <v>2454</v>
      </c>
      <c r="V15" s="6" t="s">
        <v>814</v>
      </c>
      <c r="W15" s="6" t="s">
        <v>814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10179</v>
      </c>
      <c r="B16" s="6" t="s">
        <v>10180</v>
      </c>
      <c r="C16" s="256" t="n">
        <v>0.302</v>
      </c>
      <c r="D16" s="254"/>
      <c r="E16" s="254"/>
      <c r="F16" s="30" t="s">
        <v>131</v>
      </c>
      <c r="G16" s="30" t="s">
        <v>10181</v>
      </c>
      <c r="H16" s="30" t="s">
        <v>1520</v>
      </c>
      <c r="I16" s="30" t="s">
        <v>1518</v>
      </c>
      <c r="J16" s="6" t="s">
        <v>10149</v>
      </c>
      <c r="K16" s="254" t="n">
        <v>2</v>
      </c>
      <c r="L16" s="254" t="s">
        <v>8580</v>
      </c>
      <c r="M16" s="6" t="s">
        <v>10150</v>
      </c>
      <c r="N16" s="254" t="s">
        <v>8593</v>
      </c>
      <c r="O16" s="30" t="s">
        <v>8583</v>
      </c>
      <c r="P16" s="30" t="s">
        <v>814</v>
      </c>
      <c r="Q16" s="30" t="s">
        <v>10151</v>
      </c>
      <c r="R16" s="30" t="s">
        <v>814</v>
      </c>
      <c r="S16" s="30" t="s">
        <v>814</v>
      </c>
      <c r="T16" s="30" t="s">
        <v>814</v>
      </c>
      <c r="U16" s="30" t="s">
        <v>2454</v>
      </c>
      <c r="V16" s="6" t="s">
        <v>10182</v>
      </c>
      <c r="W16" s="6" t="s">
        <v>814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10183</v>
      </c>
      <c r="B17" s="6" t="s">
        <v>10184</v>
      </c>
      <c r="C17" s="256" t="n">
        <v>4.72</v>
      </c>
      <c r="D17" s="254"/>
      <c r="E17" s="254"/>
      <c r="F17" s="30" t="s">
        <v>10185</v>
      </c>
      <c r="G17" s="30" t="s">
        <v>10186</v>
      </c>
      <c r="H17" s="30" t="s">
        <v>1513</v>
      </c>
      <c r="I17" s="30" t="s">
        <v>1518</v>
      </c>
      <c r="J17" s="6" t="s">
        <v>10187</v>
      </c>
      <c r="K17" s="254" t="n">
        <v>2</v>
      </c>
      <c r="L17" s="254" t="s">
        <v>8687</v>
      </c>
      <c r="M17" s="6" t="s">
        <v>10188</v>
      </c>
      <c r="N17" s="254" t="s">
        <v>8593</v>
      </c>
      <c r="O17" s="30" t="s">
        <v>8583</v>
      </c>
      <c r="P17" s="30" t="s">
        <v>814</v>
      </c>
      <c r="Q17" s="30" t="s">
        <v>10189</v>
      </c>
      <c r="R17" s="30" t="s">
        <v>814</v>
      </c>
      <c r="S17" s="30" t="s">
        <v>814</v>
      </c>
      <c r="T17" s="30" t="s">
        <v>814</v>
      </c>
      <c r="U17" s="30" t="s">
        <v>10190</v>
      </c>
      <c r="V17" s="6" t="s">
        <v>814</v>
      </c>
      <c r="W17" s="20" t="s">
        <v>10191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10192</v>
      </c>
      <c r="B18" s="6" t="s">
        <v>10193</v>
      </c>
      <c r="C18" s="256" t="n">
        <v>9.18</v>
      </c>
      <c r="D18" s="254"/>
      <c r="E18" s="254"/>
      <c r="F18" s="30" t="s">
        <v>10185</v>
      </c>
      <c r="G18" s="30" t="s">
        <v>10186</v>
      </c>
      <c r="H18" s="30" t="s">
        <v>1516</v>
      </c>
      <c r="I18" s="30" t="s">
        <v>1518</v>
      </c>
      <c r="J18" s="6" t="s">
        <v>10187</v>
      </c>
      <c r="K18" s="254" t="n">
        <v>2</v>
      </c>
      <c r="L18" s="254" t="s">
        <v>8687</v>
      </c>
      <c r="M18" s="6" t="s">
        <v>10188</v>
      </c>
      <c r="N18" s="254" t="s">
        <v>8593</v>
      </c>
      <c r="O18" s="30" t="s">
        <v>8583</v>
      </c>
      <c r="P18" s="30" t="s">
        <v>814</v>
      </c>
      <c r="Q18" s="30" t="s">
        <v>10189</v>
      </c>
      <c r="R18" s="30" t="s">
        <v>814</v>
      </c>
      <c r="S18" s="30" t="s">
        <v>814</v>
      </c>
      <c r="T18" s="30" t="s">
        <v>814</v>
      </c>
      <c r="U18" s="30" t="s">
        <v>10190</v>
      </c>
      <c r="V18" s="6" t="s">
        <v>814</v>
      </c>
      <c r="W18" s="20" t="s">
        <v>10191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10194</v>
      </c>
      <c r="B19" s="6" t="s">
        <v>10195</v>
      </c>
      <c r="C19" s="256" t="n">
        <v>1</v>
      </c>
      <c r="D19" s="254"/>
      <c r="E19" s="254"/>
      <c r="F19" s="30" t="s">
        <v>131</v>
      </c>
      <c r="G19" s="254" t="s">
        <v>10196</v>
      </c>
      <c r="H19" s="30" t="s">
        <v>1520</v>
      </c>
      <c r="I19" s="30" t="s">
        <v>1518</v>
      </c>
      <c r="J19" s="6" t="s">
        <v>10197</v>
      </c>
      <c r="K19" s="254" t="n">
        <v>2</v>
      </c>
      <c r="L19" s="254" t="s">
        <v>8580</v>
      </c>
      <c r="M19" s="6" t="s">
        <v>10198</v>
      </c>
      <c r="N19" s="254" t="s">
        <v>8593</v>
      </c>
      <c r="O19" s="30" t="s">
        <v>8583</v>
      </c>
      <c r="P19" s="30" t="s">
        <v>814</v>
      </c>
      <c r="Q19" s="30" t="s">
        <v>10199</v>
      </c>
      <c r="R19" s="30" t="s">
        <v>814</v>
      </c>
      <c r="S19" s="30" t="s">
        <v>814</v>
      </c>
      <c r="T19" s="30" t="s">
        <v>814</v>
      </c>
      <c r="U19" s="30" t="s">
        <v>10200</v>
      </c>
      <c r="V19" s="6" t="s">
        <v>10201</v>
      </c>
      <c r="W19" s="20" t="s">
        <v>10202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10203</v>
      </c>
      <c r="B20" s="6" t="s">
        <v>10204</v>
      </c>
      <c r="C20" s="208"/>
      <c r="D20" s="256" t="n">
        <v>1.5</v>
      </c>
      <c r="E20" s="256" t="n">
        <v>2</v>
      </c>
      <c r="F20" s="30" t="s">
        <v>136</v>
      </c>
      <c r="G20" s="30" t="s">
        <v>10205</v>
      </c>
      <c r="H20" s="30" t="s">
        <v>10206</v>
      </c>
      <c r="I20" s="30" t="s">
        <v>8685</v>
      </c>
      <c r="J20" s="6" t="s">
        <v>9701</v>
      </c>
      <c r="K20" s="208" t="n">
        <v>2</v>
      </c>
      <c r="L20" s="208" t="s">
        <v>8687</v>
      </c>
      <c r="M20" s="246" t="s">
        <v>10207</v>
      </c>
      <c r="N20" s="208" t="s">
        <v>9679</v>
      </c>
      <c r="O20" s="30" t="s">
        <v>8583</v>
      </c>
      <c r="P20" s="30" t="s">
        <v>814</v>
      </c>
      <c r="Q20" s="30" t="s">
        <v>9669</v>
      </c>
      <c r="R20" s="30" t="s">
        <v>814</v>
      </c>
      <c r="S20" s="30" t="s">
        <v>814</v>
      </c>
      <c r="T20" s="30" t="s">
        <v>814</v>
      </c>
      <c r="U20" s="30" t="s">
        <v>9670</v>
      </c>
      <c r="V20" s="6" t="s">
        <v>10208</v>
      </c>
      <c r="W20" s="6" t="s">
        <v>10209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2" t="s">
        <v>10210</v>
      </c>
    </row>
    <row r="2" customFormat="false" ht="15" hidden="false" customHeight="true" outlineLevel="0" collapsed="false">
      <c r="A2" s="262" t="s">
        <v>8554</v>
      </c>
    </row>
    <row r="3" customFormat="false" ht="15" hidden="false" customHeight="true" outlineLevel="0" collapsed="false">
      <c r="A3" s="262" t="s">
        <v>8555</v>
      </c>
    </row>
    <row r="4" customFormat="false" ht="43.5" hidden="false" customHeight="true" outlineLevel="0" collapsed="false">
      <c r="A4" s="85" t="s">
        <v>8556</v>
      </c>
      <c r="B4" s="253" t="s">
        <v>3494</v>
      </c>
      <c r="C4" s="253" t="s">
        <v>8557</v>
      </c>
      <c r="D4" s="253" t="s">
        <v>1440</v>
      </c>
      <c r="E4" s="253" t="s">
        <v>1441</v>
      </c>
      <c r="F4" s="253" t="s">
        <v>113</v>
      </c>
      <c r="G4" s="253" t="s">
        <v>526</v>
      </c>
      <c r="H4" s="253" t="s">
        <v>8558</v>
      </c>
      <c r="I4" s="253" t="s">
        <v>7245</v>
      </c>
      <c r="J4" s="253" t="s">
        <v>7248</v>
      </c>
      <c r="K4" s="253" t="s">
        <v>7414</v>
      </c>
      <c r="L4" s="253" t="s">
        <v>8559</v>
      </c>
      <c r="M4" s="253" t="s">
        <v>8560</v>
      </c>
      <c r="N4" s="253" t="s">
        <v>8561</v>
      </c>
      <c r="O4" s="253" t="s">
        <v>801</v>
      </c>
      <c r="P4" s="253" t="s">
        <v>8562</v>
      </c>
      <c r="Q4" s="85" t="s">
        <v>8563</v>
      </c>
      <c r="R4" s="253" t="s">
        <v>8564</v>
      </c>
      <c r="S4" s="253" t="s">
        <v>8565</v>
      </c>
      <c r="T4" s="85" t="s">
        <v>8566</v>
      </c>
      <c r="U4" s="253" t="s">
        <v>8567</v>
      </c>
      <c r="V4" s="253" t="s">
        <v>8568</v>
      </c>
      <c r="W4" s="253" t="s">
        <v>8569</v>
      </c>
      <c r="X4" s="253" t="s">
        <v>8570</v>
      </c>
      <c r="Y4" s="253" t="s">
        <v>8571</v>
      </c>
      <c r="Z4" s="253" t="s">
        <v>8572</v>
      </c>
      <c r="AH4" s="84" t="s">
        <v>8573</v>
      </c>
    </row>
    <row r="5" customFormat="false" ht="29.25" hidden="false" customHeight="true" outlineLevel="0" collapsed="false">
      <c r="A5" s="30" t="s">
        <v>4060</v>
      </c>
      <c r="B5" s="20" t="s">
        <v>10211</v>
      </c>
      <c r="C5" s="256" t="n">
        <v>0.096</v>
      </c>
      <c r="D5" s="254"/>
      <c r="E5" s="254"/>
      <c r="F5" s="30" t="s">
        <v>131</v>
      </c>
      <c r="G5" s="254" t="s">
        <v>10212</v>
      </c>
      <c r="H5" s="30" t="s">
        <v>1506</v>
      </c>
      <c r="I5" s="30" t="s">
        <v>8620</v>
      </c>
      <c r="J5" s="6" t="s">
        <v>10213</v>
      </c>
      <c r="K5" s="254" t="n">
        <v>1</v>
      </c>
      <c r="L5" s="254" t="s">
        <v>8687</v>
      </c>
      <c r="M5" s="6" t="s">
        <v>10214</v>
      </c>
      <c r="N5" s="254" t="s">
        <v>9218</v>
      </c>
      <c r="O5" s="30" t="s">
        <v>8583</v>
      </c>
      <c r="P5" s="30" t="s">
        <v>814</v>
      </c>
      <c r="Q5" s="30" t="s">
        <v>10215</v>
      </c>
      <c r="R5" s="30" t="s">
        <v>814</v>
      </c>
      <c r="S5" s="30" t="s">
        <v>814</v>
      </c>
      <c r="T5" s="30" t="s">
        <v>814</v>
      </c>
      <c r="U5" s="30" t="s">
        <v>10216</v>
      </c>
      <c r="V5" s="6" t="s">
        <v>10217</v>
      </c>
      <c r="W5" s="20" t="s">
        <v>10218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10219</v>
      </c>
      <c r="B6" s="20" t="s">
        <v>10220</v>
      </c>
      <c r="C6" s="256" t="n">
        <v>0.226</v>
      </c>
      <c r="D6" s="254"/>
      <c r="E6" s="254"/>
      <c r="F6" s="30" t="s">
        <v>131</v>
      </c>
      <c r="G6" s="254" t="s">
        <v>158</v>
      </c>
      <c r="H6" s="30" t="s">
        <v>1550</v>
      </c>
      <c r="I6" s="30" t="s">
        <v>8620</v>
      </c>
      <c r="J6" s="6" t="s">
        <v>10213</v>
      </c>
      <c r="K6" s="254" t="n">
        <v>1</v>
      </c>
      <c r="L6" s="254" t="s">
        <v>8687</v>
      </c>
      <c r="M6" s="6" t="s">
        <v>10214</v>
      </c>
      <c r="N6" s="254" t="s">
        <v>9218</v>
      </c>
      <c r="O6" s="30" t="s">
        <v>8583</v>
      </c>
      <c r="P6" s="30" t="s">
        <v>814</v>
      </c>
      <c r="Q6" s="30" t="s">
        <v>10215</v>
      </c>
      <c r="R6" s="30" t="s">
        <v>814</v>
      </c>
      <c r="S6" s="30" t="s">
        <v>814</v>
      </c>
      <c r="T6" s="30" t="s">
        <v>814</v>
      </c>
      <c r="U6" s="30" t="s">
        <v>10216</v>
      </c>
      <c r="V6" s="6" t="s">
        <v>10217</v>
      </c>
      <c r="W6" s="6" t="s">
        <v>814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10221</v>
      </c>
      <c r="B7" s="20" t="s">
        <v>10222</v>
      </c>
      <c r="C7" s="256" t="n">
        <v>0.123</v>
      </c>
      <c r="D7" s="254"/>
      <c r="E7" s="254"/>
      <c r="F7" s="30" t="s">
        <v>131</v>
      </c>
      <c r="G7" s="254" t="s">
        <v>158</v>
      </c>
      <c r="H7" s="30" t="s">
        <v>1535</v>
      </c>
      <c r="I7" s="30" t="s">
        <v>8620</v>
      </c>
      <c r="J7" s="6" t="s">
        <v>10213</v>
      </c>
      <c r="K7" s="254" t="n">
        <v>1</v>
      </c>
      <c r="L7" s="254" t="s">
        <v>8687</v>
      </c>
      <c r="M7" s="6" t="s">
        <v>10214</v>
      </c>
      <c r="N7" s="254" t="s">
        <v>9218</v>
      </c>
      <c r="O7" s="30" t="s">
        <v>8583</v>
      </c>
      <c r="P7" s="30" t="s">
        <v>814</v>
      </c>
      <c r="Q7" s="30" t="s">
        <v>10215</v>
      </c>
      <c r="R7" s="30" t="s">
        <v>814</v>
      </c>
      <c r="S7" s="30" t="s">
        <v>814</v>
      </c>
      <c r="T7" s="30" t="s">
        <v>814</v>
      </c>
      <c r="U7" s="30" t="s">
        <v>10216</v>
      </c>
      <c r="V7" s="6" t="s">
        <v>814</v>
      </c>
      <c r="W7" s="6" t="s">
        <v>814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4163</v>
      </c>
      <c r="B8" s="6" t="s">
        <v>10223</v>
      </c>
      <c r="C8" s="256" t="n">
        <v>8.4</v>
      </c>
      <c r="D8" s="256" t="n">
        <v>7.5</v>
      </c>
      <c r="E8" s="256" t="n">
        <v>8.8</v>
      </c>
      <c r="F8" s="30" t="s">
        <v>1094</v>
      </c>
      <c r="G8" s="254" t="s">
        <v>10224</v>
      </c>
      <c r="H8" s="30" t="s">
        <v>1506</v>
      </c>
      <c r="I8" s="30" t="s">
        <v>9227</v>
      </c>
      <c r="J8" s="6" t="s">
        <v>10225</v>
      </c>
      <c r="K8" s="254" t="n">
        <v>2</v>
      </c>
      <c r="L8" s="254" t="s">
        <v>8580</v>
      </c>
      <c r="M8" s="6" t="s">
        <v>10226</v>
      </c>
      <c r="N8" s="254" t="s">
        <v>8593</v>
      </c>
      <c r="O8" s="30" t="s">
        <v>8583</v>
      </c>
      <c r="P8" s="30" t="s">
        <v>814</v>
      </c>
      <c r="Q8" s="30" t="s">
        <v>10227</v>
      </c>
      <c r="R8" s="30" t="s">
        <v>814</v>
      </c>
      <c r="S8" s="30" t="s">
        <v>814</v>
      </c>
      <c r="T8" s="30" t="s">
        <v>814</v>
      </c>
      <c r="U8" s="30" t="s">
        <v>10228</v>
      </c>
      <c r="V8" s="6" t="s">
        <v>10229</v>
      </c>
      <c r="W8" s="20" t="s">
        <v>10230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4174</v>
      </c>
      <c r="B9" s="6" t="s">
        <v>10231</v>
      </c>
      <c r="C9" s="256" t="n">
        <v>3.9</v>
      </c>
      <c r="D9" s="254"/>
      <c r="E9" s="254"/>
      <c r="F9" s="30" t="s">
        <v>1094</v>
      </c>
      <c r="G9" s="254" t="s">
        <v>10232</v>
      </c>
      <c r="H9" s="30" t="s">
        <v>1506</v>
      </c>
      <c r="I9" s="30" t="s">
        <v>9227</v>
      </c>
      <c r="J9" s="6" t="s">
        <v>10225</v>
      </c>
      <c r="K9" s="254" t="n">
        <v>2</v>
      </c>
      <c r="L9" s="254" t="s">
        <v>8580</v>
      </c>
      <c r="M9" s="6" t="s">
        <v>10226</v>
      </c>
      <c r="N9" s="254" t="s">
        <v>8593</v>
      </c>
      <c r="O9" s="30" t="s">
        <v>8583</v>
      </c>
      <c r="P9" s="30" t="s">
        <v>814</v>
      </c>
      <c r="Q9" s="30" t="s">
        <v>10227</v>
      </c>
      <c r="R9" s="30" t="s">
        <v>814</v>
      </c>
      <c r="S9" s="30" t="s">
        <v>814</v>
      </c>
      <c r="T9" s="30" t="s">
        <v>814</v>
      </c>
      <c r="U9" s="30" t="s">
        <v>10228</v>
      </c>
      <c r="V9" s="6" t="s">
        <v>10233</v>
      </c>
      <c r="W9" s="20" t="s">
        <v>10234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4110</v>
      </c>
      <c r="B10" s="6" t="s">
        <v>10235</v>
      </c>
      <c r="C10" s="256" t="n">
        <v>12</v>
      </c>
      <c r="D10" s="254"/>
      <c r="E10" s="254"/>
      <c r="F10" s="30" t="s">
        <v>1094</v>
      </c>
      <c r="G10" s="254" t="s">
        <v>10236</v>
      </c>
      <c r="H10" s="30" t="s">
        <v>1506</v>
      </c>
      <c r="I10" s="30" t="s">
        <v>9227</v>
      </c>
      <c r="J10" s="6" t="s">
        <v>10225</v>
      </c>
      <c r="K10" s="254" t="n">
        <v>2</v>
      </c>
      <c r="L10" s="254" t="s">
        <v>8580</v>
      </c>
      <c r="M10" s="6" t="s">
        <v>10226</v>
      </c>
      <c r="N10" s="254" t="s">
        <v>8593</v>
      </c>
      <c r="O10" s="30" t="s">
        <v>8583</v>
      </c>
      <c r="P10" s="30" t="s">
        <v>814</v>
      </c>
      <c r="Q10" s="30" t="s">
        <v>10227</v>
      </c>
      <c r="R10" s="30" t="s">
        <v>814</v>
      </c>
      <c r="S10" s="30" t="s">
        <v>814</v>
      </c>
      <c r="T10" s="30" t="s">
        <v>814</v>
      </c>
      <c r="U10" s="30" t="s">
        <v>10228</v>
      </c>
      <c r="V10" s="6" t="s">
        <v>10237</v>
      </c>
      <c r="W10" s="6" t="s">
        <v>814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4073</v>
      </c>
      <c r="B11" s="6" t="s">
        <v>10238</v>
      </c>
      <c r="C11" s="256" t="n">
        <v>13.07</v>
      </c>
      <c r="D11" s="254"/>
      <c r="E11" s="254"/>
      <c r="F11" s="30" t="s">
        <v>1094</v>
      </c>
      <c r="G11" s="254" t="s">
        <v>10232</v>
      </c>
      <c r="H11" s="30" t="s">
        <v>1506</v>
      </c>
      <c r="I11" s="30" t="s">
        <v>9227</v>
      </c>
      <c r="J11" s="6" t="s">
        <v>10225</v>
      </c>
      <c r="K11" s="254" t="n">
        <v>2</v>
      </c>
      <c r="L11" s="254" t="s">
        <v>8580</v>
      </c>
      <c r="M11" s="6" t="s">
        <v>10226</v>
      </c>
      <c r="N11" s="254" t="s">
        <v>8593</v>
      </c>
      <c r="O11" s="30" t="s">
        <v>8583</v>
      </c>
      <c r="P11" s="30" t="s">
        <v>814</v>
      </c>
      <c r="Q11" s="30" t="s">
        <v>10227</v>
      </c>
      <c r="R11" s="30" t="s">
        <v>814</v>
      </c>
      <c r="S11" s="30" t="s">
        <v>814</v>
      </c>
      <c r="T11" s="30" t="s">
        <v>814</v>
      </c>
      <c r="U11" s="30" t="s">
        <v>10228</v>
      </c>
      <c r="V11" s="6" t="s">
        <v>10239</v>
      </c>
      <c r="W11" s="6" t="s">
        <v>10240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10241</v>
      </c>
      <c r="B12" s="6" t="s">
        <v>10242</v>
      </c>
      <c r="C12" s="256" t="n">
        <v>0.6</v>
      </c>
      <c r="D12" s="254"/>
      <c r="E12" s="254"/>
      <c r="F12" s="30" t="s">
        <v>121</v>
      </c>
      <c r="G12" s="30" t="s">
        <v>10243</v>
      </c>
      <c r="H12" s="30" t="s">
        <v>1506</v>
      </c>
      <c r="I12" s="30" t="s">
        <v>10244</v>
      </c>
      <c r="J12" s="6" t="s">
        <v>10225</v>
      </c>
      <c r="K12" s="254" t="n">
        <v>2</v>
      </c>
      <c r="L12" s="254" t="s">
        <v>8580</v>
      </c>
      <c r="M12" s="6" t="s">
        <v>10226</v>
      </c>
      <c r="N12" s="254" t="s">
        <v>8593</v>
      </c>
      <c r="O12" s="30" t="s">
        <v>8583</v>
      </c>
      <c r="P12" s="30" t="s">
        <v>814</v>
      </c>
      <c r="Q12" s="30" t="s">
        <v>10227</v>
      </c>
      <c r="R12" s="30" t="s">
        <v>814</v>
      </c>
      <c r="S12" s="30" t="s">
        <v>814</v>
      </c>
      <c r="T12" s="30" t="s">
        <v>814</v>
      </c>
      <c r="U12" s="30" t="s">
        <v>10228</v>
      </c>
      <c r="V12" s="6" t="s">
        <v>10239</v>
      </c>
      <c r="W12" s="6" t="s">
        <v>814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10245</v>
      </c>
      <c r="B13" s="6" t="s">
        <v>10246</v>
      </c>
      <c r="C13" s="256" t="n">
        <v>1.9</v>
      </c>
      <c r="D13" s="254"/>
      <c r="E13" s="254"/>
      <c r="F13" s="30" t="s">
        <v>121</v>
      </c>
      <c r="G13" s="254" t="s">
        <v>10247</v>
      </c>
      <c r="H13" s="30" t="s">
        <v>1506</v>
      </c>
      <c r="I13" s="30" t="s">
        <v>9227</v>
      </c>
      <c r="J13" s="6" t="s">
        <v>10225</v>
      </c>
      <c r="K13" s="254" t="n">
        <v>2</v>
      </c>
      <c r="L13" s="254" t="s">
        <v>8580</v>
      </c>
      <c r="M13" s="6" t="s">
        <v>10226</v>
      </c>
      <c r="N13" s="254" t="s">
        <v>8593</v>
      </c>
      <c r="O13" s="30" t="s">
        <v>8583</v>
      </c>
      <c r="P13" s="30" t="s">
        <v>814</v>
      </c>
      <c r="Q13" s="30" t="s">
        <v>10227</v>
      </c>
      <c r="R13" s="30" t="s">
        <v>814</v>
      </c>
      <c r="S13" s="30" t="s">
        <v>814</v>
      </c>
      <c r="T13" s="30" t="s">
        <v>814</v>
      </c>
      <c r="U13" s="30" t="s">
        <v>10228</v>
      </c>
      <c r="V13" s="6" t="s">
        <v>10239</v>
      </c>
      <c r="W13" s="6" t="s">
        <v>10248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6793</v>
      </c>
      <c r="B14" s="6" t="s">
        <v>10249</v>
      </c>
      <c r="C14" s="256" t="n">
        <v>6</v>
      </c>
      <c r="D14" s="254"/>
      <c r="E14" s="254"/>
      <c r="F14" s="30" t="s">
        <v>10250</v>
      </c>
      <c r="G14" s="254" t="s">
        <v>10251</v>
      </c>
      <c r="H14" s="30" t="s">
        <v>1506</v>
      </c>
      <c r="I14" s="30" t="s">
        <v>10252</v>
      </c>
      <c r="J14" s="6" t="s">
        <v>10253</v>
      </c>
      <c r="K14" s="254" t="n">
        <v>2</v>
      </c>
      <c r="L14" s="254" t="s">
        <v>8580</v>
      </c>
      <c r="M14" s="6" t="s">
        <v>10254</v>
      </c>
      <c r="N14" s="254" t="s">
        <v>8593</v>
      </c>
      <c r="O14" s="30" t="s">
        <v>8583</v>
      </c>
      <c r="P14" s="30" t="s">
        <v>814</v>
      </c>
      <c r="Q14" s="30" t="s">
        <v>10255</v>
      </c>
      <c r="R14" s="30" t="s">
        <v>814</v>
      </c>
      <c r="S14" s="30" t="s">
        <v>814</v>
      </c>
      <c r="T14" s="30" t="s">
        <v>814</v>
      </c>
      <c r="U14" s="30" t="s">
        <v>10256</v>
      </c>
      <c r="V14" s="6" t="s">
        <v>10257</v>
      </c>
      <c r="W14" s="6" t="s">
        <v>10258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6987</v>
      </c>
      <c r="B15" s="6" t="s">
        <v>10249</v>
      </c>
      <c r="C15" s="256" t="n">
        <v>15</v>
      </c>
      <c r="D15" s="254"/>
      <c r="E15" s="254"/>
      <c r="F15" s="30" t="s">
        <v>10250</v>
      </c>
      <c r="G15" s="254" t="s">
        <v>10259</v>
      </c>
      <c r="H15" s="30" t="s">
        <v>1506</v>
      </c>
      <c r="I15" s="30" t="s">
        <v>10260</v>
      </c>
      <c r="J15" s="6" t="s">
        <v>10261</v>
      </c>
      <c r="K15" s="254" t="n">
        <v>1</v>
      </c>
      <c r="L15" s="254" t="s">
        <v>8580</v>
      </c>
      <c r="M15" s="6" t="s">
        <v>10262</v>
      </c>
      <c r="N15" s="254" t="s">
        <v>8582</v>
      </c>
      <c r="O15" s="30" t="s">
        <v>8583</v>
      </c>
      <c r="P15" s="30" t="s">
        <v>814</v>
      </c>
      <c r="Q15" s="30" t="s">
        <v>10263</v>
      </c>
      <c r="R15" s="30" t="s">
        <v>814</v>
      </c>
      <c r="S15" s="30" t="s">
        <v>7535</v>
      </c>
      <c r="T15" s="30" t="s">
        <v>814</v>
      </c>
      <c r="U15" s="30" t="s">
        <v>10256</v>
      </c>
      <c r="V15" s="20" t="s">
        <v>10264</v>
      </c>
      <c r="W15" s="6" t="s">
        <v>10265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6801</v>
      </c>
      <c r="B16" s="6" t="s">
        <v>10266</v>
      </c>
      <c r="C16" s="256" t="n">
        <v>2.5</v>
      </c>
      <c r="D16" s="254"/>
      <c r="E16" s="254"/>
      <c r="F16" s="30" t="s">
        <v>1878</v>
      </c>
      <c r="G16" s="254" t="s">
        <v>10267</v>
      </c>
      <c r="H16" s="30" t="s">
        <v>1506</v>
      </c>
      <c r="I16" s="30" t="s">
        <v>10268</v>
      </c>
      <c r="J16" s="6" t="s">
        <v>10269</v>
      </c>
      <c r="K16" s="254" t="n">
        <v>2</v>
      </c>
      <c r="L16" s="254" t="s">
        <v>8580</v>
      </c>
      <c r="M16" s="6" t="s">
        <v>10254</v>
      </c>
      <c r="N16" s="254" t="s">
        <v>8593</v>
      </c>
      <c r="O16" s="30" t="s">
        <v>8583</v>
      </c>
      <c r="P16" s="30" t="s">
        <v>814</v>
      </c>
      <c r="Q16" s="30" t="s">
        <v>10270</v>
      </c>
      <c r="R16" s="30" t="s">
        <v>814</v>
      </c>
      <c r="S16" s="30" t="s">
        <v>814</v>
      </c>
      <c r="T16" s="30" t="s">
        <v>814</v>
      </c>
      <c r="U16" s="30" t="s">
        <v>10256</v>
      </c>
      <c r="V16" s="6" t="s">
        <v>10271</v>
      </c>
      <c r="W16" s="6" t="s">
        <v>10272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4182</v>
      </c>
      <c r="B17" s="20" t="s">
        <v>10273</v>
      </c>
      <c r="C17" s="254"/>
      <c r="D17" s="256" t="n">
        <v>10</v>
      </c>
      <c r="E17" s="256" t="n">
        <v>100</v>
      </c>
      <c r="F17" s="30" t="s">
        <v>1613</v>
      </c>
      <c r="G17" s="254" t="s">
        <v>10274</v>
      </c>
      <c r="H17" s="30" t="s">
        <v>10275</v>
      </c>
      <c r="I17" s="30" t="s">
        <v>9227</v>
      </c>
      <c r="J17" s="6" t="s">
        <v>10276</v>
      </c>
      <c r="K17" s="254" t="n">
        <v>1</v>
      </c>
      <c r="L17" s="254" t="s">
        <v>8687</v>
      </c>
      <c r="M17" s="6" t="s">
        <v>10277</v>
      </c>
      <c r="N17" s="254" t="s">
        <v>8582</v>
      </c>
      <c r="O17" s="30" t="s">
        <v>8583</v>
      </c>
      <c r="P17" s="30" t="s">
        <v>814</v>
      </c>
      <c r="Q17" s="30" t="s">
        <v>10278</v>
      </c>
      <c r="R17" s="30" t="s">
        <v>814</v>
      </c>
      <c r="S17" s="30" t="s">
        <v>7535</v>
      </c>
      <c r="T17" s="30" t="s">
        <v>814</v>
      </c>
      <c r="U17" s="30" t="s">
        <v>10256</v>
      </c>
      <c r="V17" s="6" t="s">
        <v>10279</v>
      </c>
      <c r="W17" s="20" t="s">
        <v>10280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5849</v>
      </c>
      <c r="B18" s="6" t="s">
        <v>10281</v>
      </c>
      <c r="C18" s="256" t="n">
        <v>6000</v>
      </c>
      <c r="D18" s="208"/>
      <c r="E18" s="208"/>
      <c r="F18" s="30" t="s">
        <v>10282</v>
      </c>
      <c r="G18" s="208" t="s">
        <v>10283</v>
      </c>
      <c r="H18" s="30" t="s">
        <v>10284</v>
      </c>
      <c r="I18" s="30" t="s">
        <v>10285</v>
      </c>
      <c r="J18" s="6" t="s">
        <v>10286</v>
      </c>
      <c r="K18" s="208" t="n">
        <v>1</v>
      </c>
      <c r="L18" s="208" t="s">
        <v>8580</v>
      </c>
      <c r="M18" s="6" t="s">
        <v>10287</v>
      </c>
      <c r="N18" s="208" t="s">
        <v>8582</v>
      </c>
      <c r="O18" s="30" t="s">
        <v>8583</v>
      </c>
      <c r="P18" s="30" t="s">
        <v>814</v>
      </c>
      <c r="Q18" s="30" t="s">
        <v>10288</v>
      </c>
      <c r="R18" s="30" t="s">
        <v>814</v>
      </c>
      <c r="S18" s="30" t="s">
        <v>814</v>
      </c>
      <c r="T18" s="30" t="s">
        <v>814</v>
      </c>
      <c r="U18" s="30" t="s">
        <v>9341</v>
      </c>
      <c r="V18" s="6" t="s">
        <v>814</v>
      </c>
      <c r="W18" s="6" t="s">
        <v>10289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10290</v>
      </c>
      <c r="B19" s="6" t="s">
        <v>10291</v>
      </c>
      <c r="C19" s="256" t="n">
        <v>400</v>
      </c>
      <c r="D19" s="208"/>
      <c r="E19" s="208"/>
      <c r="F19" s="30" t="s">
        <v>10282</v>
      </c>
      <c r="G19" s="208" t="s">
        <v>10292</v>
      </c>
      <c r="H19" s="30" t="s">
        <v>10284</v>
      </c>
      <c r="I19" s="30" t="s">
        <v>10285</v>
      </c>
      <c r="J19" s="6" t="s">
        <v>10286</v>
      </c>
      <c r="K19" s="208" t="n">
        <v>1</v>
      </c>
      <c r="L19" s="208" t="s">
        <v>8580</v>
      </c>
      <c r="M19" s="6" t="s">
        <v>10287</v>
      </c>
      <c r="N19" s="208" t="s">
        <v>8582</v>
      </c>
      <c r="O19" s="30" t="s">
        <v>8583</v>
      </c>
      <c r="P19" s="30" t="s">
        <v>814</v>
      </c>
      <c r="Q19" s="30" t="s">
        <v>10288</v>
      </c>
      <c r="R19" s="30" t="s">
        <v>814</v>
      </c>
      <c r="S19" s="30" t="s">
        <v>814</v>
      </c>
      <c r="T19" s="30" t="s">
        <v>814</v>
      </c>
      <c r="U19" s="30" t="s">
        <v>9341</v>
      </c>
      <c r="V19" s="6" t="s">
        <v>814</v>
      </c>
      <c r="W19" s="6" t="s">
        <v>10293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10294</v>
      </c>
      <c r="B20" s="6" t="s">
        <v>10295</v>
      </c>
      <c r="C20" s="256" t="n">
        <v>3.5</v>
      </c>
      <c r="D20" s="256" t="n">
        <v>3</v>
      </c>
      <c r="E20" s="256" t="n">
        <v>4</v>
      </c>
      <c r="F20" s="208" t="s">
        <v>10296</v>
      </c>
      <c r="G20" s="208" t="s">
        <v>10297</v>
      </c>
      <c r="H20" s="30" t="s">
        <v>10284</v>
      </c>
      <c r="I20" s="30" t="s">
        <v>10285</v>
      </c>
      <c r="J20" s="6" t="s">
        <v>10286</v>
      </c>
      <c r="K20" s="208" t="n">
        <v>1</v>
      </c>
      <c r="L20" s="208" t="s">
        <v>8580</v>
      </c>
      <c r="M20" s="6" t="s">
        <v>10287</v>
      </c>
      <c r="N20" s="208" t="s">
        <v>8582</v>
      </c>
      <c r="O20" s="30" t="s">
        <v>8583</v>
      </c>
      <c r="P20" s="30" t="s">
        <v>814</v>
      </c>
      <c r="Q20" s="30" t="s">
        <v>10288</v>
      </c>
      <c r="R20" s="30" t="s">
        <v>814</v>
      </c>
      <c r="S20" s="30" t="s">
        <v>814</v>
      </c>
      <c r="T20" s="30" t="s">
        <v>814</v>
      </c>
      <c r="U20" s="30" t="s">
        <v>9341</v>
      </c>
      <c r="V20" s="6" t="s">
        <v>814</v>
      </c>
      <c r="W20" s="6" t="s">
        <v>10298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10299</v>
      </c>
      <c r="B21" s="6" t="s">
        <v>10300</v>
      </c>
      <c r="C21" s="256" t="n">
        <v>0.5</v>
      </c>
      <c r="D21" s="256" t="n">
        <v>0.5</v>
      </c>
      <c r="E21" s="208"/>
      <c r="F21" s="30" t="s">
        <v>131</v>
      </c>
      <c r="G21" s="208" t="s">
        <v>10301</v>
      </c>
      <c r="H21" s="30" t="s">
        <v>10284</v>
      </c>
      <c r="I21" s="30" t="s">
        <v>10285</v>
      </c>
      <c r="J21" s="6" t="s">
        <v>10286</v>
      </c>
      <c r="K21" s="208" t="n">
        <v>1</v>
      </c>
      <c r="L21" s="208" t="s">
        <v>8580</v>
      </c>
      <c r="M21" s="6" t="s">
        <v>10287</v>
      </c>
      <c r="N21" s="208" t="s">
        <v>8582</v>
      </c>
      <c r="O21" s="30" t="s">
        <v>8583</v>
      </c>
      <c r="P21" s="30" t="s">
        <v>814</v>
      </c>
      <c r="Q21" s="30" t="s">
        <v>10288</v>
      </c>
      <c r="R21" s="30" t="s">
        <v>814</v>
      </c>
      <c r="S21" s="30" t="s">
        <v>814</v>
      </c>
      <c r="T21" s="30" t="s">
        <v>814</v>
      </c>
      <c r="U21" s="30" t="s">
        <v>9341</v>
      </c>
      <c r="V21" s="6" t="s">
        <v>814</v>
      </c>
      <c r="W21" s="6" t="s">
        <v>10302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10303</v>
      </c>
      <c r="B22" s="6" t="s">
        <v>10304</v>
      </c>
      <c r="C22" s="256" t="n">
        <v>12.6</v>
      </c>
      <c r="D22" s="256" t="n">
        <v>12.3</v>
      </c>
      <c r="E22" s="256" t="n">
        <v>13</v>
      </c>
      <c r="F22" s="30" t="s">
        <v>1094</v>
      </c>
      <c r="G22" s="30" t="s">
        <v>10305</v>
      </c>
      <c r="H22" s="30" t="s">
        <v>1506</v>
      </c>
      <c r="I22" s="30" t="s">
        <v>9227</v>
      </c>
      <c r="J22" s="6" t="s">
        <v>10306</v>
      </c>
      <c r="K22" s="208" t="n">
        <v>2</v>
      </c>
      <c r="L22" s="208" t="s">
        <v>8580</v>
      </c>
      <c r="M22" s="6" t="s">
        <v>10307</v>
      </c>
      <c r="N22" s="208" t="s">
        <v>10308</v>
      </c>
      <c r="O22" s="30" t="s">
        <v>8583</v>
      </c>
      <c r="P22" s="30" t="s">
        <v>814</v>
      </c>
      <c r="Q22" s="30" t="s">
        <v>10309</v>
      </c>
      <c r="R22" s="30" t="s">
        <v>814</v>
      </c>
      <c r="S22" s="30" t="s">
        <v>814</v>
      </c>
      <c r="T22" s="30" t="s">
        <v>814</v>
      </c>
      <c r="U22" s="30" t="s">
        <v>10310</v>
      </c>
      <c r="V22" s="6" t="s">
        <v>10311</v>
      </c>
      <c r="W22" s="6" t="s">
        <v>10312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1591</v>
      </c>
      <c r="B23" s="6" t="s">
        <v>10313</v>
      </c>
      <c r="C23" s="256" t="n">
        <v>50</v>
      </c>
      <c r="D23" s="208"/>
      <c r="E23" s="208"/>
      <c r="F23" s="208" t="s">
        <v>1580</v>
      </c>
      <c r="G23" s="208" t="s">
        <v>10314</v>
      </c>
      <c r="H23" s="30" t="s">
        <v>10315</v>
      </c>
      <c r="I23" s="30" t="s">
        <v>10316</v>
      </c>
      <c r="J23" s="6" t="s">
        <v>10317</v>
      </c>
      <c r="K23" s="208" t="n">
        <v>1</v>
      </c>
      <c r="L23" s="208" t="s">
        <v>8580</v>
      </c>
      <c r="M23" s="6" t="s">
        <v>10318</v>
      </c>
      <c r="N23" s="208" t="s">
        <v>8582</v>
      </c>
      <c r="O23" s="30" t="s">
        <v>8583</v>
      </c>
      <c r="P23" s="30" t="s">
        <v>814</v>
      </c>
      <c r="Q23" s="30" t="s">
        <v>10319</v>
      </c>
      <c r="R23" s="30" t="s">
        <v>814</v>
      </c>
      <c r="S23" s="30" t="s">
        <v>814</v>
      </c>
      <c r="T23" s="30" t="s">
        <v>814</v>
      </c>
      <c r="U23" s="30" t="s">
        <v>10320</v>
      </c>
      <c r="V23" s="6" t="s">
        <v>10321</v>
      </c>
      <c r="W23" s="6" t="s">
        <v>10322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10323</v>
      </c>
      <c r="B24" s="6" t="s">
        <v>10324</v>
      </c>
      <c r="C24" s="256" t="n">
        <v>9</v>
      </c>
      <c r="D24" s="208"/>
      <c r="E24" s="208"/>
      <c r="F24" s="208" t="s">
        <v>1580</v>
      </c>
      <c r="G24" s="208" t="s">
        <v>10325</v>
      </c>
      <c r="H24" s="30" t="s">
        <v>10315</v>
      </c>
      <c r="I24" s="30" t="s">
        <v>10316</v>
      </c>
      <c r="J24" s="6" t="s">
        <v>10317</v>
      </c>
      <c r="K24" s="208" t="n">
        <v>1</v>
      </c>
      <c r="L24" s="208" t="s">
        <v>8580</v>
      </c>
      <c r="M24" s="6" t="s">
        <v>10318</v>
      </c>
      <c r="N24" s="208" t="s">
        <v>8582</v>
      </c>
      <c r="O24" s="30" t="s">
        <v>8583</v>
      </c>
      <c r="P24" s="30" t="s">
        <v>814</v>
      </c>
      <c r="Q24" s="30" t="s">
        <v>10319</v>
      </c>
      <c r="R24" s="30" t="s">
        <v>814</v>
      </c>
      <c r="S24" s="30" t="s">
        <v>814</v>
      </c>
      <c r="T24" s="30" t="s">
        <v>814</v>
      </c>
      <c r="U24" s="30" t="s">
        <v>10320</v>
      </c>
      <c r="V24" s="246" t="s">
        <v>10326</v>
      </c>
      <c r="W24" s="6" t="s">
        <v>10327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10328</v>
      </c>
      <c r="B25" s="6" t="s">
        <v>10329</v>
      </c>
      <c r="C25" s="256" t="n">
        <v>1.6</v>
      </c>
      <c r="D25" s="208"/>
      <c r="E25" s="208"/>
      <c r="F25" s="208" t="s">
        <v>1580</v>
      </c>
      <c r="G25" s="208" t="s">
        <v>10330</v>
      </c>
      <c r="H25" s="30" t="s">
        <v>10331</v>
      </c>
      <c r="I25" s="30" t="s">
        <v>10316</v>
      </c>
      <c r="J25" s="6" t="s">
        <v>10317</v>
      </c>
      <c r="K25" s="208" t="n">
        <v>1</v>
      </c>
      <c r="L25" s="208" t="s">
        <v>8580</v>
      </c>
      <c r="M25" s="6" t="s">
        <v>10318</v>
      </c>
      <c r="N25" s="208" t="s">
        <v>8582</v>
      </c>
      <c r="O25" s="30" t="s">
        <v>8583</v>
      </c>
      <c r="P25" s="30" t="s">
        <v>814</v>
      </c>
      <c r="Q25" s="30" t="s">
        <v>10319</v>
      </c>
      <c r="R25" s="30" t="s">
        <v>814</v>
      </c>
      <c r="S25" s="30" t="s">
        <v>814</v>
      </c>
      <c r="T25" s="30" t="s">
        <v>814</v>
      </c>
      <c r="U25" s="30" t="s">
        <v>10320</v>
      </c>
      <c r="V25" s="246" t="s">
        <v>10326</v>
      </c>
      <c r="W25" s="6" t="s">
        <v>10332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10333</v>
      </c>
      <c r="B26" s="6" t="s">
        <v>10334</v>
      </c>
      <c r="C26" s="256" t="n">
        <v>2</v>
      </c>
      <c r="D26" s="208"/>
      <c r="E26" s="208"/>
      <c r="F26" s="30" t="s">
        <v>10335</v>
      </c>
      <c r="G26" s="208" t="s">
        <v>10336</v>
      </c>
      <c r="H26" s="30" t="s">
        <v>1506</v>
      </c>
      <c r="I26" s="30" t="s">
        <v>10260</v>
      </c>
      <c r="J26" s="6" t="s">
        <v>10337</v>
      </c>
      <c r="K26" s="208" t="n">
        <v>1</v>
      </c>
      <c r="L26" s="208" t="s">
        <v>8580</v>
      </c>
      <c r="M26" s="6" t="s">
        <v>10318</v>
      </c>
      <c r="N26" s="208" t="s">
        <v>8582</v>
      </c>
      <c r="O26" s="30" t="s">
        <v>8583</v>
      </c>
      <c r="P26" s="30" t="s">
        <v>814</v>
      </c>
      <c r="Q26" s="30" t="s">
        <v>10338</v>
      </c>
      <c r="R26" s="30" t="s">
        <v>814</v>
      </c>
      <c r="S26" s="30" t="s">
        <v>814</v>
      </c>
      <c r="T26" s="30" t="s">
        <v>814</v>
      </c>
      <c r="U26" s="30" t="s">
        <v>10320</v>
      </c>
      <c r="V26" s="246" t="s">
        <v>10326</v>
      </c>
      <c r="W26" s="6" t="s">
        <v>10339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6975</v>
      </c>
      <c r="B27" s="6" t="s">
        <v>10340</v>
      </c>
      <c r="C27" s="256" t="n">
        <v>0.4</v>
      </c>
      <c r="D27" s="208"/>
      <c r="E27" s="208"/>
      <c r="F27" s="30" t="s">
        <v>131</v>
      </c>
      <c r="G27" s="208" t="s">
        <v>10341</v>
      </c>
      <c r="H27" s="30" t="s">
        <v>1506</v>
      </c>
      <c r="I27" s="30" t="s">
        <v>10260</v>
      </c>
      <c r="J27" s="6" t="s">
        <v>10337</v>
      </c>
      <c r="K27" s="208" t="n">
        <v>1</v>
      </c>
      <c r="L27" s="208" t="s">
        <v>8580</v>
      </c>
      <c r="M27" s="6" t="s">
        <v>10318</v>
      </c>
      <c r="N27" s="208" t="s">
        <v>8582</v>
      </c>
      <c r="O27" s="30" t="s">
        <v>8583</v>
      </c>
      <c r="P27" s="30" t="s">
        <v>814</v>
      </c>
      <c r="Q27" s="30" t="s">
        <v>10338</v>
      </c>
      <c r="R27" s="30" t="s">
        <v>814</v>
      </c>
      <c r="S27" s="30" t="s">
        <v>814</v>
      </c>
      <c r="T27" s="30" t="s">
        <v>814</v>
      </c>
      <c r="U27" s="30" t="s">
        <v>10320</v>
      </c>
      <c r="V27" s="246" t="s">
        <v>10326</v>
      </c>
      <c r="W27" s="6" t="s">
        <v>10342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1581</v>
      </c>
      <c r="B28" s="6" t="s">
        <v>10313</v>
      </c>
      <c r="C28" s="256" t="n">
        <v>15.5</v>
      </c>
      <c r="D28" s="208"/>
      <c r="E28" s="208"/>
      <c r="F28" s="208" t="s">
        <v>1580</v>
      </c>
      <c r="G28" s="208" t="s">
        <v>10343</v>
      </c>
      <c r="H28" s="30" t="s">
        <v>10315</v>
      </c>
      <c r="I28" s="30" t="s">
        <v>10344</v>
      </c>
      <c r="J28" s="6" t="s">
        <v>10345</v>
      </c>
      <c r="K28" s="208" t="n">
        <v>2</v>
      </c>
      <c r="L28" s="208" t="s">
        <v>8580</v>
      </c>
      <c r="M28" s="6" t="s">
        <v>10346</v>
      </c>
      <c r="N28" s="208" t="s">
        <v>8593</v>
      </c>
      <c r="O28" s="30" t="s">
        <v>8583</v>
      </c>
      <c r="P28" s="30" t="s">
        <v>814</v>
      </c>
      <c r="Q28" s="30" t="s">
        <v>10347</v>
      </c>
      <c r="R28" s="30" t="s">
        <v>814</v>
      </c>
      <c r="S28" s="30" t="s">
        <v>814</v>
      </c>
      <c r="T28" s="30" t="s">
        <v>814</v>
      </c>
      <c r="U28" s="30" t="s">
        <v>10320</v>
      </c>
      <c r="V28" s="6" t="s">
        <v>10348</v>
      </c>
      <c r="W28" s="6" t="s">
        <v>10349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1584</v>
      </c>
      <c r="B29" s="6" t="s">
        <v>10313</v>
      </c>
      <c r="C29" s="256" t="n">
        <v>20</v>
      </c>
      <c r="D29" s="208"/>
      <c r="E29" s="208"/>
      <c r="F29" s="208" t="s">
        <v>1580</v>
      </c>
      <c r="G29" s="208" t="s">
        <v>10350</v>
      </c>
      <c r="H29" s="30" t="s">
        <v>10315</v>
      </c>
      <c r="I29" s="30" t="s">
        <v>10344</v>
      </c>
      <c r="J29" s="6" t="s">
        <v>10351</v>
      </c>
      <c r="K29" s="208" t="n">
        <v>2</v>
      </c>
      <c r="L29" s="208" t="s">
        <v>8580</v>
      </c>
      <c r="M29" s="6" t="s">
        <v>10346</v>
      </c>
      <c r="N29" s="208" t="s">
        <v>8593</v>
      </c>
      <c r="O29" s="30" t="s">
        <v>8583</v>
      </c>
      <c r="P29" s="30" t="s">
        <v>814</v>
      </c>
      <c r="Q29" s="30" t="s">
        <v>10347</v>
      </c>
      <c r="R29" s="30" t="s">
        <v>814</v>
      </c>
      <c r="S29" s="30" t="s">
        <v>814</v>
      </c>
      <c r="T29" s="30" t="s">
        <v>814</v>
      </c>
      <c r="U29" s="30" t="s">
        <v>10320</v>
      </c>
      <c r="V29" s="6" t="s">
        <v>10352</v>
      </c>
      <c r="W29" s="6" t="s">
        <v>10353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1587</v>
      </c>
      <c r="B30" s="6" t="s">
        <v>10313</v>
      </c>
      <c r="C30" s="256" t="n">
        <v>35</v>
      </c>
      <c r="D30" s="208"/>
      <c r="E30" s="208"/>
      <c r="F30" s="208" t="s">
        <v>1580</v>
      </c>
      <c r="G30" s="208" t="s">
        <v>10354</v>
      </c>
      <c r="H30" s="30" t="s">
        <v>10315</v>
      </c>
      <c r="I30" s="30" t="s">
        <v>10355</v>
      </c>
      <c r="J30" s="6" t="s">
        <v>10356</v>
      </c>
      <c r="K30" s="208" t="n">
        <v>2</v>
      </c>
      <c r="L30" s="208" t="s">
        <v>8580</v>
      </c>
      <c r="M30" s="6" t="s">
        <v>10357</v>
      </c>
      <c r="N30" s="208" t="s">
        <v>8593</v>
      </c>
      <c r="O30" s="30" t="s">
        <v>8583</v>
      </c>
      <c r="P30" s="30" t="s">
        <v>814</v>
      </c>
      <c r="Q30" s="30" t="s">
        <v>10358</v>
      </c>
      <c r="R30" s="30" t="s">
        <v>814</v>
      </c>
      <c r="S30" s="30" t="s">
        <v>814</v>
      </c>
      <c r="T30" s="30" t="s">
        <v>814</v>
      </c>
      <c r="U30" s="30" t="s">
        <v>10320</v>
      </c>
      <c r="V30" s="6" t="s">
        <v>10352</v>
      </c>
      <c r="W30" s="6" t="s">
        <v>10359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10360</v>
      </c>
      <c r="B31" s="6" t="s">
        <v>10324</v>
      </c>
      <c r="C31" s="256" t="n">
        <v>2</v>
      </c>
      <c r="D31" s="208"/>
      <c r="E31" s="208"/>
      <c r="F31" s="208" t="s">
        <v>1580</v>
      </c>
      <c r="G31" s="208" t="s">
        <v>10361</v>
      </c>
      <c r="H31" s="30" t="s">
        <v>10315</v>
      </c>
      <c r="I31" s="30" t="s">
        <v>10362</v>
      </c>
      <c r="J31" s="6" t="s">
        <v>10363</v>
      </c>
      <c r="K31" s="208" t="n">
        <v>2</v>
      </c>
      <c r="L31" s="208" t="s">
        <v>8580</v>
      </c>
      <c r="M31" s="6" t="s">
        <v>10364</v>
      </c>
      <c r="N31" s="208" t="s">
        <v>8593</v>
      </c>
      <c r="O31" s="30" t="s">
        <v>8583</v>
      </c>
      <c r="P31" s="30" t="s">
        <v>814</v>
      </c>
      <c r="Q31" s="30" t="s">
        <v>10365</v>
      </c>
      <c r="R31" s="30" t="s">
        <v>814</v>
      </c>
      <c r="S31" s="30" t="s">
        <v>814</v>
      </c>
      <c r="T31" s="30" t="s">
        <v>814</v>
      </c>
      <c r="U31" s="30" t="s">
        <v>10320</v>
      </c>
      <c r="V31" s="246" t="s">
        <v>10326</v>
      </c>
      <c r="W31" s="6" t="s">
        <v>10366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10367</v>
      </c>
      <c r="B32" s="6" t="s">
        <v>10324</v>
      </c>
      <c r="C32" s="256" t="n">
        <v>3</v>
      </c>
      <c r="D32" s="208"/>
      <c r="E32" s="208"/>
      <c r="F32" s="208" t="s">
        <v>1580</v>
      </c>
      <c r="G32" s="208" t="s">
        <v>10368</v>
      </c>
      <c r="H32" s="30" t="s">
        <v>10315</v>
      </c>
      <c r="I32" s="30" t="s">
        <v>10369</v>
      </c>
      <c r="J32" s="6" t="s">
        <v>10370</v>
      </c>
      <c r="K32" s="208" t="n">
        <v>2</v>
      </c>
      <c r="L32" s="208" t="s">
        <v>8580</v>
      </c>
      <c r="M32" s="6" t="s">
        <v>10371</v>
      </c>
      <c r="N32" s="208" t="s">
        <v>8593</v>
      </c>
      <c r="O32" s="30" t="s">
        <v>8583</v>
      </c>
      <c r="P32" s="30" t="s">
        <v>814</v>
      </c>
      <c r="Q32" s="30" t="s">
        <v>10365</v>
      </c>
      <c r="R32" s="30" t="s">
        <v>814</v>
      </c>
      <c r="S32" s="30" t="s">
        <v>814</v>
      </c>
      <c r="T32" s="30" t="s">
        <v>814</v>
      </c>
      <c r="U32" s="30" t="s">
        <v>10320</v>
      </c>
      <c r="V32" s="246" t="s">
        <v>10326</v>
      </c>
      <c r="W32" s="6" t="s">
        <v>10372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10373</v>
      </c>
      <c r="B33" s="6" t="s">
        <v>10324</v>
      </c>
      <c r="C33" s="256" t="n">
        <v>5</v>
      </c>
      <c r="D33" s="208"/>
      <c r="E33" s="208"/>
      <c r="F33" s="208" t="s">
        <v>1580</v>
      </c>
      <c r="G33" s="208" t="s">
        <v>10374</v>
      </c>
      <c r="H33" s="30" t="s">
        <v>10315</v>
      </c>
      <c r="I33" s="30" t="s">
        <v>9020</v>
      </c>
      <c r="J33" s="6" t="s">
        <v>10375</v>
      </c>
      <c r="K33" s="208" t="n">
        <v>2</v>
      </c>
      <c r="L33" s="208" t="s">
        <v>8580</v>
      </c>
      <c r="M33" s="6" t="s">
        <v>10376</v>
      </c>
      <c r="N33" s="208" t="s">
        <v>8593</v>
      </c>
      <c r="O33" s="30" t="s">
        <v>8583</v>
      </c>
      <c r="P33" s="30" t="s">
        <v>814</v>
      </c>
      <c r="Q33" s="30" t="s">
        <v>10365</v>
      </c>
      <c r="R33" s="30" t="s">
        <v>814</v>
      </c>
      <c r="S33" s="30" t="s">
        <v>814</v>
      </c>
      <c r="T33" s="30" t="s">
        <v>814</v>
      </c>
      <c r="U33" s="30" t="s">
        <v>10320</v>
      </c>
      <c r="V33" s="246" t="s">
        <v>10326</v>
      </c>
      <c r="W33" s="6" t="s">
        <v>10377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10378</v>
      </c>
      <c r="B34" s="6" t="s">
        <v>10379</v>
      </c>
      <c r="C34" s="256" t="n">
        <v>7</v>
      </c>
      <c r="D34" s="208"/>
      <c r="E34" s="208"/>
      <c r="F34" s="208" t="s">
        <v>1580</v>
      </c>
      <c r="G34" s="208" t="s">
        <v>10380</v>
      </c>
      <c r="H34" s="30" t="s">
        <v>10315</v>
      </c>
      <c r="I34" s="30" t="s">
        <v>10381</v>
      </c>
      <c r="J34" s="6" t="s">
        <v>10382</v>
      </c>
      <c r="K34" s="208" t="n">
        <v>1</v>
      </c>
      <c r="L34" s="208" t="s">
        <v>8580</v>
      </c>
      <c r="M34" s="6" t="s">
        <v>10318</v>
      </c>
      <c r="N34" s="208" t="s">
        <v>8582</v>
      </c>
      <c r="O34" s="30" t="s">
        <v>8583</v>
      </c>
      <c r="P34" s="30" t="s">
        <v>814</v>
      </c>
      <c r="Q34" s="30" t="s">
        <v>10365</v>
      </c>
      <c r="R34" s="30" t="s">
        <v>814</v>
      </c>
      <c r="S34" s="30" t="s">
        <v>814</v>
      </c>
      <c r="T34" s="30" t="s">
        <v>814</v>
      </c>
      <c r="U34" s="30" t="s">
        <v>10320</v>
      </c>
      <c r="V34" s="246" t="s">
        <v>10326</v>
      </c>
      <c r="W34" s="6" t="s">
        <v>10383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10384</v>
      </c>
      <c r="B35" s="6" t="s">
        <v>10385</v>
      </c>
      <c r="C35" s="256" t="n">
        <v>4</v>
      </c>
      <c r="D35" s="208"/>
      <c r="E35" s="208"/>
      <c r="F35" s="208" t="s">
        <v>1580</v>
      </c>
      <c r="G35" s="208" t="s">
        <v>10386</v>
      </c>
      <c r="H35" s="30" t="s">
        <v>10024</v>
      </c>
      <c r="I35" s="30" t="s">
        <v>10252</v>
      </c>
      <c r="J35" s="6" t="s">
        <v>10387</v>
      </c>
      <c r="K35" s="208" t="n">
        <v>2</v>
      </c>
      <c r="L35" s="208" t="s">
        <v>8580</v>
      </c>
      <c r="M35" s="6" t="s">
        <v>10388</v>
      </c>
      <c r="N35" s="208" t="s">
        <v>8593</v>
      </c>
      <c r="O35" s="30" t="s">
        <v>8583</v>
      </c>
      <c r="P35" s="30" t="s">
        <v>814</v>
      </c>
      <c r="Q35" s="30" t="s">
        <v>10389</v>
      </c>
      <c r="R35" s="30" t="s">
        <v>814</v>
      </c>
      <c r="S35" s="30" t="s">
        <v>814</v>
      </c>
      <c r="T35" s="30" t="s">
        <v>814</v>
      </c>
      <c r="U35" s="30" t="s">
        <v>10320</v>
      </c>
      <c r="V35" s="246" t="s">
        <v>10390</v>
      </c>
      <c r="W35" s="6" t="s">
        <v>10391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10392</v>
      </c>
      <c r="B36" s="6" t="s">
        <v>10393</v>
      </c>
      <c r="C36" s="256" t="n">
        <v>300000</v>
      </c>
      <c r="D36" s="208"/>
      <c r="E36" s="208"/>
      <c r="F36" s="208" t="s">
        <v>10394</v>
      </c>
      <c r="G36" s="208" t="s">
        <v>10395</v>
      </c>
      <c r="H36" s="30" t="s">
        <v>1517</v>
      </c>
      <c r="I36" s="30" t="s">
        <v>10396</v>
      </c>
      <c r="J36" s="6" t="s">
        <v>10397</v>
      </c>
      <c r="K36" s="208" t="n">
        <v>1</v>
      </c>
      <c r="L36" s="208" t="s">
        <v>8580</v>
      </c>
      <c r="M36" s="6" t="s">
        <v>10398</v>
      </c>
      <c r="N36" s="208" t="s">
        <v>8582</v>
      </c>
      <c r="O36" s="30" t="s">
        <v>8583</v>
      </c>
      <c r="P36" s="30" t="s">
        <v>814</v>
      </c>
      <c r="Q36" s="30" t="s">
        <v>10399</v>
      </c>
      <c r="R36" s="30" t="s">
        <v>814</v>
      </c>
      <c r="S36" s="30" t="s">
        <v>814</v>
      </c>
      <c r="T36" s="30" t="s">
        <v>814</v>
      </c>
      <c r="U36" s="30" t="s">
        <v>10320</v>
      </c>
      <c r="V36" s="246" t="s">
        <v>10400</v>
      </c>
      <c r="W36" s="6" t="s">
        <v>10401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10402</v>
      </c>
      <c r="B37" s="6" t="s">
        <v>10403</v>
      </c>
      <c r="C37" s="256" t="n">
        <v>500</v>
      </c>
      <c r="D37" s="208"/>
      <c r="E37" s="208"/>
      <c r="F37" s="208" t="s">
        <v>10394</v>
      </c>
      <c r="G37" s="208" t="s">
        <v>10404</v>
      </c>
      <c r="H37" s="30" t="s">
        <v>1517</v>
      </c>
      <c r="I37" s="30" t="s">
        <v>10405</v>
      </c>
      <c r="J37" s="6" t="s">
        <v>10406</v>
      </c>
      <c r="K37" s="208" t="n">
        <v>1</v>
      </c>
      <c r="L37" s="208" t="s">
        <v>8580</v>
      </c>
      <c r="M37" s="6" t="s">
        <v>10398</v>
      </c>
      <c r="N37" s="208" t="s">
        <v>8582</v>
      </c>
      <c r="O37" s="30" t="s">
        <v>8583</v>
      </c>
      <c r="P37" s="30" t="s">
        <v>814</v>
      </c>
      <c r="Q37" s="30" t="s">
        <v>10399</v>
      </c>
      <c r="R37" s="30" t="s">
        <v>814</v>
      </c>
      <c r="S37" s="30" t="s">
        <v>814</v>
      </c>
      <c r="T37" s="30" t="s">
        <v>814</v>
      </c>
      <c r="U37" s="30" t="s">
        <v>10320</v>
      </c>
      <c r="V37" s="246" t="s">
        <v>10407</v>
      </c>
      <c r="W37" s="6" t="s">
        <v>10408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10409</v>
      </c>
      <c r="B38" s="6" t="s">
        <v>10410</v>
      </c>
      <c r="C38" s="256" t="n">
        <v>3.8</v>
      </c>
      <c r="D38" s="208"/>
      <c r="E38" s="208"/>
      <c r="F38" s="30" t="s">
        <v>1094</v>
      </c>
      <c r="G38" s="30" t="s">
        <v>10411</v>
      </c>
      <c r="H38" s="30" t="s">
        <v>1517</v>
      </c>
      <c r="I38" s="30" t="s">
        <v>9634</v>
      </c>
      <c r="J38" s="6" t="s">
        <v>10412</v>
      </c>
      <c r="K38" s="208" t="n">
        <v>2</v>
      </c>
      <c r="L38" s="208" t="s">
        <v>8580</v>
      </c>
      <c r="M38" s="6" t="s">
        <v>10413</v>
      </c>
      <c r="N38" s="208" t="s">
        <v>8593</v>
      </c>
      <c r="O38" s="30" t="s">
        <v>8583</v>
      </c>
      <c r="P38" s="30" t="s">
        <v>814</v>
      </c>
      <c r="Q38" s="30" t="s">
        <v>10414</v>
      </c>
      <c r="R38" s="30" t="s">
        <v>814</v>
      </c>
      <c r="S38" s="30" t="s">
        <v>814</v>
      </c>
      <c r="T38" s="30" t="s">
        <v>814</v>
      </c>
      <c r="U38" s="30" t="s">
        <v>10320</v>
      </c>
      <c r="V38" s="246" t="s">
        <v>10415</v>
      </c>
      <c r="W38" s="6" t="s">
        <v>10416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10417</v>
      </c>
      <c r="B39" s="6" t="s">
        <v>10418</v>
      </c>
      <c r="C39" s="256" t="n">
        <v>0.789</v>
      </c>
      <c r="D39" s="208"/>
      <c r="E39" s="208"/>
      <c r="F39" s="30" t="s">
        <v>1094</v>
      </c>
      <c r="G39" s="30" t="s">
        <v>10419</v>
      </c>
      <c r="H39" s="30" t="s">
        <v>1517</v>
      </c>
      <c r="I39" s="30" t="s">
        <v>9634</v>
      </c>
      <c r="J39" s="6" t="s">
        <v>10412</v>
      </c>
      <c r="K39" s="208" t="n">
        <v>2</v>
      </c>
      <c r="L39" s="208" t="s">
        <v>8580</v>
      </c>
      <c r="M39" s="6" t="s">
        <v>10413</v>
      </c>
      <c r="N39" s="208" t="s">
        <v>8593</v>
      </c>
      <c r="O39" s="30" t="s">
        <v>8583</v>
      </c>
      <c r="P39" s="30" t="s">
        <v>814</v>
      </c>
      <c r="Q39" s="30" t="s">
        <v>10414</v>
      </c>
      <c r="R39" s="30" t="s">
        <v>814</v>
      </c>
      <c r="S39" s="30" t="s">
        <v>814</v>
      </c>
      <c r="T39" s="30" t="s">
        <v>814</v>
      </c>
      <c r="U39" s="30" t="s">
        <v>10320</v>
      </c>
      <c r="V39" s="246" t="s">
        <v>10420</v>
      </c>
      <c r="W39" s="6" t="s">
        <v>10416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10421</v>
      </c>
      <c r="B40" s="6" t="s">
        <v>10422</v>
      </c>
      <c r="C40" s="256" t="n">
        <v>2.16</v>
      </c>
      <c r="D40" s="208"/>
      <c r="E40" s="208"/>
      <c r="F40" s="30" t="s">
        <v>1094</v>
      </c>
      <c r="G40" s="30" t="s">
        <v>10423</v>
      </c>
      <c r="H40" s="30" t="s">
        <v>1517</v>
      </c>
      <c r="I40" s="30" t="s">
        <v>9634</v>
      </c>
      <c r="J40" s="6" t="s">
        <v>10412</v>
      </c>
      <c r="K40" s="208" t="n">
        <v>2</v>
      </c>
      <c r="L40" s="208" t="s">
        <v>8580</v>
      </c>
      <c r="M40" s="6" t="s">
        <v>10413</v>
      </c>
      <c r="N40" s="208" t="s">
        <v>8593</v>
      </c>
      <c r="O40" s="30" t="s">
        <v>8583</v>
      </c>
      <c r="P40" s="30" t="s">
        <v>814</v>
      </c>
      <c r="Q40" s="30" t="s">
        <v>10414</v>
      </c>
      <c r="R40" s="30" t="s">
        <v>814</v>
      </c>
      <c r="S40" s="30" t="s">
        <v>814</v>
      </c>
      <c r="T40" s="30" t="s">
        <v>814</v>
      </c>
      <c r="U40" s="30" t="s">
        <v>10320</v>
      </c>
      <c r="V40" s="246" t="s">
        <v>10420</v>
      </c>
      <c r="W40" s="6" t="s">
        <v>10416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10424</v>
      </c>
      <c r="B41" s="6" t="s">
        <v>10425</v>
      </c>
      <c r="C41" s="256" t="n">
        <v>0.351</v>
      </c>
      <c r="D41" s="208"/>
      <c r="E41" s="208"/>
      <c r="F41" s="30" t="s">
        <v>1094</v>
      </c>
      <c r="G41" s="30" t="s">
        <v>10426</v>
      </c>
      <c r="H41" s="30" t="s">
        <v>1517</v>
      </c>
      <c r="I41" s="30" t="s">
        <v>9634</v>
      </c>
      <c r="J41" s="6" t="s">
        <v>10427</v>
      </c>
      <c r="K41" s="208" t="n">
        <v>2</v>
      </c>
      <c r="L41" s="208" t="s">
        <v>8580</v>
      </c>
      <c r="M41" s="6" t="s">
        <v>10413</v>
      </c>
      <c r="N41" s="208" t="s">
        <v>8593</v>
      </c>
      <c r="O41" s="30" t="s">
        <v>8583</v>
      </c>
      <c r="P41" s="30" t="s">
        <v>814</v>
      </c>
      <c r="Q41" s="30" t="s">
        <v>10414</v>
      </c>
      <c r="R41" s="30" t="s">
        <v>814</v>
      </c>
      <c r="S41" s="30" t="s">
        <v>814</v>
      </c>
      <c r="T41" s="30" t="s">
        <v>814</v>
      </c>
      <c r="U41" s="30" t="s">
        <v>10320</v>
      </c>
      <c r="V41" s="246" t="s">
        <v>10428</v>
      </c>
      <c r="W41" s="6" t="s">
        <v>10416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10429</v>
      </c>
      <c r="B42" s="6" t="s">
        <v>10430</v>
      </c>
      <c r="C42" s="256" t="n">
        <v>0.75</v>
      </c>
      <c r="D42" s="208"/>
      <c r="E42" s="208"/>
      <c r="F42" s="30" t="s">
        <v>131</v>
      </c>
      <c r="G42" s="208" t="s">
        <v>10431</v>
      </c>
      <c r="H42" s="30" t="s">
        <v>1506</v>
      </c>
      <c r="I42" s="30" t="s">
        <v>10432</v>
      </c>
      <c r="J42" s="6" t="s">
        <v>10433</v>
      </c>
      <c r="K42" s="208" t="n">
        <v>2</v>
      </c>
      <c r="L42" s="208" t="s">
        <v>8580</v>
      </c>
      <c r="M42" s="6" t="s">
        <v>10434</v>
      </c>
      <c r="N42" s="208" t="s">
        <v>8593</v>
      </c>
      <c r="O42" s="30" t="s">
        <v>8583</v>
      </c>
      <c r="P42" s="30" t="s">
        <v>814</v>
      </c>
      <c r="Q42" s="30" t="s">
        <v>10435</v>
      </c>
      <c r="R42" s="30" t="s">
        <v>814</v>
      </c>
      <c r="S42" s="30" t="s">
        <v>814</v>
      </c>
      <c r="T42" s="30" t="s">
        <v>814</v>
      </c>
      <c r="U42" s="30" t="s">
        <v>10320</v>
      </c>
      <c r="V42" s="246" t="s">
        <v>10326</v>
      </c>
      <c r="W42" s="6" t="s">
        <v>10436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6893</v>
      </c>
      <c r="B43" s="6" t="s">
        <v>10430</v>
      </c>
      <c r="C43" s="256" t="n">
        <v>0.7</v>
      </c>
      <c r="D43" s="208"/>
      <c r="E43" s="208"/>
      <c r="F43" s="30" t="s">
        <v>131</v>
      </c>
      <c r="G43" s="30" t="s">
        <v>10437</v>
      </c>
      <c r="H43" s="30" t="s">
        <v>1506</v>
      </c>
      <c r="I43" s="30" t="s">
        <v>10438</v>
      </c>
      <c r="J43" s="6" t="s">
        <v>10439</v>
      </c>
      <c r="K43" s="208" t="n">
        <v>2</v>
      </c>
      <c r="L43" s="208" t="s">
        <v>8580</v>
      </c>
      <c r="M43" s="6" t="s">
        <v>10346</v>
      </c>
      <c r="N43" s="208" t="s">
        <v>8593</v>
      </c>
      <c r="O43" s="30" t="s">
        <v>8583</v>
      </c>
      <c r="P43" s="30" t="s">
        <v>814</v>
      </c>
      <c r="Q43" s="30" t="s">
        <v>10435</v>
      </c>
      <c r="R43" s="30" t="s">
        <v>814</v>
      </c>
      <c r="S43" s="30" t="s">
        <v>814</v>
      </c>
      <c r="T43" s="30" t="s">
        <v>814</v>
      </c>
      <c r="U43" s="30" t="s">
        <v>10320</v>
      </c>
      <c r="V43" s="6" t="s">
        <v>10440</v>
      </c>
      <c r="W43" s="6" t="s">
        <v>10441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10442</v>
      </c>
      <c r="B44" s="6" t="s">
        <v>10443</v>
      </c>
      <c r="C44" s="256" t="n">
        <v>2.7</v>
      </c>
      <c r="D44" s="208"/>
      <c r="E44" s="208"/>
      <c r="F44" s="30" t="s">
        <v>1094</v>
      </c>
      <c r="G44" s="30" t="s">
        <v>10444</v>
      </c>
      <c r="H44" s="30" t="s">
        <v>1506</v>
      </c>
      <c r="I44" s="30" t="s">
        <v>10445</v>
      </c>
      <c r="J44" s="6" t="s">
        <v>10446</v>
      </c>
      <c r="K44" s="208" t="n">
        <v>2</v>
      </c>
      <c r="L44" s="208" t="s">
        <v>8580</v>
      </c>
      <c r="M44" s="6" t="s">
        <v>10447</v>
      </c>
      <c r="N44" s="208" t="s">
        <v>8593</v>
      </c>
      <c r="O44" s="30" t="s">
        <v>8583</v>
      </c>
      <c r="P44" s="30" t="s">
        <v>814</v>
      </c>
      <c r="Q44" s="30" t="s">
        <v>10435</v>
      </c>
      <c r="R44" s="30" t="s">
        <v>814</v>
      </c>
      <c r="S44" s="30" t="s">
        <v>814</v>
      </c>
      <c r="T44" s="30" t="s">
        <v>814</v>
      </c>
      <c r="U44" s="30" t="s">
        <v>10320</v>
      </c>
      <c r="V44" s="246" t="s">
        <v>10326</v>
      </c>
      <c r="W44" s="6" t="s">
        <v>10448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10449</v>
      </c>
      <c r="B45" s="6" t="s">
        <v>10450</v>
      </c>
      <c r="C45" s="256" t="n">
        <v>8</v>
      </c>
      <c r="D45" s="208"/>
      <c r="E45" s="208"/>
      <c r="F45" s="30" t="s">
        <v>1094</v>
      </c>
      <c r="G45" s="30" t="s">
        <v>10451</v>
      </c>
      <c r="H45" s="30" t="s">
        <v>1506</v>
      </c>
      <c r="I45" s="30" t="s">
        <v>10452</v>
      </c>
      <c r="J45" s="6" t="s">
        <v>10453</v>
      </c>
      <c r="K45" s="208" t="n">
        <v>2</v>
      </c>
      <c r="L45" s="208" t="s">
        <v>8580</v>
      </c>
      <c r="M45" s="6" t="s">
        <v>10454</v>
      </c>
      <c r="N45" s="208" t="s">
        <v>8593</v>
      </c>
      <c r="O45" s="30" t="s">
        <v>8583</v>
      </c>
      <c r="P45" s="30" t="s">
        <v>814</v>
      </c>
      <c r="Q45" s="30" t="s">
        <v>10435</v>
      </c>
      <c r="R45" s="30" t="s">
        <v>814</v>
      </c>
      <c r="S45" s="30" t="s">
        <v>814</v>
      </c>
      <c r="T45" s="30" t="s">
        <v>814</v>
      </c>
      <c r="U45" s="30" t="s">
        <v>10320</v>
      </c>
      <c r="V45" s="6" t="s">
        <v>10455</v>
      </c>
      <c r="W45" s="6" t="s">
        <v>10456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6968</v>
      </c>
      <c r="B46" s="6" t="s">
        <v>10457</v>
      </c>
      <c r="C46" s="256" t="n">
        <v>6.7</v>
      </c>
      <c r="D46" s="208"/>
      <c r="E46" s="208"/>
      <c r="F46" s="30" t="s">
        <v>1094</v>
      </c>
      <c r="G46" s="30" t="s">
        <v>10458</v>
      </c>
      <c r="H46" s="30" t="s">
        <v>1506</v>
      </c>
      <c r="I46" s="30" t="s">
        <v>10459</v>
      </c>
      <c r="J46" s="6" t="s">
        <v>10460</v>
      </c>
      <c r="K46" s="208" t="n">
        <v>2</v>
      </c>
      <c r="L46" s="208" t="s">
        <v>8580</v>
      </c>
      <c r="M46" s="6" t="s">
        <v>10346</v>
      </c>
      <c r="N46" s="208" t="s">
        <v>8593</v>
      </c>
      <c r="O46" s="30" t="s">
        <v>8583</v>
      </c>
      <c r="P46" s="30" t="s">
        <v>814</v>
      </c>
      <c r="Q46" s="30" t="s">
        <v>10461</v>
      </c>
      <c r="R46" s="30" t="s">
        <v>814</v>
      </c>
      <c r="S46" s="30" t="s">
        <v>814</v>
      </c>
      <c r="T46" s="30" t="s">
        <v>814</v>
      </c>
      <c r="U46" s="30" t="s">
        <v>10320</v>
      </c>
      <c r="V46" s="246" t="s">
        <v>10326</v>
      </c>
      <c r="W46" s="6" t="s">
        <v>10462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10463</v>
      </c>
      <c r="B47" s="6" t="s">
        <v>10464</v>
      </c>
      <c r="C47" s="256" t="n">
        <v>0.2</v>
      </c>
      <c r="D47" s="208"/>
      <c r="E47" s="208"/>
      <c r="F47" s="30" t="s">
        <v>131</v>
      </c>
      <c r="G47" s="30" t="s">
        <v>10465</v>
      </c>
      <c r="H47" s="30" t="s">
        <v>10466</v>
      </c>
      <c r="I47" s="30" t="s">
        <v>10467</v>
      </c>
      <c r="J47" s="6" t="s">
        <v>10468</v>
      </c>
      <c r="K47" s="208" t="n">
        <v>2</v>
      </c>
      <c r="L47" s="208" t="s">
        <v>8580</v>
      </c>
      <c r="M47" s="246" t="s">
        <v>10469</v>
      </c>
      <c r="N47" s="208" t="s">
        <v>8593</v>
      </c>
      <c r="O47" s="30" t="s">
        <v>8583</v>
      </c>
      <c r="P47" s="30" t="s">
        <v>814</v>
      </c>
      <c r="Q47" s="30" t="s">
        <v>10470</v>
      </c>
      <c r="R47" s="30" t="s">
        <v>814</v>
      </c>
      <c r="S47" s="30" t="s">
        <v>814</v>
      </c>
      <c r="T47" s="30" t="s">
        <v>814</v>
      </c>
      <c r="U47" s="30" t="s">
        <v>10320</v>
      </c>
      <c r="V47" s="246" t="s">
        <v>10471</v>
      </c>
      <c r="W47" s="6" t="s">
        <v>10472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10473</v>
      </c>
      <c r="B48" s="6" t="s">
        <v>10474</v>
      </c>
      <c r="C48" s="256" t="n">
        <v>13</v>
      </c>
      <c r="D48" s="208"/>
      <c r="E48" s="256" t="n">
        <v>30</v>
      </c>
      <c r="F48" s="30" t="s">
        <v>1642</v>
      </c>
      <c r="G48" s="208" t="s">
        <v>10475</v>
      </c>
      <c r="H48" s="30" t="s">
        <v>10476</v>
      </c>
      <c r="I48" s="30" t="s">
        <v>7769</v>
      </c>
      <c r="J48" s="6" t="s">
        <v>10477</v>
      </c>
      <c r="K48" s="208" t="n">
        <v>1</v>
      </c>
      <c r="L48" s="208" t="s">
        <v>8580</v>
      </c>
      <c r="M48" s="6" t="s">
        <v>10478</v>
      </c>
      <c r="N48" s="208" t="s">
        <v>8582</v>
      </c>
      <c r="O48" s="30" t="s">
        <v>8583</v>
      </c>
      <c r="P48" s="30" t="s">
        <v>814</v>
      </c>
      <c r="Q48" s="30" t="s">
        <v>10479</v>
      </c>
      <c r="R48" s="30" t="s">
        <v>814</v>
      </c>
      <c r="S48" s="30" t="s">
        <v>814</v>
      </c>
      <c r="T48" s="30" t="s">
        <v>814</v>
      </c>
      <c r="U48" s="30" t="s">
        <v>10320</v>
      </c>
      <c r="V48" s="6" t="s">
        <v>10480</v>
      </c>
      <c r="W48" s="6" t="s">
        <v>10481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10482</v>
      </c>
      <c r="B49" s="6" t="s">
        <v>10483</v>
      </c>
      <c r="C49" s="256" t="n">
        <v>6</v>
      </c>
      <c r="D49" s="208"/>
      <c r="E49" s="208"/>
      <c r="F49" s="208" t="s">
        <v>10296</v>
      </c>
      <c r="G49" s="30" t="s">
        <v>10484</v>
      </c>
      <c r="H49" s="30" t="s">
        <v>10485</v>
      </c>
      <c r="I49" s="30" t="s">
        <v>10486</v>
      </c>
      <c r="J49" s="6" t="s">
        <v>10487</v>
      </c>
      <c r="K49" s="208" t="n">
        <v>1</v>
      </c>
      <c r="L49" s="208" t="s">
        <v>8580</v>
      </c>
      <c r="M49" s="6" t="s">
        <v>10318</v>
      </c>
      <c r="N49" s="208" t="s">
        <v>8582</v>
      </c>
      <c r="O49" s="30" t="s">
        <v>8583</v>
      </c>
      <c r="P49" s="30" t="s">
        <v>814</v>
      </c>
      <c r="Q49" s="30" t="s">
        <v>10488</v>
      </c>
      <c r="R49" s="30" t="s">
        <v>814</v>
      </c>
      <c r="S49" s="30" t="s">
        <v>814</v>
      </c>
      <c r="T49" s="30" t="s">
        <v>814</v>
      </c>
      <c r="U49" s="30" t="s">
        <v>10320</v>
      </c>
      <c r="V49" s="246" t="s">
        <v>10489</v>
      </c>
      <c r="W49" s="6" t="s">
        <v>10490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6268</v>
      </c>
      <c r="B50" s="246" t="s">
        <v>10491</v>
      </c>
      <c r="C50" s="256" t="n">
        <v>0.993</v>
      </c>
      <c r="D50" s="208"/>
      <c r="E50" s="208"/>
      <c r="F50" s="30" t="s">
        <v>131</v>
      </c>
      <c r="G50" s="30" t="s">
        <v>10492</v>
      </c>
      <c r="H50" s="30" t="s">
        <v>10493</v>
      </c>
      <c r="I50" s="30" t="s">
        <v>10494</v>
      </c>
      <c r="J50" s="6" t="s">
        <v>10495</v>
      </c>
      <c r="K50" s="208" t="n">
        <v>1</v>
      </c>
      <c r="L50" s="208" t="s">
        <v>8687</v>
      </c>
      <c r="M50" s="246" t="s">
        <v>10496</v>
      </c>
      <c r="N50" s="208" t="s">
        <v>8582</v>
      </c>
      <c r="O50" s="30" t="s">
        <v>8583</v>
      </c>
      <c r="P50" s="30" t="s">
        <v>814</v>
      </c>
      <c r="Q50" s="30" t="s">
        <v>10497</v>
      </c>
      <c r="R50" s="30" t="s">
        <v>814</v>
      </c>
      <c r="S50" s="30" t="s">
        <v>814</v>
      </c>
      <c r="T50" s="30" t="s">
        <v>814</v>
      </c>
      <c r="U50" s="30" t="s">
        <v>10320</v>
      </c>
      <c r="V50" s="6" t="s">
        <v>10498</v>
      </c>
      <c r="W50" s="6" t="s">
        <v>10499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10500</v>
      </c>
      <c r="B51" s="246" t="s">
        <v>10501</v>
      </c>
      <c r="C51" s="256" t="n">
        <v>0.9987</v>
      </c>
      <c r="D51" s="208"/>
      <c r="E51" s="208"/>
      <c r="F51" s="30" t="s">
        <v>131</v>
      </c>
      <c r="G51" s="30" t="s">
        <v>10502</v>
      </c>
      <c r="H51" s="30" t="s">
        <v>10493</v>
      </c>
      <c r="I51" s="30" t="s">
        <v>10494</v>
      </c>
      <c r="J51" s="6" t="s">
        <v>10495</v>
      </c>
      <c r="K51" s="208" t="n">
        <v>1</v>
      </c>
      <c r="L51" s="208" t="s">
        <v>8687</v>
      </c>
      <c r="M51" s="246" t="s">
        <v>10496</v>
      </c>
      <c r="N51" s="208" t="s">
        <v>8582</v>
      </c>
      <c r="O51" s="30" t="s">
        <v>8583</v>
      </c>
      <c r="P51" s="30" t="s">
        <v>814</v>
      </c>
      <c r="Q51" s="30" t="s">
        <v>10497</v>
      </c>
      <c r="R51" s="30" t="s">
        <v>814</v>
      </c>
      <c r="S51" s="30" t="s">
        <v>814</v>
      </c>
      <c r="T51" s="30" t="s">
        <v>814</v>
      </c>
      <c r="U51" s="30" t="s">
        <v>10320</v>
      </c>
      <c r="V51" s="6" t="s">
        <v>10503</v>
      </c>
      <c r="W51" s="6" t="s">
        <v>10504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10505</v>
      </c>
      <c r="B52" s="6" t="s">
        <v>10506</v>
      </c>
      <c r="C52" s="256" t="n">
        <v>0.919</v>
      </c>
      <c r="D52" s="208"/>
      <c r="E52" s="208"/>
      <c r="F52" s="30" t="s">
        <v>131</v>
      </c>
      <c r="G52" s="30" t="s">
        <v>10507</v>
      </c>
      <c r="H52" s="30" t="s">
        <v>10508</v>
      </c>
      <c r="I52" s="30" t="s">
        <v>10509</v>
      </c>
      <c r="J52" s="6" t="s">
        <v>10510</v>
      </c>
      <c r="K52" s="208" t="n">
        <v>2</v>
      </c>
      <c r="L52" s="208" t="s">
        <v>8580</v>
      </c>
      <c r="M52" s="6" t="s">
        <v>10511</v>
      </c>
      <c r="N52" s="208" t="s">
        <v>8582</v>
      </c>
      <c r="O52" s="30" t="s">
        <v>8583</v>
      </c>
      <c r="P52" s="30" t="s">
        <v>814</v>
      </c>
      <c r="Q52" s="30" t="s">
        <v>10512</v>
      </c>
      <c r="R52" s="30" t="s">
        <v>814</v>
      </c>
      <c r="S52" s="30" t="s">
        <v>814</v>
      </c>
      <c r="T52" s="30" t="s">
        <v>814</v>
      </c>
      <c r="U52" s="30" t="s">
        <v>10320</v>
      </c>
      <c r="V52" s="6" t="s">
        <v>10498</v>
      </c>
      <c r="W52" s="6" t="s">
        <v>10513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10514</v>
      </c>
      <c r="B53" s="6" t="s">
        <v>10515</v>
      </c>
      <c r="C53" s="256" t="n">
        <v>0.451</v>
      </c>
      <c r="D53" s="208"/>
      <c r="E53" s="208"/>
      <c r="F53" s="30" t="s">
        <v>1878</v>
      </c>
      <c r="G53" s="208" t="s">
        <v>10516</v>
      </c>
      <c r="H53" s="30" t="s">
        <v>10315</v>
      </c>
      <c r="I53" s="30" t="s">
        <v>10517</v>
      </c>
      <c r="J53" s="6" t="s">
        <v>10518</v>
      </c>
      <c r="K53" s="208" t="n">
        <v>1</v>
      </c>
      <c r="L53" s="208" t="s">
        <v>8580</v>
      </c>
      <c r="M53" s="6" t="s">
        <v>10519</v>
      </c>
      <c r="N53" s="208" t="s">
        <v>8582</v>
      </c>
      <c r="O53" s="30" t="s">
        <v>8583</v>
      </c>
      <c r="P53" s="30" t="s">
        <v>814</v>
      </c>
      <c r="Q53" s="30" t="s">
        <v>10520</v>
      </c>
      <c r="R53" s="30" t="s">
        <v>814</v>
      </c>
      <c r="S53" s="30" t="s">
        <v>814</v>
      </c>
      <c r="T53" s="30" t="s">
        <v>814</v>
      </c>
      <c r="U53" s="30" t="s">
        <v>10521</v>
      </c>
      <c r="V53" s="246" t="s">
        <v>10326</v>
      </c>
      <c r="W53" s="6" t="s">
        <v>10522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10523</v>
      </c>
      <c r="B54" s="6" t="s">
        <v>10515</v>
      </c>
      <c r="C54" s="256" t="n">
        <v>2.627</v>
      </c>
      <c r="D54" s="208"/>
      <c r="E54" s="208"/>
      <c r="F54" s="30" t="s">
        <v>1878</v>
      </c>
      <c r="G54" s="208" t="s">
        <v>10524</v>
      </c>
      <c r="H54" s="30" t="s">
        <v>10315</v>
      </c>
      <c r="I54" s="30" t="s">
        <v>10517</v>
      </c>
      <c r="J54" s="6" t="s">
        <v>10518</v>
      </c>
      <c r="K54" s="208" t="n">
        <v>1</v>
      </c>
      <c r="L54" s="208" t="s">
        <v>8580</v>
      </c>
      <c r="M54" s="6" t="s">
        <v>10519</v>
      </c>
      <c r="N54" s="208" t="s">
        <v>8582</v>
      </c>
      <c r="O54" s="30" t="s">
        <v>8583</v>
      </c>
      <c r="P54" s="30" t="s">
        <v>814</v>
      </c>
      <c r="Q54" s="30" t="s">
        <v>10520</v>
      </c>
      <c r="R54" s="30" t="s">
        <v>814</v>
      </c>
      <c r="S54" s="30" t="s">
        <v>814</v>
      </c>
      <c r="T54" s="30" t="s">
        <v>814</v>
      </c>
      <c r="U54" s="30" t="s">
        <v>10521</v>
      </c>
      <c r="V54" s="246" t="s">
        <v>10326</v>
      </c>
      <c r="W54" s="6" t="s">
        <v>10525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6913</v>
      </c>
      <c r="B55" s="6" t="s">
        <v>10526</v>
      </c>
      <c r="C55" s="256" t="n">
        <v>0.07</v>
      </c>
      <c r="D55" s="256" t="n">
        <v>0.02</v>
      </c>
      <c r="E55" s="256" t="n">
        <v>0.07</v>
      </c>
      <c r="F55" s="30" t="s">
        <v>131</v>
      </c>
      <c r="G55" s="208" t="s">
        <v>10527</v>
      </c>
      <c r="H55" s="30" t="s">
        <v>10315</v>
      </c>
      <c r="I55" s="30" t="s">
        <v>10517</v>
      </c>
      <c r="J55" s="6" t="s">
        <v>10528</v>
      </c>
      <c r="K55" s="208" t="n">
        <v>1</v>
      </c>
      <c r="L55" s="208" t="s">
        <v>8580</v>
      </c>
      <c r="M55" s="6" t="s">
        <v>10318</v>
      </c>
      <c r="N55" s="208" t="s">
        <v>8582</v>
      </c>
      <c r="O55" s="30" t="s">
        <v>8583</v>
      </c>
      <c r="P55" s="30" t="s">
        <v>814</v>
      </c>
      <c r="Q55" s="30" t="s">
        <v>10529</v>
      </c>
      <c r="R55" s="30" t="s">
        <v>814</v>
      </c>
      <c r="S55" s="30" t="s">
        <v>814</v>
      </c>
      <c r="T55" s="30" t="s">
        <v>814</v>
      </c>
      <c r="U55" s="30" t="s">
        <v>10521</v>
      </c>
      <c r="V55" s="6" t="s">
        <v>10530</v>
      </c>
      <c r="W55" s="6" t="s">
        <v>10531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10532</v>
      </c>
      <c r="B56" s="6" t="s">
        <v>10533</v>
      </c>
      <c r="C56" s="256" t="n">
        <v>69.5</v>
      </c>
      <c r="D56" s="208"/>
      <c r="E56" s="208"/>
      <c r="F56" s="30" t="s">
        <v>337</v>
      </c>
      <c r="G56" s="30" t="s">
        <v>10534</v>
      </c>
      <c r="H56" s="30" t="s">
        <v>10535</v>
      </c>
      <c r="I56" s="30" t="s">
        <v>10536</v>
      </c>
      <c r="J56" s="6" t="s">
        <v>10537</v>
      </c>
      <c r="K56" s="208" t="n">
        <v>1</v>
      </c>
      <c r="L56" s="208" t="s">
        <v>8687</v>
      </c>
      <c r="M56" s="6" t="s">
        <v>10538</v>
      </c>
      <c r="N56" s="208" t="s">
        <v>8582</v>
      </c>
      <c r="O56" s="30" t="s">
        <v>8583</v>
      </c>
      <c r="P56" s="30" t="s">
        <v>814</v>
      </c>
      <c r="Q56" s="30" t="s">
        <v>10539</v>
      </c>
      <c r="R56" s="30" t="s">
        <v>814</v>
      </c>
      <c r="S56" s="30" t="s">
        <v>814</v>
      </c>
      <c r="T56" s="30" t="s">
        <v>814</v>
      </c>
      <c r="U56" s="30" t="s">
        <v>10521</v>
      </c>
      <c r="V56" s="246" t="s">
        <v>10540</v>
      </c>
      <c r="W56" s="6" t="s">
        <v>10541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10542</v>
      </c>
      <c r="B57" s="6" t="s">
        <v>10543</v>
      </c>
      <c r="C57" s="256" t="n">
        <v>295.6</v>
      </c>
      <c r="D57" s="208"/>
      <c r="E57" s="208"/>
      <c r="F57" s="30" t="s">
        <v>337</v>
      </c>
      <c r="G57" s="30" t="s">
        <v>10544</v>
      </c>
      <c r="H57" s="30" t="s">
        <v>10545</v>
      </c>
      <c r="I57" s="30" t="s">
        <v>10546</v>
      </c>
      <c r="J57" s="6" t="s">
        <v>10547</v>
      </c>
      <c r="K57" s="208" t="n">
        <v>1</v>
      </c>
      <c r="L57" s="208" t="s">
        <v>8687</v>
      </c>
      <c r="M57" s="6" t="s">
        <v>10548</v>
      </c>
      <c r="N57" s="208" t="s">
        <v>8582</v>
      </c>
      <c r="O57" s="30" t="s">
        <v>8583</v>
      </c>
      <c r="P57" s="30" t="s">
        <v>814</v>
      </c>
      <c r="Q57" s="30" t="s">
        <v>10549</v>
      </c>
      <c r="R57" s="30" t="s">
        <v>814</v>
      </c>
      <c r="S57" s="30" t="s">
        <v>814</v>
      </c>
      <c r="T57" s="30" t="s">
        <v>814</v>
      </c>
      <c r="U57" s="30" t="s">
        <v>10521</v>
      </c>
      <c r="V57" s="246" t="s">
        <v>10550</v>
      </c>
      <c r="W57" s="6" t="s">
        <v>10551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10552</v>
      </c>
      <c r="B58" s="246" t="s">
        <v>10553</v>
      </c>
      <c r="C58" s="256" t="n">
        <v>0.07</v>
      </c>
      <c r="D58" s="208"/>
      <c r="E58" s="256" t="n">
        <v>0.24</v>
      </c>
      <c r="F58" s="30" t="s">
        <v>131</v>
      </c>
      <c r="G58" s="30" t="s">
        <v>10554</v>
      </c>
      <c r="H58" s="30" t="s">
        <v>10315</v>
      </c>
      <c r="I58" s="30" t="s">
        <v>10555</v>
      </c>
      <c r="J58" s="6" t="s">
        <v>10556</v>
      </c>
      <c r="K58" s="208" t="n">
        <v>2</v>
      </c>
      <c r="L58" s="208" t="s">
        <v>8580</v>
      </c>
      <c r="M58" s="6" t="s">
        <v>10557</v>
      </c>
      <c r="N58" s="208" t="s">
        <v>10558</v>
      </c>
      <c r="O58" s="30" t="s">
        <v>8583</v>
      </c>
      <c r="P58" s="30" t="s">
        <v>814</v>
      </c>
      <c r="Q58" s="30" t="s">
        <v>10559</v>
      </c>
      <c r="R58" s="30" t="s">
        <v>814</v>
      </c>
      <c r="S58" s="30" t="s">
        <v>814</v>
      </c>
      <c r="T58" s="30" t="s">
        <v>814</v>
      </c>
      <c r="U58" s="30" t="s">
        <v>10521</v>
      </c>
      <c r="V58" s="246" t="s">
        <v>10560</v>
      </c>
      <c r="W58" s="6" t="s">
        <v>10561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10562</v>
      </c>
      <c r="B59" s="6" t="s">
        <v>10563</v>
      </c>
      <c r="C59" s="256" t="n">
        <v>27000</v>
      </c>
      <c r="D59" s="208"/>
      <c r="E59" s="256" t="n">
        <v>400000</v>
      </c>
      <c r="F59" s="30" t="s">
        <v>337</v>
      </c>
      <c r="G59" s="208" t="s">
        <v>10564</v>
      </c>
      <c r="H59" s="30" t="s">
        <v>10315</v>
      </c>
      <c r="I59" s="30" t="s">
        <v>10565</v>
      </c>
      <c r="J59" s="6" t="s">
        <v>10566</v>
      </c>
      <c r="K59" s="208" t="n">
        <v>1</v>
      </c>
      <c r="L59" s="208" t="s">
        <v>8580</v>
      </c>
      <c r="M59" s="6" t="s">
        <v>10318</v>
      </c>
      <c r="N59" s="208" t="s">
        <v>8582</v>
      </c>
      <c r="O59" s="30" t="s">
        <v>8583</v>
      </c>
      <c r="P59" s="30" t="s">
        <v>814</v>
      </c>
      <c r="Q59" s="30" t="s">
        <v>10567</v>
      </c>
      <c r="R59" s="30" t="s">
        <v>814</v>
      </c>
      <c r="S59" s="30" t="s">
        <v>814</v>
      </c>
      <c r="T59" s="30" t="s">
        <v>814</v>
      </c>
      <c r="U59" s="30" t="s">
        <v>10521</v>
      </c>
      <c r="V59" s="246" t="s">
        <v>10568</v>
      </c>
      <c r="W59" s="6" t="s">
        <v>10569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10570</v>
      </c>
      <c r="B60" s="6" t="s">
        <v>10571</v>
      </c>
      <c r="C60" s="256" t="n">
        <v>1</v>
      </c>
      <c r="D60" s="208"/>
      <c r="E60" s="208"/>
      <c r="F60" s="30" t="s">
        <v>10572</v>
      </c>
      <c r="G60" s="208" t="s">
        <v>10573</v>
      </c>
      <c r="H60" s="30" t="s">
        <v>10315</v>
      </c>
      <c r="I60" s="30" t="s">
        <v>10574</v>
      </c>
      <c r="J60" s="6" t="s">
        <v>10575</v>
      </c>
      <c r="K60" s="208" t="n">
        <v>2</v>
      </c>
      <c r="L60" s="208" t="s">
        <v>8580</v>
      </c>
      <c r="M60" s="6" t="s">
        <v>10576</v>
      </c>
      <c r="N60" s="208" t="s">
        <v>8593</v>
      </c>
      <c r="O60" s="30" t="s">
        <v>8583</v>
      </c>
      <c r="P60" s="30" t="s">
        <v>814</v>
      </c>
      <c r="Q60" s="30" t="s">
        <v>10577</v>
      </c>
      <c r="R60" s="30" t="s">
        <v>814</v>
      </c>
      <c r="S60" s="30" t="s">
        <v>814</v>
      </c>
      <c r="T60" s="30" t="s">
        <v>814</v>
      </c>
      <c r="U60" s="30" t="s">
        <v>10521</v>
      </c>
      <c r="V60" s="246" t="s">
        <v>10578</v>
      </c>
      <c r="W60" s="6" t="s">
        <v>10579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10580</v>
      </c>
      <c r="B61" s="6" t="s">
        <v>10581</v>
      </c>
      <c r="C61" s="256" t="n">
        <v>0.7</v>
      </c>
      <c r="D61" s="208"/>
      <c r="E61" s="208"/>
      <c r="F61" s="30" t="s">
        <v>10582</v>
      </c>
      <c r="G61" s="30" t="s">
        <v>10583</v>
      </c>
      <c r="H61" s="30" t="s">
        <v>10315</v>
      </c>
      <c r="I61" s="30" t="s">
        <v>10584</v>
      </c>
      <c r="J61" s="6" t="s">
        <v>10585</v>
      </c>
      <c r="K61" s="208" t="n">
        <v>2</v>
      </c>
      <c r="L61" s="208" t="s">
        <v>8580</v>
      </c>
      <c r="M61" s="6" t="s">
        <v>10576</v>
      </c>
      <c r="N61" s="208" t="s">
        <v>8593</v>
      </c>
      <c r="O61" s="30" t="s">
        <v>8583</v>
      </c>
      <c r="P61" s="30" t="s">
        <v>814</v>
      </c>
      <c r="Q61" s="30" t="s">
        <v>10586</v>
      </c>
      <c r="R61" s="30" t="s">
        <v>814</v>
      </c>
      <c r="S61" s="30" t="s">
        <v>814</v>
      </c>
      <c r="T61" s="30" t="s">
        <v>814</v>
      </c>
      <c r="U61" s="30" t="s">
        <v>10521</v>
      </c>
      <c r="V61" s="246" t="s">
        <v>10587</v>
      </c>
      <c r="W61" s="6" t="s">
        <v>10588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10589</v>
      </c>
      <c r="B62" s="6" t="s">
        <v>10590</v>
      </c>
      <c r="C62" s="256" t="n">
        <v>100</v>
      </c>
      <c r="D62" s="208"/>
      <c r="E62" s="208"/>
      <c r="F62" s="30" t="s">
        <v>10591</v>
      </c>
      <c r="G62" s="30" t="s">
        <v>10592</v>
      </c>
      <c r="H62" s="30" t="s">
        <v>1506</v>
      </c>
      <c r="I62" s="30" t="s">
        <v>9215</v>
      </c>
      <c r="J62" s="6" t="s">
        <v>10593</v>
      </c>
      <c r="K62" s="208" t="n">
        <v>2</v>
      </c>
      <c r="L62" s="208" t="s">
        <v>8580</v>
      </c>
      <c r="M62" s="6" t="s">
        <v>10576</v>
      </c>
      <c r="N62" s="208" t="s">
        <v>8593</v>
      </c>
      <c r="O62" s="30" t="s">
        <v>8583</v>
      </c>
      <c r="P62" s="30" t="s">
        <v>814</v>
      </c>
      <c r="Q62" s="30" t="s">
        <v>10594</v>
      </c>
      <c r="R62" s="30" t="s">
        <v>814</v>
      </c>
      <c r="S62" s="30" t="s">
        <v>814</v>
      </c>
      <c r="T62" s="30" t="s">
        <v>814</v>
      </c>
      <c r="U62" s="30" t="s">
        <v>10521</v>
      </c>
      <c r="V62" s="246" t="s">
        <v>10595</v>
      </c>
      <c r="W62" s="6" t="s">
        <v>10596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10597</v>
      </c>
      <c r="B63" s="246" t="s">
        <v>10598</v>
      </c>
      <c r="C63" s="256" t="n">
        <v>0.35</v>
      </c>
      <c r="D63" s="208"/>
      <c r="E63" s="208"/>
      <c r="F63" s="30" t="s">
        <v>131</v>
      </c>
      <c r="G63" s="30" t="s">
        <v>10599</v>
      </c>
      <c r="H63" s="30" t="s">
        <v>10600</v>
      </c>
      <c r="I63" s="30" t="s">
        <v>10601</v>
      </c>
      <c r="J63" s="6" t="s">
        <v>10602</v>
      </c>
      <c r="K63" s="208" t="n">
        <v>1</v>
      </c>
      <c r="L63" s="208" t="s">
        <v>8687</v>
      </c>
      <c r="M63" s="6" t="s">
        <v>10603</v>
      </c>
      <c r="N63" s="208" t="s">
        <v>8582</v>
      </c>
      <c r="O63" s="30" t="s">
        <v>8583</v>
      </c>
      <c r="P63" s="30" t="s">
        <v>814</v>
      </c>
      <c r="Q63" s="30" t="s">
        <v>10604</v>
      </c>
      <c r="R63" s="30" t="s">
        <v>814</v>
      </c>
      <c r="S63" s="30" t="s">
        <v>814</v>
      </c>
      <c r="T63" s="30" t="s">
        <v>814</v>
      </c>
      <c r="U63" s="30" t="s">
        <v>10521</v>
      </c>
      <c r="V63" s="246" t="s">
        <v>10605</v>
      </c>
      <c r="W63" s="6" t="s">
        <v>10606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10607</v>
      </c>
      <c r="B64" s="6" t="s">
        <v>10329</v>
      </c>
      <c r="C64" s="256" t="n">
        <v>8</v>
      </c>
      <c r="D64" s="208"/>
      <c r="E64" s="208"/>
      <c r="F64" s="208" t="s">
        <v>1580</v>
      </c>
      <c r="G64" s="208" t="s">
        <v>10608</v>
      </c>
      <c r="H64" s="30" t="s">
        <v>10331</v>
      </c>
      <c r="I64" s="30" t="s">
        <v>10609</v>
      </c>
      <c r="J64" s="6" t="s">
        <v>10610</v>
      </c>
      <c r="K64" s="208" t="n">
        <v>2</v>
      </c>
      <c r="L64" s="208" t="s">
        <v>8580</v>
      </c>
      <c r="M64" s="6" t="s">
        <v>10576</v>
      </c>
      <c r="N64" s="208" t="s">
        <v>8593</v>
      </c>
      <c r="O64" s="30" t="s">
        <v>8583</v>
      </c>
      <c r="P64" s="30" t="s">
        <v>814</v>
      </c>
      <c r="Q64" s="30" t="s">
        <v>10611</v>
      </c>
      <c r="R64" s="30" t="s">
        <v>814</v>
      </c>
      <c r="S64" s="30" t="s">
        <v>814</v>
      </c>
      <c r="T64" s="30" t="s">
        <v>814</v>
      </c>
      <c r="U64" s="30" t="s">
        <v>10521</v>
      </c>
      <c r="V64" s="246" t="s">
        <v>10612</v>
      </c>
      <c r="W64" s="6" t="s">
        <v>10613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10614</v>
      </c>
      <c r="B65" s="6" t="s">
        <v>10615</v>
      </c>
      <c r="C65" s="256" t="n">
        <v>3</v>
      </c>
      <c r="D65" s="208"/>
      <c r="E65" s="208"/>
      <c r="F65" s="30" t="s">
        <v>121</v>
      </c>
      <c r="G65" s="30" t="s">
        <v>10616</v>
      </c>
      <c r="H65" s="30" t="s">
        <v>1506</v>
      </c>
      <c r="I65" s="30" t="s">
        <v>10316</v>
      </c>
      <c r="J65" s="6" t="s">
        <v>10617</v>
      </c>
      <c r="K65" s="208" t="n">
        <v>1</v>
      </c>
      <c r="L65" s="208" t="s">
        <v>8580</v>
      </c>
      <c r="M65" s="6" t="s">
        <v>10318</v>
      </c>
      <c r="N65" s="208" t="s">
        <v>8582</v>
      </c>
      <c r="O65" s="30" t="s">
        <v>8583</v>
      </c>
      <c r="P65" s="30" t="s">
        <v>814</v>
      </c>
      <c r="Q65" s="30" t="s">
        <v>10618</v>
      </c>
      <c r="R65" s="30" t="s">
        <v>814</v>
      </c>
      <c r="S65" s="30" t="s">
        <v>814</v>
      </c>
      <c r="T65" s="30" t="s">
        <v>814</v>
      </c>
      <c r="U65" s="30" t="s">
        <v>10521</v>
      </c>
      <c r="V65" s="246" t="s">
        <v>10619</v>
      </c>
      <c r="W65" s="6" t="s">
        <v>10620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10621</v>
      </c>
      <c r="B66" s="6" t="s">
        <v>10622</v>
      </c>
      <c r="C66" s="256" t="n">
        <v>50</v>
      </c>
      <c r="D66" s="208"/>
      <c r="E66" s="256" t="n">
        <v>70</v>
      </c>
      <c r="F66" s="30" t="s">
        <v>2262</v>
      </c>
      <c r="G66" s="208" t="s">
        <v>10623</v>
      </c>
      <c r="H66" s="30" t="s">
        <v>1506</v>
      </c>
      <c r="I66" s="30" t="s">
        <v>4685</v>
      </c>
      <c r="J66" s="6" t="s">
        <v>10624</v>
      </c>
      <c r="K66" s="208" t="n">
        <v>2</v>
      </c>
      <c r="L66" s="208" t="s">
        <v>8580</v>
      </c>
      <c r="M66" s="246" t="s">
        <v>10625</v>
      </c>
      <c r="N66" s="208" t="s">
        <v>8593</v>
      </c>
      <c r="O66" s="30" t="s">
        <v>8583</v>
      </c>
      <c r="P66" s="30" t="s">
        <v>814</v>
      </c>
      <c r="Q66" s="30" t="s">
        <v>10626</v>
      </c>
      <c r="R66" s="30" t="s">
        <v>814</v>
      </c>
      <c r="S66" s="30" t="s">
        <v>814</v>
      </c>
      <c r="T66" s="30" t="s">
        <v>814</v>
      </c>
      <c r="U66" s="30" t="s">
        <v>10521</v>
      </c>
      <c r="V66" s="246" t="s">
        <v>10627</v>
      </c>
      <c r="W66" s="6" t="s">
        <v>10628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10629</v>
      </c>
      <c r="B67" s="6" t="s">
        <v>10630</v>
      </c>
      <c r="C67" s="256" t="n">
        <v>500</v>
      </c>
      <c r="D67" s="208"/>
      <c r="E67" s="208"/>
      <c r="F67" s="208" t="s">
        <v>1580</v>
      </c>
      <c r="G67" s="208" t="s">
        <v>10631</v>
      </c>
      <c r="H67" s="30" t="s">
        <v>10315</v>
      </c>
      <c r="I67" s="30" t="s">
        <v>10584</v>
      </c>
      <c r="J67" s="6" t="s">
        <v>10632</v>
      </c>
      <c r="K67" s="208" t="n">
        <v>2</v>
      </c>
      <c r="L67" s="208" t="s">
        <v>8580</v>
      </c>
      <c r="M67" s="6" t="s">
        <v>10576</v>
      </c>
      <c r="N67" s="208" t="s">
        <v>8593</v>
      </c>
      <c r="O67" s="30" t="s">
        <v>8583</v>
      </c>
      <c r="P67" s="30" t="s">
        <v>814</v>
      </c>
      <c r="Q67" s="30" t="s">
        <v>10633</v>
      </c>
      <c r="R67" s="30" t="s">
        <v>814</v>
      </c>
      <c r="S67" s="30" t="s">
        <v>814</v>
      </c>
      <c r="T67" s="30" t="s">
        <v>814</v>
      </c>
      <c r="U67" s="30" t="s">
        <v>10521</v>
      </c>
      <c r="V67" s="246" t="s">
        <v>10634</v>
      </c>
      <c r="W67" s="6" t="s">
        <v>10635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10636</v>
      </c>
      <c r="B68" s="6" t="s">
        <v>10630</v>
      </c>
      <c r="C68" s="256" t="n">
        <v>700</v>
      </c>
      <c r="D68" s="208"/>
      <c r="E68" s="208"/>
      <c r="F68" s="208" t="s">
        <v>1580</v>
      </c>
      <c r="G68" s="208" t="s">
        <v>10637</v>
      </c>
      <c r="H68" s="30" t="s">
        <v>10315</v>
      </c>
      <c r="I68" s="30" t="s">
        <v>10584</v>
      </c>
      <c r="J68" s="6" t="s">
        <v>10638</v>
      </c>
      <c r="K68" s="208" t="n">
        <v>2</v>
      </c>
      <c r="L68" s="208" t="s">
        <v>8580</v>
      </c>
      <c r="M68" s="6" t="s">
        <v>10576</v>
      </c>
      <c r="N68" s="208" t="s">
        <v>8593</v>
      </c>
      <c r="O68" s="30" t="s">
        <v>8583</v>
      </c>
      <c r="P68" s="30" t="s">
        <v>814</v>
      </c>
      <c r="Q68" s="30" t="s">
        <v>10633</v>
      </c>
      <c r="R68" s="30" t="s">
        <v>814</v>
      </c>
      <c r="S68" s="30" t="s">
        <v>814</v>
      </c>
      <c r="T68" s="30" t="s">
        <v>814</v>
      </c>
      <c r="U68" s="30" t="s">
        <v>10521</v>
      </c>
      <c r="V68" s="246" t="s">
        <v>10634</v>
      </c>
      <c r="W68" s="6" t="s">
        <v>10639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10640</v>
      </c>
      <c r="B69" s="6" t="s">
        <v>10630</v>
      </c>
      <c r="C69" s="256" t="n">
        <v>800</v>
      </c>
      <c r="D69" s="208"/>
      <c r="E69" s="208"/>
      <c r="F69" s="208" t="s">
        <v>1580</v>
      </c>
      <c r="G69" s="208" t="s">
        <v>10641</v>
      </c>
      <c r="H69" s="30" t="s">
        <v>10315</v>
      </c>
      <c r="I69" s="30" t="s">
        <v>10252</v>
      </c>
      <c r="J69" s="6" t="s">
        <v>10642</v>
      </c>
      <c r="K69" s="208" t="n">
        <v>2</v>
      </c>
      <c r="L69" s="208" t="s">
        <v>8580</v>
      </c>
      <c r="M69" s="6" t="s">
        <v>10576</v>
      </c>
      <c r="N69" s="208" t="s">
        <v>8593</v>
      </c>
      <c r="O69" s="30" t="s">
        <v>8583</v>
      </c>
      <c r="P69" s="30" t="s">
        <v>814</v>
      </c>
      <c r="Q69" s="30" t="s">
        <v>10633</v>
      </c>
      <c r="R69" s="30" t="s">
        <v>814</v>
      </c>
      <c r="S69" s="30" t="s">
        <v>814</v>
      </c>
      <c r="T69" s="30" t="s">
        <v>814</v>
      </c>
      <c r="U69" s="30" t="s">
        <v>10521</v>
      </c>
      <c r="V69" s="246" t="s">
        <v>10634</v>
      </c>
      <c r="W69" s="6" t="s">
        <v>10643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10644</v>
      </c>
      <c r="B70" s="6" t="s">
        <v>10630</v>
      </c>
      <c r="C70" s="256" t="n">
        <v>900</v>
      </c>
      <c r="D70" s="208"/>
      <c r="E70" s="208"/>
      <c r="F70" s="208" t="s">
        <v>1580</v>
      </c>
      <c r="G70" s="208" t="s">
        <v>10645</v>
      </c>
      <c r="H70" s="30" t="s">
        <v>10315</v>
      </c>
      <c r="I70" s="30" t="s">
        <v>10316</v>
      </c>
      <c r="J70" s="6" t="s">
        <v>10317</v>
      </c>
      <c r="K70" s="208" t="n">
        <v>1</v>
      </c>
      <c r="L70" s="208" t="s">
        <v>8580</v>
      </c>
      <c r="M70" s="6" t="s">
        <v>10318</v>
      </c>
      <c r="N70" s="208" t="s">
        <v>8582</v>
      </c>
      <c r="O70" s="30" t="s">
        <v>8583</v>
      </c>
      <c r="P70" s="30" t="s">
        <v>814</v>
      </c>
      <c r="Q70" s="30" t="s">
        <v>10633</v>
      </c>
      <c r="R70" s="30" t="s">
        <v>814</v>
      </c>
      <c r="S70" s="30" t="s">
        <v>814</v>
      </c>
      <c r="T70" s="30" t="s">
        <v>814</v>
      </c>
      <c r="U70" s="30" t="s">
        <v>10521</v>
      </c>
      <c r="V70" s="246" t="s">
        <v>10634</v>
      </c>
      <c r="W70" s="6" t="s">
        <v>10646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10647</v>
      </c>
      <c r="B71" s="6" t="s">
        <v>10630</v>
      </c>
      <c r="C71" s="256" t="n">
        <v>1000</v>
      </c>
      <c r="D71" s="208"/>
      <c r="E71" s="208"/>
      <c r="F71" s="208" t="s">
        <v>1580</v>
      </c>
      <c r="G71" s="208" t="s">
        <v>10648</v>
      </c>
      <c r="H71" s="30" t="s">
        <v>10315</v>
      </c>
      <c r="I71" s="30" t="s">
        <v>10649</v>
      </c>
      <c r="J71" s="6" t="s">
        <v>10650</v>
      </c>
      <c r="K71" s="208" t="n">
        <v>2</v>
      </c>
      <c r="L71" s="208" t="s">
        <v>8580</v>
      </c>
      <c r="M71" s="6" t="s">
        <v>10576</v>
      </c>
      <c r="N71" s="208" t="s">
        <v>8593</v>
      </c>
      <c r="O71" s="30" t="s">
        <v>8583</v>
      </c>
      <c r="P71" s="30" t="s">
        <v>814</v>
      </c>
      <c r="Q71" s="30" t="s">
        <v>10633</v>
      </c>
      <c r="R71" s="30" t="s">
        <v>814</v>
      </c>
      <c r="S71" s="30" t="s">
        <v>814</v>
      </c>
      <c r="T71" s="30" t="s">
        <v>814</v>
      </c>
      <c r="U71" s="30" t="s">
        <v>10521</v>
      </c>
      <c r="V71" s="246" t="s">
        <v>10634</v>
      </c>
      <c r="W71" s="6" t="s">
        <v>10651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10652</v>
      </c>
      <c r="B72" s="6" t="s">
        <v>10630</v>
      </c>
      <c r="C72" s="256" t="n">
        <v>1200</v>
      </c>
      <c r="D72" s="208"/>
      <c r="E72" s="208"/>
      <c r="F72" s="208" t="s">
        <v>1580</v>
      </c>
      <c r="G72" s="208" t="s">
        <v>10653</v>
      </c>
      <c r="H72" s="30" t="s">
        <v>10315</v>
      </c>
      <c r="I72" s="30" t="s">
        <v>7555</v>
      </c>
      <c r="J72" s="6" t="s">
        <v>10654</v>
      </c>
      <c r="K72" s="208" t="n">
        <v>1</v>
      </c>
      <c r="L72" s="208" t="s">
        <v>8580</v>
      </c>
      <c r="M72" s="6" t="s">
        <v>10318</v>
      </c>
      <c r="N72" s="208" t="s">
        <v>8582</v>
      </c>
      <c r="O72" s="30" t="s">
        <v>8583</v>
      </c>
      <c r="P72" s="30" t="s">
        <v>814</v>
      </c>
      <c r="Q72" s="30" t="s">
        <v>10633</v>
      </c>
      <c r="R72" s="30" t="s">
        <v>814</v>
      </c>
      <c r="S72" s="30" t="s">
        <v>814</v>
      </c>
      <c r="T72" s="30" t="s">
        <v>814</v>
      </c>
      <c r="U72" s="30" t="s">
        <v>10521</v>
      </c>
      <c r="V72" s="246" t="s">
        <v>10634</v>
      </c>
      <c r="W72" s="6" t="s">
        <v>10655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10656</v>
      </c>
      <c r="B73" s="6" t="s">
        <v>10457</v>
      </c>
      <c r="C73" s="256" t="n">
        <v>5.7</v>
      </c>
      <c r="D73" s="208"/>
      <c r="E73" s="208"/>
      <c r="F73" s="30" t="s">
        <v>1094</v>
      </c>
      <c r="G73" s="30" t="s">
        <v>10657</v>
      </c>
      <c r="H73" s="30" t="s">
        <v>1506</v>
      </c>
      <c r="I73" s="30" t="s">
        <v>9380</v>
      </c>
      <c r="J73" s="6" t="s">
        <v>10658</v>
      </c>
      <c r="K73" s="208" t="n">
        <v>2</v>
      </c>
      <c r="L73" s="208" t="s">
        <v>8580</v>
      </c>
      <c r="M73" s="6" t="s">
        <v>10576</v>
      </c>
      <c r="N73" s="208" t="s">
        <v>8593</v>
      </c>
      <c r="O73" s="30" t="s">
        <v>8583</v>
      </c>
      <c r="P73" s="30" t="s">
        <v>814</v>
      </c>
      <c r="Q73" s="30" t="s">
        <v>10659</v>
      </c>
      <c r="R73" s="30" t="s">
        <v>814</v>
      </c>
      <c r="S73" s="30" t="s">
        <v>814</v>
      </c>
      <c r="T73" s="30" t="s">
        <v>814</v>
      </c>
      <c r="U73" s="30" t="s">
        <v>10660</v>
      </c>
      <c r="V73" s="6" t="s">
        <v>10661</v>
      </c>
      <c r="W73" s="6" t="s">
        <v>10662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10663</v>
      </c>
      <c r="B74" s="6" t="s">
        <v>10664</v>
      </c>
      <c r="C74" s="256" t="n">
        <v>14.1</v>
      </c>
      <c r="D74" s="256" t="n">
        <v>12</v>
      </c>
      <c r="E74" s="256" t="n">
        <v>18</v>
      </c>
      <c r="F74" s="30" t="s">
        <v>1094</v>
      </c>
      <c r="G74" s="30" t="s">
        <v>10665</v>
      </c>
      <c r="H74" s="30" t="s">
        <v>1506</v>
      </c>
      <c r="I74" s="30" t="s">
        <v>8590</v>
      </c>
      <c r="J74" s="6" t="s">
        <v>10666</v>
      </c>
      <c r="K74" s="208" t="n">
        <v>3</v>
      </c>
      <c r="L74" s="208" t="s">
        <v>8580</v>
      </c>
      <c r="M74" s="6" t="s">
        <v>10667</v>
      </c>
      <c r="N74" s="208" t="s">
        <v>8593</v>
      </c>
      <c r="O74" s="30" t="s">
        <v>8629</v>
      </c>
      <c r="P74" s="30" t="s">
        <v>814</v>
      </c>
      <c r="Q74" s="30" t="s">
        <v>10668</v>
      </c>
      <c r="R74" s="30" t="s">
        <v>814</v>
      </c>
      <c r="S74" s="30" t="s">
        <v>814</v>
      </c>
      <c r="T74" s="30" t="s">
        <v>814</v>
      </c>
      <c r="U74" s="30" t="s">
        <v>10660</v>
      </c>
      <c r="V74" s="6" t="s">
        <v>10669</v>
      </c>
      <c r="W74" s="6" t="s">
        <v>10670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6924</v>
      </c>
      <c r="B75" s="6" t="s">
        <v>10671</v>
      </c>
      <c r="C75" s="256" t="n">
        <v>0.2</v>
      </c>
      <c r="D75" s="256" t="n">
        <v>0.15</v>
      </c>
      <c r="E75" s="256" t="n">
        <v>0.2</v>
      </c>
      <c r="F75" s="30" t="s">
        <v>131</v>
      </c>
      <c r="G75" s="30" t="s">
        <v>10672</v>
      </c>
      <c r="H75" s="30" t="s">
        <v>1506</v>
      </c>
      <c r="I75" s="30" t="s">
        <v>8590</v>
      </c>
      <c r="J75" s="6" t="s">
        <v>10673</v>
      </c>
      <c r="K75" s="208" t="n">
        <v>3</v>
      </c>
      <c r="L75" s="208" t="s">
        <v>8580</v>
      </c>
      <c r="M75" s="6" t="s">
        <v>10674</v>
      </c>
      <c r="N75" s="208" t="s">
        <v>8593</v>
      </c>
      <c r="O75" s="30" t="s">
        <v>8583</v>
      </c>
      <c r="P75" s="30" t="s">
        <v>814</v>
      </c>
      <c r="Q75" s="30" t="s">
        <v>10675</v>
      </c>
      <c r="R75" s="30" t="s">
        <v>814</v>
      </c>
      <c r="S75" s="30" t="s">
        <v>814</v>
      </c>
      <c r="T75" s="30" t="s">
        <v>814</v>
      </c>
      <c r="U75" s="30" t="s">
        <v>10660</v>
      </c>
      <c r="V75" s="6" t="s">
        <v>10676</v>
      </c>
      <c r="W75" s="6" t="s">
        <v>10677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7044</v>
      </c>
      <c r="B76" s="6" t="s">
        <v>10678</v>
      </c>
      <c r="C76" s="256" t="n">
        <v>1</v>
      </c>
      <c r="D76" s="208"/>
      <c r="E76" s="208"/>
      <c r="F76" s="30" t="s">
        <v>1094</v>
      </c>
      <c r="G76" s="208" t="s">
        <v>10679</v>
      </c>
      <c r="H76" s="30" t="s">
        <v>1506</v>
      </c>
      <c r="I76" s="30" t="s">
        <v>10680</v>
      </c>
      <c r="J76" s="6" t="s">
        <v>10681</v>
      </c>
      <c r="K76" s="208" t="n">
        <v>2</v>
      </c>
      <c r="L76" s="208" t="s">
        <v>8580</v>
      </c>
      <c r="M76" s="6" t="s">
        <v>10576</v>
      </c>
      <c r="N76" s="208" t="s">
        <v>8593</v>
      </c>
      <c r="O76" s="30" t="s">
        <v>8583</v>
      </c>
      <c r="P76" s="30" t="s">
        <v>814</v>
      </c>
      <c r="Q76" s="30" t="s">
        <v>10682</v>
      </c>
      <c r="R76" s="30" t="s">
        <v>814</v>
      </c>
      <c r="S76" s="30" t="s">
        <v>814</v>
      </c>
      <c r="T76" s="30" t="s">
        <v>814</v>
      </c>
      <c r="U76" s="30" t="s">
        <v>10683</v>
      </c>
      <c r="V76" s="6" t="s">
        <v>10684</v>
      </c>
      <c r="W76" s="6" t="s">
        <v>10685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10686</v>
      </c>
      <c r="B77" s="6" t="s">
        <v>10687</v>
      </c>
      <c r="C77" s="256" t="n">
        <v>7.5</v>
      </c>
      <c r="D77" s="208"/>
      <c r="E77" s="208"/>
      <c r="F77" s="30" t="s">
        <v>1094</v>
      </c>
      <c r="G77" s="208" t="s">
        <v>10688</v>
      </c>
      <c r="H77" s="30" t="s">
        <v>1506</v>
      </c>
      <c r="I77" s="30" t="s">
        <v>10689</v>
      </c>
      <c r="J77" s="6" t="s">
        <v>10690</v>
      </c>
      <c r="K77" s="208" t="n">
        <v>2</v>
      </c>
      <c r="L77" s="208" t="s">
        <v>8687</v>
      </c>
      <c r="M77" s="246" t="s">
        <v>10691</v>
      </c>
      <c r="N77" s="208" t="s">
        <v>10692</v>
      </c>
      <c r="O77" s="30" t="s">
        <v>8583</v>
      </c>
      <c r="P77" s="30" t="s">
        <v>814</v>
      </c>
      <c r="Q77" s="30" t="s">
        <v>10693</v>
      </c>
      <c r="R77" s="30" t="s">
        <v>814</v>
      </c>
      <c r="S77" s="30" t="s">
        <v>814</v>
      </c>
      <c r="T77" s="30" t="s">
        <v>814</v>
      </c>
      <c r="U77" s="30" t="s">
        <v>10694</v>
      </c>
      <c r="V77" s="6" t="s">
        <v>10695</v>
      </c>
      <c r="W77" s="6" t="s">
        <v>10696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10697</v>
      </c>
    </row>
    <row r="2" customFormat="false" ht="15" hidden="false" customHeight="false" outlineLevel="0" collapsed="false">
      <c r="A2" s="59" t="s">
        <v>10698</v>
      </c>
    </row>
    <row r="4" customFormat="false" ht="15" hidden="false" customHeight="false" outlineLevel="0" collapsed="false">
      <c r="A4" s="10" t="s">
        <v>8556</v>
      </c>
      <c r="B4" s="60" t="s">
        <v>12</v>
      </c>
      <c r="C4" s="60" t="s">
        <v>10699</v>
      </c>
      <c r="D4" s="60" t="s">
        <v>801</v>
      </c>
      <c r="E4" s="60" t="s">
        <v>5029</v>
      </c>
      <c r="F4" s="60" t="s">
        <v>10700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3396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3396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3396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3396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3396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3396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3396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3396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3396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3396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3396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3396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3396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3396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3396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3396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3396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3396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3396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3396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3396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3396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3396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3396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3396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3396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3396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3396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3396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3396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3396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3396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3396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3396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3396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3396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3396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3396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3396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3396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3396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3396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3396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3396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3396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3396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3396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3396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3396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3396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3396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3396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3396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3396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3396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3396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3396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3396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3396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3396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3396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3396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3396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3396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3396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3396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3396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3396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3396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3396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3396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3396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3396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3396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3396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3396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3396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3396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3396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3396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3396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3396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3396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3396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3396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3396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3396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3396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3396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3396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3396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3396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3396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3396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3396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3396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3396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3396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3396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3396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3396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3396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3396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3396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3396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3396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3396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3396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3396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3396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3396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3396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3396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3396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3396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3396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3396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3396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3396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3396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3409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3409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3409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3409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3409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3409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3409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3409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3409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3409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3409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3409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3409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3409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3409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3409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3409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3409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3409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3409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3409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3409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3409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3409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3409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3409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3409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3409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3409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3409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3409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3409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3409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3409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3409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3409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3409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3409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3409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3409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3409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3409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3409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3409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3409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3409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3409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3409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3409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3409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3409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3409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3409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3409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3409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3409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3409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3409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3409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3409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3409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3409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3409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3409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3409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3409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3409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3409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3409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3411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3411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3411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3411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3411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3411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3411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3411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3411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3411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3411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3411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3411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3411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3411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3411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3411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3411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3411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3411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3411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3411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3411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3411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3411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3411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3411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3411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3411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3411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3411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3411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3411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3411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3411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3411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3411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3411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3411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3411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3411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3411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3411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3411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3411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3411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3411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3411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3411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3411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3411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3411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3411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3411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3411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3411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3411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3411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3411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3411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3411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3411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3411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3411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3411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3411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3411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3411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3411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3411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3411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3411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3411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3411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3411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3411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3411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3411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3411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3411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3411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3411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3411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3411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3411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3411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3411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3411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3411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3411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3411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3411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3411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3411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3411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3411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3411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3411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3411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3411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3411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3411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3411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3411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3411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3411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3411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3411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3411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3411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3411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3415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3415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3415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3415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3415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3415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3415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3415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3415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3415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3415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3415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3415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3415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3415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3415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3415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3415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3415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3415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3415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3415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3415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3415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3415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3415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3415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3415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3415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3415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3415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3415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3415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3415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3415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3415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3415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3415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3415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3415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3415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3415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3415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3415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3415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3415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3415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3415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3415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3415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3415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3415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3415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3415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3415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3415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3415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3415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3415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3415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3415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3415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3415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3415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3415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3415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3415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3415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3415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3415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3415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3415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3415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3415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3415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3415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3415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3415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3415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3415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3415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3415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3415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3415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3415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3415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3415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3415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3415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3415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3415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3415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3415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3415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3415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3415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3415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3415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3415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3415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3415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3415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3415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3415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3415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3415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3415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3415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3415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3415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3415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3415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3415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3415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3415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3415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3415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3415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3415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3415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3415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3415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3415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3415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3415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3415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3415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3415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3415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3415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3415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3415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3415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3430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3430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3430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3430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3430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3430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3430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3430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3430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3430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3430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3430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3430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3430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3430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3430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3430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3430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3430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3430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3430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3430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3430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3430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3430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3430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3430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3430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3430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3430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3430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3430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3430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3430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3430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3430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3430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3430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3430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3430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3430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3430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3430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3430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3430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3430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>SRC_PRC_047</v>
      </c>
      <c r="B484" s="62" t="s">
        <v>3430</v>
      </c>
      <c r="C484" s="61" t="n">
        <v>51</v>
      </c>
      <c r="D484" s="92" t="str">
        <f aca="false">SRC_Price!$O51</f>
        <v>Active</v>
      </c>
      <c r="E484" s="92" t="n">
        <f aca="false">SRC_Price!$K51</f>
        <v>2</v>
      </c>
      <c r="F484" s="92" t="str">
        <f aca="false">SRC_Price!$S51</f>
        <v>—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3430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3430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3430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3430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3430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3430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3430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3430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3430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3430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3430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3430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3430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3430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3430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3430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3430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3430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3430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3430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3430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3430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3430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3430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3430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3430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3430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3430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3430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3430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3430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3430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3430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3430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3430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3430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3430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3430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3430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3430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3430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3430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3430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3430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3430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3430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3430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3430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3430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SRC_Price!$A101&amp;""</f>
        <v/>
      </c>
      <c r="B534" s="62" t="s">
        <v>3430</v>
      </c>
      <c r="C534" s="61" t="n">
        <v>101</v>
      </c>
      <c r="D534" s="92" t="n">
        <f aca="false">SRC_Price!$O101</f>
        <v>0</v>
      </c>
      <c r="E534" s="92" t="n">
        <f aca="false">SRC_Price!$K101</f>
        <v>0</v>
      </c>
      <c r="F534" s="92" t="n">
        <f aca="false">SRC_Price!$S101</f>
        <v>0</v>
      </c>
    </row>
    <row r="535" customFormat="false" ht="15" hidden="false" customHeight="false" outlineLevel="0" collapsed="false">
      <c r="A535" s="92" t="str">
        <f aca="false">SRC_Cap!$A5&amp;""</f>
        <v>SRC_CAP_001</v>
      </c>
      <c r="B535" s="62" t="s">
        <v>10701</v>
      </c>
      <c r="C535" s="61" t="n">
        <v>5</v>
      </c>
      <c r="D535" s="92" t="str">
        <f aca="false">SRC_Cap!$O5</f>
        <v>Active</v>
      </c>
      <c r="E535" s="92" t="n">
        <f aca="false">SRC_Cap!$K5</f>
        <v>2</v>
      </c>
      <c r="F535" s="92" t="str">
        <f aca="false">SRC_Cap!$S5</f>
        <v>—</v>
      </c>
    </row>
    <row r="536" customFormat="false" ht="15" hidden="false" customHeight="false" outlineLevel="0" collapsed="false">
      <c r="A536" s="92" t="str">
        <f aca="false">SRC_Cap!$A6&amp;""</f>
        <v>SRC_CAP_002</v>
      </c>
      <c r="B536" s="62" t="s">
        <v>10701</v>
      </c>
      <c r="C536" s="61" t="n">
        <v>6</v>
      </c>
      <c r="D536" s="92" t="str">
        <f aca="false">SRC_Cap!$O6</f>
        <v>Active</v>
      </c>
      <c r="E536" s="92" t="n">
        <f aca="false">SRC_Cap!$K6</f>
        <v>2</v>
      </c>
      <c r="F536" s="92" t="str">
        <f aca="false">SRC_Cap!$S6</f>
        <v>—</v>
      </c>
    </row>
    <row r="537" customFormat="false" ht="15" hidden="false" customHeight="false" outlineLevel="0" collapsed="false">
      <c r="A537" s="92" t="str">
        <f aca="false">SRC_Cap!$A7&amp;""</f>
        <v>SRC_CAP_003</v>
      </c>
      <c r="B537" s="62" t="s">
        <v>10701</v>
      </c>
      <c r="C537" s="61" t="n">
        <v>7</v>
      </c>
      <c r="D537" s="92" t="str">
        <f aca="false">SRC_Cap!$O7</f>
        <v>Active</v>
      </c>
      <c r="E537" s="92" t="n">
        <f aca="false">SRC_Cap!$K7</f>
        <v>2</v>
      </c>
      <c r="F537" s="92" t="str">
        <f aca="false">SRC_Cap!$S7</f>
        <v>—</v>
      </c>
    </row>
    <row r="538" customFormat="false" ht="15" hidden="false" customHeight="false" outlineLevel="0" collapsed="false">
      <c r="A538" s="92" t="str">
        <f aca="false">SRC_Cap!$A8&amp;""</f>
        <v>SRC_CAP_004</v>
      </c>
      <c r="B538" s="62" t="s">
        <v>10701</v>
      </c>
      <c r="C538" s="61" t="n">
        <v>8</v>
      </c>
      <c r="D538" s="92" t="str">
        <f aca="false">SRC_Cap!$O8</f>
        <v>Active</v>
      </c>
      <c r="E538" s="92" t="n">
        <f aca="false">SRC_Cap!$K8</f>
        <v>2</v>
      </c>
      <c r="F538" s="92" t="str">
        <f aca="false">SRC_Cap!$S8</f>
        <v>—</v>
      </c>
    </row>
    <row r="539" customFormat="false" ht="15" hidden="false" customHeight="false" outlineLevel="0" collapsed="false">
      <c r="A539" s="92" t="str">
        <f aca="false">SRC_Cap!$A9&amp;""</f>
        <v>SRC_CAP_005</v>
      </c>
      <c r="B539" s="62" t="s">
        <v>10701</v>
      </c>
      <c r="C539" s="61" t="n">
        <v>9</v>
      </c>
      <c r="D539" s="92" t="str">
        <f aca="false">SRC_Cap!$O9</f>
        <v>Active</v>
      </c>
      <c r="E539" s="92" t="n">
        <f aca="false">SRC_Cap!$K9</f>
        <v>2</v>
      </c>
      <c r="F539" s="92" t="str">
        <f aca="false">SRC_Cap!$S9</f>
        <v>—</v>
      </c>
    </row>
    <row r="540" customFormat="false" ht="15" hidden="false" customHeight="false" outlineLevel="0" collapsed="false">
      <c r="A540" s="92" t="str">
        <f aca="false">SRC_Cap!$A10&amp;""</f>
        <v>SRC_CAP_006</v>
      </c>
      <c r="B540" s="62" t="s">
        <v>10701</v>
      </c>
      <c r="C540" s="61" t="n">
        <v>10</v>
      </c>
      <c r="D540" s="92" t="str">
        <f aca="false">SRC_Cap!$O10</f>
        <v>Active</v>
      </c>
      <c r="E540" s="92" t="n">
        <f aca="false">SRC_Cap!$K10</f>
        <v>2</v>
      </c>
      <c r="F540" s="92" t="str">
        <f aca="false">SRC_Cap!$S10</f>
        <v>—</v>
      </c>
    </row>
    <row r="541" customFormat="false" ht="15" hidden="false" customHeight="false" outlineLevel="0" collapsed="false">
      <c r="A541" s="92" t="str">
        <f aca="false">SRC_Cap!$A11&amp;""</f>
        <v>SRC_CAP_007</v>
      </c>
      <c r="B541" s="62" t="s">
        <v>10701</v>
      </c>
      <c r="C541" s="61" t="n">
        <v>11</v>
      </c>
      <c r="D541" s="92" t="str">
        <f aca="false">SRC_Cap!$O11</f>
        <v>Active</v>
      </c>
      <c r="E541" s="92" t="n">
        <f aca="false">SRC_Cap!$K11</f>
        <v>2</v>
      </c>
      <c r="F541" s="92" t="str">
        <f aca="false">SRC_Cap!$S11</f>
        <v>—</v>
      </c>
    </row>
    <row r="542" customFormat="false" ht="15" hidden="false" customHeight="false" outlineLevel="0" collapsed="false">
      <c r="A542" s="92" t="str">
        <f aca="false">SRC_Cap!$A12&amp;""</f>
        <v>SRC_CAP_008</v>
      </c>
      <c r="B542" s="62" t="s">
        <v>10701</v>
      </c>
      <c r="C542" s="61" t="n">
        <v>12</v>
      </c>
      <c r="D542" s="92" t="str">
        <f aca="false">SRC_Cap!$O12</f>
        <v>Active</v>
      </c>
      <c r="E542" s="92" t="n">
        <f aca="false">SRC_Cap!$K12</f>
        <v>1</v>
      </c>
      <c r="F542" s="92" t="str">
        <f aca="false">SRC_Cap!$S12</f>
        <v>2026-10-05</v>
      </c>
    </row>
    <row r="543" customFormat="false" ht="15" hidden="false" customHeight="false" outlineLevel="0" collapsed="false">
      <c r="A543" s="92" t="str">
        <f aca="false">SRC_Cap!$A13&amp;""</f>
        <v>SRC_CAP_009</v>
      </c>
      <c r="B543" s="62" t="s">
        <v>10701</v>
      </c>
      <c r="C543" s="61" t="n">
        <v>13</v>
      </c>
      <c r="D543" s="92" t="str">
        <f aca="false">SRC_Cap!$O13</f>
        <v>Active</v>
      </c>
      <c r="E543" s="92" t="n">
        <f aca="false">SRC_Cap!$K13</f>
        <v>3</v>
      </c>
      <c r="F543" s="92" t="str">
        <f aca="false">SRC_Cap!$S13</f>
        <v>—</v>
      </c>
    </row>
    <row r="544" customFormat="false" ht="15" hidden="false" customHeight="false" outlineLevel="0" collapsed="false">
      <c r="A544" s="92" t="str">
        <f aca="false">SRC_Cap!$A14&amp;""</f>
        <v>SRC_CAP_010</v>
      </c>
      <c r="B544" s="62" t="s">
        <v>10701</v>
      </c>
      <c r="C544" s="61" t="n">
        <v>14</v>
      </c>
      <c r="D544" s="92" t="str">
        <f aca="false">SRC_Cap!$O14</f>
        <v>Active</v>
      </c>
      <c r="E544" s="92" t="n">
        <f aca="false">SRC_Cap!$K14</f>
        <v>3</v>
      </c>
      <c r="F544" s="92" t="str">
        <f aca="false">SRC_Cap!$S14</f>
        <v>—</v>
      </c>
    </row>
    <row r="545" customFormat="false" ht="15" hidden="false" customHeight="false" outlineLevel="0" collapsed="false">
      <c r="A545" s="92" t="str">
        <f aca="false">SRC_Cap!$A15&amp;""</f>
        <v>SRC_CAP_011</v>
      </c>
      <c r="B545" s="62" t="s">
        <v>10701</v>
      </c>
      <c r="C545" s="61" t="n">
        <v>15</v>
      </c>
      <c r="D545" s="92" t="str">
        <f aca="false">SRC_Cap!$O15</f>
        <v>Active</v>
      </c>
      <c r="E545" s="92" t="n">
        <f aca="false">SRC_Cap!$K15</f>
        <v>1</v>
      </c>
      <c r="F545" s="92" t="str">
        <f aca="false">SRC_Cap!$S15</f>
        <v>2026-10-05</v>
      </c>
    </row>
    <row r="546" customFormat="false" ht="15" hidden="false" customHeight="false" outlineLevel="0" collapsed="false">
      <c r="A546" s="92" t="str">
        <f aca="false">SRC_Cap!$A16&amp;""</f>
        <v>SRC_CAP_012</v>
      </c>
      <c r="B546" s="62" t="s">
        <v>10701</v>
      </c>
      <c r="C546" s="61" t="n">
        <v>16</v>
      </c>
      <c r="D546" s="92" t="str">
        <f aca="false">SRC_Cap!$O16</f>
        <v>Active</v>
      </c>
      <c r="E546" s="92" t="n">
        <f aca="false">SRC_Cap!$K16</f>
        <v>2</v>
      </c>
      <c r="F546" s="92" t="str">
        <f aca="false">SRC_Cap!$S16</f>
        <v>—</v>
      </c>
    </row>
    <row r="547" customFormat="false" ht="15" hidden="false" customHeight="false" outlineLevel="0" collapsed="false">
      <c r="A547" s="92" t="str">
        <f aca="false">SRC_Cap!$A17&amp;""</f>
        <v>SRC_CAP_013</v>
      </c>
      <c r="B547" s="62" t="s">
        <v>10701</v>
      </c>
      <c r="C547" s="61" t="n">
        <v>17</v>
      </c>
      <c r="D547" s="92" t="str">
        <f aca="false">SRC_Cap!$O17</f>
        <v>Active</v>
      </c>
      <c r="E547" s="92" t="n">
        <f aca="false">SRC_Cap!$K17</f>
        <v>2</v>
      </c>
      <c r="F547" s="92" t="str">
        <f aca="false">SRC_Cap!$S17</f>
        <v>—</v>
      </c>
    </row>
    <row r="548" customFormat="false" ht="15" hidden="false" customHeight="false" outlineLevel="0" collapsed="false">
      <c r="A548" s="92" t="str">
        <f aca="false">SRC_Cap!$A18&amp;""</f>
        <v>SRC_CAP_014</v>
      </c>
      <c r="B548" s="62" t="s">
        <v>10701</v>
      </c>
      <c r="C548" s="61" t="n">
        <v>18</v>
      </c>
      <c r="D548" s="92" t="str">
        <f aca="false">SRC_Cap!$O18</f>
        <v>Active</v>
      </c>
      <c r="E548" s="92" t="n">
        <f aca="false">SRC_Cap!$K18</f>
        <v>2</v>
      </c>
      <c r="F548" s="92" t="str">
        <f aca="false">SRC_Cap!$S18</f>
        <v>—</v>
      </c>
    </row>
    <row r="549" customFormat="false" ht="15" hidden="false" customHeight="false" outlineLevel="0" collapsed="false">
      <c r="A549" s="92" t="str">
        <f aca="false">SRC_Cap!$A19&amp;""</f>
        <v>SRC_CAP_015</v>
      </c>
      <c r="B549" s="62" t="s">
        <v>10701</v>
      </c>
      <c r="C549" s="61" t="n">
        <v>19</v>
      </c>
      <c r="D549" s="92" t="str">
        <f aca="false">SRC_Cap!$O19</f>
        <v>Active</v>
      </c>
      <c r="E549" s="92" t="n">
        <f aca="false">SRC_Cap!$K19</f>
        <v>2</v>
      </c>
      <c r="F549" s="92" t="str">
        <f aca="false">SRC_Cap!$S19</f>
        <v>—</v>
      </c>
    </row>
    <row r="550" customFormat="false" ht="15" hidden="false" customHeight="false" outlineLevel="0" collapsed="false">
      <c r="A550" s="92" t="str">
        <f aca="false">SRC_Cap!$A20&amp;""</f>
        <v>SRC_CAP_016</v>
      </c>
      <c r="B550" s="62" t="s">
        <v>10701</v>
      </c>
      <c r="C550" s="61" t="n">
        <v>20</v>
      </c>
      <c r="D550" s="92" t="str">
        <f aca="false">SRC_Cap!$O20</f>
        <v>Active</v>
      </c>
      <c r="E550" s="92" t="n">
        <f aca="false">SRC_Cap!$K20</f>
        <v>2</v>
      </c>
      <c r="F550" s="92" t="str">
        <f aca="false">SRC_Cap!$S20</f>
        <v>—</v>
      </c>
    </row>
    <row r="551" customFormat="false" ht="15" hidden="false" customHeight="false" outlineLevel="0" collapsed="false">
      <c r="A551" s="92" t="str">
        <f aca="false">SRC_Cap!$A21&amp;""</f>
        <v>SRC_CAP_017</v>
      </c>
      <c r="B551" s="62" t="s">
        <v>10701</v>
      </c>
      <c r="C551" s="61" t="n">
        <v>21</v>
      </c>
      <c r="D551" s="92" t="str">
        <f aca="false">SRC_Cap!$O21</f>
        <v>Active</v>
      </c>
      <c r="E551" s="92" t="n">
        <f aca="false">SRC_Cap!$K21</f>
        <v>2</v>
      </c>
      <c r="F551" s="92" t="str">
        <f aca="false">SRC_Cap!$S21</f>
        <v>—</v>
      </c>
    </row>
    <row r="552" customFormat="false" ht="15" hidden="false" customHeight="false" outlineLevel="0" collapsed="false">
      <c r="A552" s="92" t="str">
        <f aca="false">SRC_Cap!$A22&amp;""</f>
        <v>SRC_CAP_018</v>
      </c>
      <c r="B552" s="62" t="s">
        <v>10701</v>
      </c>
      <c r="C552" s="61" t="n">
        <v>22</v>
      </c>
      <c r="D552" s="92" t="str">
        <f aca="false">SRC_Cap!$O22</f>
        <v>Active</v>
      </c>
      <c r="E552" s="92" t="n">
        <f aca="false">SRC_Cap!$K22</f>
        <v>2</v>
      </c>
      <c r="F552" s="92" t="str">
        <f aca="false">SRC_Cap!$S22</f>
        <v>—</v>
      </c>
    </row>
    <row r="553" customFormat="false" ht="15" hidden="false" customHeight="false" outlineLevel="0" collapsed="false">
      <c r="A553" s="92" t="str">
        <f aca="false">SRC_Cap!$A23&amp;""</f>
        <v>SRC_CAP_019</v>
      </c>
      <c r="B553" s="62" t="s">
        <v>10701</v>
      </c>
      <c r="C553" s="61" t="n">
        <v>23</v>
      </c>
      <c r="D553" s="92" t="str">
        <f aca="false">SRC_Cap!$O23</f>
        <v>Active</v>
      </c>
      <c r="E553" s="92" t="n">
        <f aca="false">SRC_Cap!$K23</f>
        <v>2</v>
      </c>
      <c r="F553" s="92" t="str">
        <f aca="false">SRC_Cap!$S23</f>
        <v>—</v>
      </c>
    </row>
    <row r="554" customFormat="false" ht="15" hidden="false" customHeight="false" outlineLevel="0" collapsed="false">
      <c r="A554" s="92" t="str">
        <f aca="false">SRC_Cap!$A24&amp;""</f>
        <v>SRC_CAP_020</v>
      </c>
      <c r="B554" s="62" t="s">
        <v>10701</v>
      </c>
      <c r="C554" s="61" t="n">
        <v>24</v>
      </c>
      <c r="D554" s="92" t="str">
        <f aca="false">SRC_Cap!$O24</f>
        <v>Active</v>
      </c>
      <c r="E554" s="92" t="n">
        <f aca="false">SRC_Cap!$K24</f>
        <v>2</v>
      </c>
      <c r="F554" s="92" t="str">
        <f aca="false">SRC_Cap!$S24</f>
        <v>—</v>
      </c>
    </row>
    <row r="555" customFormat="false" ht="15" hidden="false" customHeight="false" outlineLevel="0" collapsed="false">
      <c r="A555" s="92" t="str">
        <f aca="false">SRC_Cap!$A25&amp;""</f>
        <v>SRC_CAP_021</v>
      </c>
      <c r="B555" s="62" t="s">
        <v>10701</v>
      </c>
      <c r="C555" s="61" t="n">
        <v>25</v>
      </c>
      <c r="D555" s="92" t="str">
        <f aca="false">SRC_Cap!$O25</f>
        <v>Active</v>
      </c>
      <c r="E555" s="92" t="n">
        <f aca="false">SRC_Cap!$K25</f>
        <v>2</v>
      </c>
      <c r="F555" s="92" t="str">
        <f aca="false">SRC_Cap!$S25</f>
        <v>—</v>
      </c>
    </row>
    <row r="556" customFormat="false" ht="15" hidden="false" customHeight="false" outlineLevel="0" collapsed="false">
      <c r="A556" s="92" t="str">
        <f aca="false">SRC_Cap!$A26&amp;""</f>
        <v/>
      </c>
      <c r="B556" s="62" t="s">
        <v>10701</v>
      </c>
      <c r="C556" s="61" t="n">
        <v>26</v>
      </c>
      <c r="D556" s="92" t="n">
        <f aca="false">SRC_Cap!$O26</f>
        <v>0</v>
      </c>
      <c r="E556" s="92" t="n">
        <f aca="false">SRC_Cap!$K26</f>
        <v>0</v>
      </c>
      <c r="F556" s="92" t="n">
        <f aca="false">SRC_Cap!$S26</f>
        <v>0</v>
      </c>
    </row>
    <row r="557" customFormat="false" ht="15" hidden="false" customHeight="false" outlineLevel="0" collapsed="false">
      <c r="A557" s="92" t="str">
        <f aca="false">SRC_Cap!$A27&amp;""</f>
        <v/>
      </c>
      <c r="B557" s="62" t="s">
        <v>10701</v>
      </c>
      <c r="C557" s="61" t="n">
        <v>27</v>
      </c>
      <c r="D557" s="92" t="n">
        <f aca="false">SRC_Cap!$O27</f>
        <v>0</v>
      </c>
      <c r="E557" s="92" t="n">
        <f aca="false">SRC_Cap!$K27</f>
        <v>0</v>
      </c>
      <c r="F557" s="92" t="n">
        <f aca="false">SRC_Cap!$S27</f>
        <v>0</v>
      </c>
    </row>
    <row r="558" customFormat="false" ht="15" hidden="false" customHeight="false" outlineLevel="0" collapsed="false">
      <c r="A558" s="92" t="str">
        <f aca="false">SRC_Cap!$A28&amp;""</f>
        <v/>
      </c>
      <c r="B558" s="62" t="s">
        <v>10701</v>
      </c>
      <c r="C558" s="61" t="n">
        <v>28</v>
      </c>
      <c r="D558" s="92" t="n">
        <f aca="false">SRC_Cap!$O28</f>
        <v>0</v>
      </c>
      <c r="E558" s="92" t="n">
        <f aca="false">SRC_Cap!$K28</f>
        <v>0</v>
      </c>
      <c r="F558" s="92" t="n">
        <f aca="false">SRC_Cap!$S28</f>
        <v>0</v>
      </c>
    </row>
    <row r="559" customFormat="false" ht="15" hidden="false" customHeight="false" outlineLevel="0" collapsed="false">
      <c r="A559" s="92" t="str">
        <f aca="false">SRC_Cap!$A29&amp;""</f>
        <v/>
      </c>
      <c r="B559" s="62" t="s">
        <v>10701</v>
      </c>
      <c r="C559" s="61" t="n">
        <v>29</v>
      </c>
      <c r="D559" s="92" t="n">
        <f aca="false">SRC_Cap!$O29</f>
        <v>0</v>
      </c>
      <c r="E559" s="92" t="n">
        <f aca="false">SRC_Cap!$K29</f>
        <v>0</v>
      </c>
      <c r="F559" s="92" t="n">
        <f aca="false">SRC_Cap!$S29</f>
        <v>0</v>
      </c>
    </row>
    <row r="560" customFormat="false" ht="15" hidden="false" customHeight="false" outlineLevel="0" collapsed="false">
      <c r="A560" s="92" t="str">
        <f aca="false">SRC_Cap!$A30&amp;""</f>
        <v/>
      </c>
      <c r="B560" s="62" t="s">
        <v>10701</v>
      </c>
      <c r="C560" s="61" t="n">
        <v>30</v>
      </c>
      <c r="D560" s="92" t="n">
        <f aca="false">SRC_Cap!$O30</f>
        <v>0</v>
      </c>
      <c r="E560" s="92" t="n">
        <f aca="false">SRC_Cap!$K30</f>
        <v>0</v>
      </c>
      <c r="F560" s="92" t="n">
        <f aca="false">SRC_Cap!$S30</f>
        <v>0</v>
      </c>
    </row>
    <row r="561" customFormat="false" ht="15" hidden="false" customHeight="false" outlineLevel="0" collapsed="false">
      <c r="A561" s="92" t="str">
        <f aca="false">SRC_Cap!$A31&amp;""</f>
        <v/>
      </c>
      <c r="B561" s="62" t="s">
        <v>10701</v>
      </c>
      <c r="C561" s="61" t="n">
        <v>31</v>
      </c>
      <c r="D561" s="92" t="n">
        <f aca="false">SRC_Cap!$O31</f>
        <v>0</v>
      </c>
      <c r="E561" s="92" t="n">
        <f aca="false">SRC_Cap!$K31</f>
        <v>0</v>
      </c>
      <c r="F561" s="92" t="n">
        <f aca="false">SRC_Cap!$S31</f>
        <v>0</v>
      </c>
    </row>
    <row r="562" customFormat="false" ht="15" hidden="false" customHeight="false" outlineLevel="0" collapsed="false">
      <c r="A562" s="92" t="str">
        <f aca="false">SRC_Cap!$A32&amp;""</f>
        <v/>
      </c>
      <c r="B562" s="62" t="s">
        <v>10701</v>
      </c>
      <c r="C562" s="61" t="n">
        <v>32</v>
      </c>
      <c r="D562" s="92" t="n">
        <f aca="false">SRC_Cap!$O32</f>
        <v>0</v>
      </c>
      <c r="E562" s="92" t="n">
        <f aca="false">SRC_Cap!$K32</f>
        <v>0</v>
      </c>
      <c r="F562" s="92" t="n">
        <f aca="false">SRC_Cap!$S32</f>
        <v>0</v>
      </c>
    </row>
    <row r="563" customFormat="false" ht="15" hidden="false" customHeight="false" outlineLevel="0" collapsed="false">
      <c r="A563" s="92" t="str">
        <f aca="false">SRC_Cap!$A33&amp;""</f>
        <v/>
      </c>
      <c r="B563" s="62" t="s">
        <v>10701</v>
      </c>
      <c r="C563" s="61" t="n">
        <v>33</v>
      </c>
      <c r="D563" s="92" t="n">
        <f aca="false">SRC_Cap!$O33</f>
        <v>0</v>
      </c>
      <c r="E563" s="92" t="n">
        <f aca="false">SRC_Cap!$K33</f>
        <v>0</v>
      </c>
      <c r="F563" s="92" t="n">
        <f aca="false">SRC_Cap!$S33</f>
        <v>0</v>
      </c>
    </row>
    <row r="564" customFormat="false" ht="15" hidden="false" customHeight="false" outlineLevel="0" collapsed="false">
      <c r="A564" s="92" t="str">
        <f aca="false">SRC_Cap!$A34&amp;""</f>
        <v/>
      </c>
      <c r="B564" s="62" t="s">
        <v>10701</v>
      </c>
      <c r="C564" s="61" t="n">
        <v>34</v>
      </c>
      <c r="D564" s="92" t="n">
        <f aca="false">SRC_Cap!$O34</f>
        <v>0</v>
      </c>
      <c r="E564" s="92" t="n">
        <f aca="false">SRC_Cap!$K34</f>
        <v>0</v>
      </c>
      <c r="F564" s="92" t="n">
        <f aca="false">SRC_Cap!$S34</f>
        <v>0</v>
      </c>
    </row>
    <row r="565" customFormat="false" ht="15" hidden="false" customHeight="false" outlineLevel="0" collapsed="false">
      <c r="A565" s="92" t="str">
        <f aca="false">SRC_Cap!$A35&amp;""</f>
        <v/>
      </c>
      <c r="B565" s="62" t="s">
        <v>10701</v>
      </c>
      <c r="C565" s="61" t="n">
        <v>35</v>
      </c>
      <c r="D565" s="92" t="n">
        <f aca="false">SRC_Cap!$O35</f>
        <v>0</v>
      </c>
      <c r="E565" s="92" t="n">
        <f aca="false">SRC_Cap!$K35</f>
        <v>0</v>
      </c>
      <c r="F565" s="92" t="n">
        <f aca="false">SRC_Cap!$S35</f>
        <v>0</v>
      </c>
    </row>
    <row r="566" customFormat="false" ht="15" hidden="false" customHeight="false" outlineLevel="0" collapsed="false">
      <c r="A566" s="92" t="str">
        <f aca="false">SRC_Cap!$A36&amp;""</f>
        <v/>
      </c>
      <c r="B566" s="62" t="s">
        <v>10701</v>
      </c>
      <c r="C566" s="61" t="n">
        <v>36</v>
      </c>
      <c r="D566" s="92" t="n">
        <f aca="false">SRC_Cap!$O36</f>
        <v>0</v>
      </c>
      <c r="E566" s="92" t="n">
        <f aca="false">SRC_Cap!$K36</f>
        <v>0</v>
      </c>
      <c r="F566" s="92" t="n">
        <f aca="false">SRC_Cap!$S36</f>
        <v>0</v>
      </c>
    </row>
    <row r="567" customFormat="false" ht="15" hidden="false" customHeight="false" outlineLevel="0" collapsed="false">
      <c r="A567" s="92" t="str">
        <f aca="false">SRC_Cap!$A37&amp;""</f>
        <v/>
      </c>
      <c r="B567" s="62" t="s">
        <v>10701</v>
      </c>
      <c r="C567" s="61" t="n">
        <v>37</v>
      </c>
      <c r="D567" s="92" t="n">
        <f aca="false">SRC_Cap!$O37</f>
        <v>0</v>
      </c>
      <c r="E567" s="92" t="n">
        <f aca="false">SRC_Cap!$K37</f>
        <v>0</v>
      </c>
      <c r="F567" s="92" t="n">
        <f aca="false">SRC_Cap!$S37</f>
        <v>0</v>
      </c>
    </row>
    <row r="568" customFormat="false" ht="15" hidden="false" customHeight="false" outlineLevel="0" collapsed="false">
      <c r="A568" s="92" t="str">
        <f aca="false">SRC_Cap!$A38&amp;""</f>
        <v/>
      </c>
      <c r="B568" s="62" t="s">
        <v>10701</v>
      </c>
      <c r="C568" s="61" t="n">
        <v>38</v>
      </c>
      <c r="D568" s="92" t="n">
        <f aca="false">SRC_Cap!$O38</f>
        <v>0</v>
      </c>
      <c r="E568" s="92" t="n">
        <f aca="false">SRC_Cap!$K38</f>
        <v>0</v>
      </c>
      <c r="F568" s="92" t="n">
        <f aca="false">SRC_Cap!$S38</f>
        <v>0</v>
      </c>
    </row>
    <row r="569" customFormat="false" ht="15" hidden="false" customHeight="false" outlineLevel="0" collapsed="false">
      <c r="A569" s="92" t="str">
        <f aca="false">SRC_Cap!$A39&amp;""</f>
        <v/>
      </c>
      <c r="B569" s="62" t="s">
        <v>10701</v>
      </c>
      <c r="C569" s="61" t="n">
        <v>39</v>
      </c>
      <c r="D569" s="92" t="n">
        <f aca="false">SRC_Cap!$O39</f>
        <v>0</v>
      </c>
      <c r="E569" s="92" t="n">
        <f aca="false">SRC_Cap!$K39</f>
        <v>0</v>
      </c>
      <c r="F569" s="92" t="n">
        <f aca="false">SRC_Cap!$S39</f>
        <v>0</v>
      </c>
    </row>
    <row r="570" customFormat="false" ht="15" hidden="false" customHeight="false" outlineLevel="0" collapsed="false">
      <c r="A570" s="92" t="str">
        <f aca="false">SRC_Cap!$A40&amp;""</f>
        <v/>
      </c>
      <c r="B570" s="62" t="s">
        <v>10701</v>
      </c>
      <c r="C570" s="61" t="n">
        <v>40</v>
      </c>
      <c r="D570" s="92" t="n">
        <f aca="false">SRC_Cap!$O40</f>
        <v>0</v>
      </c>
      <c r="E570" s="92" t="n">
        <f aca="false">SRC_Cap!$K40</f>
        <v>0</v>
      </c>
      <c r="F570" s="92" t="n">
        <f aca="false">SRC_Cap!$S40</f>
        <v>0</v>
      </c>
    </row>
    <row r="571" customFormat="false" ht="15" hidden="false" customHeight="false" outlineLevel="0" collapsed="false">
      <c r="A571" s="92" t="str">
        <f aca="false">SRC_Cap!$A41&amp;""</f>
        <v/>
      </c>
      <c r="B571" s="62" t="s">
        <v>10701</v>
      </c>
      <c r="C571" s="61" t="n">
        <v>41</v>
      </c>
      <c r="D571" s="92" t="n">
        <f aca="false">SRC_Cap!$O41</f>
        <v>0</v>
      </c>
      <c r="E571" s="92" t="n">
        <f aca="false">SRC_Cap!$K41</f>
        <v>0</v>
      </c>
      <c r="F571" s="92" t="n">
        <f aca="false">SRC_Cap!$S41</f>
        <v>0</v>
      </c>
    </row>
    <row r="572" customFormat="false" ht="15" hidden="false" customHeight="false" outlineLevel="0" collapsed="false">
      <c r="A572" s="92" t="str">
        <f aca="false">SRC_Cap!$A42&amp;""</f>
        <v/>
      </c>
      <c r="B572" s="62" t="s">
        <v>10701</v>
      </c>
      <c r="C572" s="61" t="n">
        <v>42</v>
      </c>
      <c r="D572" s="92" t="n">
        <f aca="false">SRC_Cap!$O42</f>
        <v>0</v>
      </c>
      <c r="E572" s="92" t="n">
        <f aca="false">SRC_Cap!$K42</f>
        <v>0</v>
      </c>
      <c r="F572" s="92" t="n">
        <f aca="false">SRC_Cap!$S42</f>
        <v>0</v>
      </c>
    </row>
    <row r="573" customFormat="false" ht="15" hidden="false" customHeight="false" outlineLevel="0" collapsed="false">
      <c r="A573" s="92" t="str">
        <f aca="false">SRC_Cap!$A43&amp;""</f>
        <v/>
      </c>
      <c r="B573" s="62" t="s">
        <v>10701</v>
      </c>
      <c r="C573" s="61" t="n">
        <v>43</v>
      </c>
      <c r="D573" s="92" t="n">
        <f aca="false">SRC_Cap!$O43</f>
        <v>0</v>
      </c>
      <c r="E573" s="92" t="n">
        <f aca="false">SRC_Cap!$K43</f>
        <v>0</v>
      </c>
      <c r="F573" s="92" t="n">
        <f aca="false">SRC_Cap!$S43</f>
        <v>0</v>
      </c>
    </row>
    <row r="574" customFormat="false" ht="15" hidden="false" customHeight="false" outlineLevel="0" collapsed="false">
      <c r="A574" s="92" t="str">
        <f aca="false">SRC_Cap!$A44&amp;""</f>
        <v/>
      </c>
      <c r="B574" s="62" t="s">
        <v>10701</v>
      </c>
      <c r="C574" s="61" t="n">
        <v>44</v>
      </c>
      <c r="D574" s="92" t="n">
        <f aca="false">SRC_Cap!$O44</f>
        <v>0</v>
      </c>
      <c r="E574" s="92" t="n">
        <f aca="false">SRC_Cap!$K44</f>
        <v>0</v>
      </c>
      <c r="F574" s="92" t="n">
        <f aca="false">SRC_Cap!$S44</f>
        <v>0</v>
      </c>
    </row>
    <row r="575" customFormat="false" ht="15" hidden="false" customHeight="false" outlineLevel="0" collapsed="false">
      <c r="A575" s="92" t="str">
        <f aca="false">SRC_Cap!$A45&amp;""</f>
        <v/>
      </c>
      <c r="B575" s="62" t="s">
        <v>10701</v>
      </c>
      <c r="C575" s="61" t="n">
        <v>45</v>
      </c>
      <c r="D575" s="92" t="n">
        <f aca="false">SRC_Cap!$O45</f>
        <v>0</v>
      </c>
      <c r="E575" s="92" t="n">
        <f aca="false">SRC_Cap!$K45</f>
        <v>0</v>
      </c>
      <c r="F575" s="92" t="n">
        <f aca="false">SRC_Cap!$S45</f>
        <v>0</v>
      </c>
    </row>
    <row r="576" customFormat="false" ht="15" hidden="false" customHeight="false" outlineLevel="0" collapsed="false">
      <c r="A576" s="92" t="str">
        <f aca="false">SRC_Cap!$A46&amp;""</f>
        <v/>
      </c>
      <c r="B576" s="62" t="s">
        <v>10701</v>
      </c>
      <c r="C576" s="61" t="n">
        <v>46</v>
      </c>
      <c r="D576" s="92" t="n">
        <f aca="false">SRC_Cap!$O46</f>
        <v>0</v>
      </c>
      <c r="E576" s="92" t="n">
        <f aca="false">SRC_Cap!$K46</f>
        <v>0</v>
      </c>
      <c r="F576" s="92" t="n">
        <f aca="false">SRC_Cap!$S46</f>
        <v>0</v>
      </c>
    </row>
    <row r="577" customFormat="false" ht="15" hidden="false" customHeight="false" outlineLevel="0" collapsed="false">
      <c r="A577" s="92" t="str">
        <f aca="false">SRC_Cap!$A47&amp;""</f>
        <v/>
      </c>
      <c r="B577" s="62" t="s">
        <v>10701</v>
      </c>
      <c r="C577" s="61" t="n">
        <v>47</v>
      </c>
      <c r="D577" s="92" t="n">
        <f aca="false">SRC_Cap!$O47</f>
        <v>0</v>
      </c>
      <c r="E577" s="92" t="n">
        <f aca="false">SRC_Cap!$K47</f>
        <v>0</v>
      </c>
      <c r="F577" s="92" t="n">
        <f aca="false">SRC_Cap!$S47</f>
        <v>0</v>
      </c>
    </row>
    <row r="578" customFormat="false" ht="15" hidden="false" customHeight="false" outlineLevel="0" collapsed="false">
      <c r="A578" s="92" t="str">
        <f aca="false">SRC_Cap!$A48&amp;""</f>
        <v/>
      </c>
      <c r="B578" s="62" t="s">
        <v>10701</v>
      </c>
      <c r="C578" s="61" t="n">
        <v>48</v>
      </c>
      <c r="D578" s="92" t="n">
        <f aca="false">SRC_Cap!$O48</f>
        <v>0</v>
      </c>
      <c r="E578" s="92" t="n">
        <f aca="false">SRC_Cap!$K48</f>
        <v>0</v>
      </c>
      <c r="F578" s="92" t="n">
        <f aca="false">SRC_Cap!$S48</f>
        <v>0</v>
      </c>
    </row>
    <row r="579" customFormat="false" ht="15" hidden="false" customHeight="false" outlineLevel="0" collapsed="false">
      <c r="A579" s="92" t="str">
        <f aca="false">SRC_Cap!$A49&amp;""</f>
        <v/>
      </c>
      <c r="B579" s="62" t="s">
        <v>10701</v>
      </c>
      <c r="C579" s="61" t="n">
        <v>49</v>
      </c>
      <c r="D579" s="92" t="n">
        <f aca="false">SRC_Cap!$O49</f>
        <v>0</v>
      </c>
      <c r="E579" s="92" t="n">
        <f aca="false">SRC_Cap!$K49</f>
        <v>0</v>
      </c>
      <c r="F579" s="92" t="n">
        <f aca="false">SRC_Cap!$S49</f>
        <v>0</v>
      </c>
    </row>
    <row r="580" customFormat="false" ht="15" hidden="false" customHeight="false" outlineLevel="0" collapsed="false">
      <c r="A580" s="92" t="str">
        <f aca="false">SRC_Cap!$A50&amp;""</f>
        <v/>
      </c>
      <c r="B580" s="62" t="s">
        <v>10701</v>
      </c>
      <c r="C580" s="61" t="n">
        <v>50</v>
      </c>
      <c r="D580" s="92" t="n">
        <f aca="false">SRC_Cap!$O50</f>
        <v>0</v>
      </c>
      <c r="E580" s="92" t="n">
        <f aca="false">SRC_Cap!$K50</f>
        <v>0</v>
      </c>
      <c r="F580" s="92" t="n">
        <f aca="false">SRC_Cap!$S50</f>
        <v>0</v>
      </c>
    </row>
    <row r="581" customFormat="false" ht="15" hidden="false" customHeight="false" outlineLevel="0" collapsed="false">
      <c r="A581" s="92" t="str">
        <f aca="false">SRC_Cap!$A51&amp;""</f>
        <v/>
      </c>
      <c r="B581" s="62" t="s">
        <v>10701</v>
      </c>
      <c r="C581" s="61" t="n">
        <v>51</v>
      </c>
      <c r="D581" s="92" t="n">
        <f aca="false">SRC_Cap!$O51</f>
        <v>0</v>
      </c>
      <c r="E581" s="92" t="n">
        <f aca="false">SRC_Cap!$K51</f>
        <v>0</v>
      </c>
      <c r="F581" s="92" t="n">
        <f aca="false">SRC_Cap!$S51</f>
        <v>0</v>
      </c>
    </row>
    <row r="582" customFormat="false" ht="15" hidden="false" customHeight="false" outlineLevel="0" collapsed="false">
      <c r="A582" s="92" t="str">
        <f aca="false">SRC_Cap!$A52&amp;""</f>
        <v/>
      </c>
      <c r="B582" s="62" t="s">
        <v>10701</v>
      </c>
      <c r="C582" s="61" t="n">
        <v>52</v>
      </c>
      <c r="D582" s="92" t="n">
        <f aca="false">SRC_Cap!$O52</f>
        <v>0</v>
      </c>
      <c r="E582" s="92" t="n">
        <f aca="false">SRC_Cap!$K52</f>
        <v>0</v>
      </c>
      <c r="F582" s="92" t="n">
        <f aca="false">SRC_Cap!$S52</f>
        <v>0</v>
      </c>
    </row>
    <row r="583" customFormat="false" ht="15" hidden="false" customHeight="false" outlineLevel="0" collapsed="false">
      <c r="A583" s="92" t="str">
        <f aca="false">SRC_Cap!$A53&amp;""</f>
        <v/>
      </c>
      <c r="B583" s="62" t="s">
        <v>10701</v>
      </c>
      <c r="C583" s="61" t="n">
        <v>53</v>
      </c>
      <c r="D583" s="92" t="n">
        <f aca="false">SRC_Cap!$O53</f>
        <v>0</v>
      </c>
      <c r="E583" s="92" t="n">
        <f aca="false">SRC_Cap!$K53</f>
        <v>0</v>
      </c>
      <c r="F583" s="92" t="n">
        <f aca="false">SRC_Cap!$S53</f>
        <v>0</v>
      </c>
    </row>
    <row r="584" customFormat="false" ht="15" hidden="false" customHeight="false" outlineLevel="0" collapsed="false">
      <c r="A584" s="92" t="str">
        <f aca="false">SRC_Cap!$A54&amp;""</f>
        <v/>
      </c>
      <c r="B584" s="62" t="s">
        <v>10701</v>
      </c>
      <c r="C584" s="61" t="n">
        <v>54</v>
      </c>
      <c r="D584" s="92" t="n">
        <f aca="false">SRC_Cap!$O54</f>
        <v>0</v>
      </c>
      <c r="E584" s="92" t="n">
        <f aca="false">SRC_Cap!$K54</f>
        <v>0</v>
      </c>
      <c r="F584" s="92" t="n">
        <f aca="false">SRC_Cap!$S54</f>
        <v>0</v>
      </c>
    </row>
    <row r="585" customFormat="false" ht="15" hidden="false" customHeight="false" outlineLevel="0" collapsed="false">
      <c r="A585" s="92" t="str">
        <f aca="false">SRC_Cap!$A55&amp;""</f>
        <v/>
      </c>
      <c r="B585" s="62" t="s">
        <v>10701</v>
      </c>
      <c r="C585" s="61" t="n">
        <v>55</v>
      </c>
      <c r="D585" s="92" t="n">
        <f aca="false">SRC_Cap!$O55</f>
        <v>0</v>
      </c>
      <c r="E585" s="92" t="n">
        <f aca="false">SRC_Cap!$K55</f>
        <v>0</v>
      </c>
      <c r="F585" s="92" t="n">
        <f aca="false">SRC_Cap!$S55</f>
        <v>0</v>
      </c>
    </row>
    <row r="586" customFormat="false" ht="15" hidden="false" customHeight="false" outlineLevel="0" collapsed="false">
      <c r="A586" s="92" t="str">
        <f aca="false">SRC_Cap!$A56&amp;""</f>
        <v/>
      </c>
      <c r="B586" s="62" t="s">
        <v>10701</v>
      </c>
      <c r="C586" s="61" t="n">
        <v>56</v>
      </c>
      <c r="D586" s="92" t="n">
        <f aca="false">SRC_Cap!$O56</f>
        <v>0</v>
      </c>
      <c r="E586" s="92" t="n">
        <f aca="false">SRC_Cap!$K56</f>
        <v>0</v>
      </c>
      <c r="F586" s="92" t="n">
        <f aca="false">SRC_Cap!$S56</f>
        <v>0</v>
      </c>
    </row>
    <row r="587" customFormat="false" ht="15" hidden="false" customHeight="false" outlineLevel="0" collapsed="false">
      <c r="A587" s="92" t="str">
        <f aca="false">SRC_Cap!$A57&amp;""</f>
        <v/>
      </c>
      <c r="B587" s="62" t="s">
        <v>10701</v>
      </c>
      <c r="C587" s="61" t="n">
        <v>57</v>
      </c>
      <c r="D587" s="92" t="n">
        <f aca="false">SRC_Cap!$O57</f>
        <v>0</v>
      </c>
      <c r="E587" s="92" t="n">
        <f aca="false">SRC_Cap!$K57</f>
        <v>0</v>
      </c>
      <c r="F587" s="92" t="n">
        <f aca="false">SRC_Cap!$S57</f>
        <v>0</v>
      </c>
    </row>
    <row r="588" customFormat="false" ht="15" hidden="false" customHeight="false" outlineLevel="0" collapsed="false">
      <c r="A588" s="92" t="str">
        <f aca="false">SRC_Cap!$A58&amp;""</f>
        <v/>
      </c>
      <c r="B588" s="62" t="s">
        <v>10701</v>
      </c>
      <c r="C588" s="61" t="n">
        <v>58</v>
      </c>
      <c r="D588" s="92" t="n">
        <f aca="false">SRC_Cap!$O58</f>
        <v>0</v>
      </c>
      <c r="E588" s="92" t="n">
        <f aca="false">SRC_Cap!$K58</f>
        <v>0</v>
      </c>
      <c r="F588" s="92" t="n">
        <f aca="false">SRC_Cap!$S58</f>
        <v>0</v>
      </c>
    </row>
    <row r="589" customFormat="false" ht="15" hidden="false" customHeight="false" outlineLevel="0" collapsed="false">
      <c r="A589" s="92" t="str">
        <f aca="false">SRC_Cap!$A59&amp;""</f>
        <v/>
      </c>
      <c r="B589" s="62" t="s">
        <v>10701</v>
      </c>
      <c r="C589" s="61" t="n">
        <v>59</v>
      </c>
      <c r="D589" s="92" t="n">
        <f aca="false">SRC_Cap!$O59</f>
        <v>0</v>
      </c>
      <c r="E589" s="92" t="n">
        <f aca="false">SRC_Cap!$K59</f>
        <v>0</v>
      </c>
      <c r="F589" s="92" t="n">
        <f aca="false">SRC_Cap!$S59</f>
        <v>0</v>
      </c>
    </row>
    <row r="590" customFormat="false" ht="15" hidden="false" customHeight="false" outlineLevel="0" collapsed="false">
      <c r="A590" s="92" t="str">
        <f aca="false">SRC_Cap!$A60&amp;""</f>
        <v/>
      </c>
      <c r="B590" s="62" t="s">
        <v>10701</v>
      </c>
      <c r="C590" s="61" t="n">
        <v>60</v>
      </c>
      <c r="D590" s="92" t="n">
        <f aca="false">SRC_Cap!$O60</f>
        <v>0</v>
      </c>
      <c r="E590" s="92" t="n">
        <f aca="false">SRC_Cap!$K60</f>
        <v>0</v>
      </c>
      <c r="F590" s="92" t="n">
        <f aca="false">SRC_Cap!$S60</f>
        <v>0</v>
      </c>
    </row>
    <row r="591" customFormat="false" ht="15" hidden="false" customHeight="false" outlineLevel="0" collapsed="false">
      <c r="A591" s="92" t="str">
        <f aca="false">SRC_Cap!$A61&amp;""</f>
        <v/>
      </c>
      <c r="B591" s="62" t="s">
        <v>10701</v>
      </c>
      <c r="C591" s="61" t="n">
        <v>61</v>
      </c>
      <c r="D591" s="92" t="n">
        <f aca="false">SRC_Cap!$O61</f>
        <v>0</v>
      </c>
      <c r="E591" s="92" t="n">
        <f aca="false">SRC_Cap!$K61</f>
        <v>0</v>
      </c>
      <c r="F591" s="92" t="n">
        <f aca="false">SRC_Cap!$S61</f>
        <v>0</v>
      </c>
    </row>
    <row r="592" customFormat="false" ht="15" hidden="false" customHeight="false" outlineLevel="0" collapsed="false">
      <c r="A592" s="92" t="str">
        <f aca="false">SRC_Cap!$A62&amp;""</f>
        <v/>
      </c>
      <c r="B592" s="62" t="s">
        <v>10701</v>
      </c>
      <c r="C592" s="61" t="n">
        <v>62</v>
      </c>
      <c r="D592" s="92" t="n">
        <f aca="false">SRC_Cap!$O62</f>
        <v>0</v>
      </c>
      <c r="E592" s="92" t="n">
        <f aca="false">SRC_Cap!$K62</f>
        <v>0</v>
      </c>
      <c r="F592" s="92" t="n">
        <f aca="false">SRC_Cap!$S62</f>
        <v>0</v>
      </c>
    </row>
    <row r="593" customFormat="false" ht="15" hidden="false" customHeight="false" outlineLevel="0" collapsed="false">
      <c r="A593" s="92" t="str">
        <f aca="false">SRC_Cap!$A63&amp;""</f>
        <v/>
      </c>
      <c r="B593" s="62" t="s">
        <v>10701</v>
      </c>
      <c r="C593" s="61" t="n">
        <v>63</v>
      </c>
      <c r="D593" s="92" t="n">
        <f aca="false">SRC_Cap!$O63</f>
        <v>0</v>
      </c>
      <c r="E593" s="92" t="n">
        <f aca="false">SRC_Cap!$K63</f>
        <v>0</v>
      </c>
      <c r="F593" s="92" t="n">
        <f aca="false">SRC_Cap!$S63</f>
        <v>0</v>
      </c>
    </row>
    <row r="594" customFormat="false" ht="15" hidden="false" customHeight="false" outlineLevel="0" collapsed="false">
      <c r="A594" s="92" t="str">
        <f aca="false">SRC_Cap!$A64&amp;""</f>
        <v/>
      </c>
      <c r="B594" s="62" t="s">
        <v>10701</v>
      </c>
      <c r="C594" s="61" t="n">
        <v>64</v>
      </c>
      <c r="D594" s="92" t="n">
        <f aca="false">SRC_Cap!$O64</f>
        <v>0</v>
      </c>
      <c r="E594" s="92" t="n">
        <f aca="false">SRC_Cap!$K64</f>
        <v>0</v>
      </c>
      <c r="F594" s="92" t="n">
        <f aca="false">SRC_Cap!$S64</f>
        <v>0</v>
      </c>
    </row>
    <row r="595" customFormat="false" ht="15" hidden="false" customHeight="false" outlineLevel="0" collapsed="false">
      <c r="A595" s="92" t="str">
        <f aca="false">SRC_Cap!$A65&amp;""</f>
        <v/>
      </c>
      <c r="B595" s="62" t="s">
        <v>10701</v>
      </c>
      <c r="C595" s="61" t="n">
        <v>65</v>
      </c>
      <c r="D595" s="92" t="n">
        <f aca="false">SRC_Cap!$O65</f>
        <v>0</v>
      </c>
      <c r="E595" s="92" t="n">
        <f aca="false">SRC_Cap!$K65</f>
        <v>0</v>
      </c>
      <c r="F595" s="92" t="n">
        <f aca="false">SRC_Cap!$S65</f>
        <v>0</v>
      </c>
    </row>
    <row r="596" customFormat="false" ht="15" hidden="false" customHeight="false" outlineLevel="0" collapsed="false">
      <c r="A596" s="92" t="str">
        <f aca="false">SRC_Cap!$A66&amp;""</f>
        <v/>
      </c>
      <c r="B596" s="62" t="s">
        <v>10701</v>
      </c>
      <c r="C596" s="61" t="n">
        <v>66</v>
      </c>
      <c r="D596" s="92" t="n">
        <f aca="false">SRC_Cap!$O66</f>
        <v>0</v>
      </c>
      <c r="E596" s="92" t="n">
        <f aca="false">SRC_Cap!$K66</f>
        <v>0</v>
      </c>
      <c r="F596" s="92" t="n">
        <f aca="false">SRC_Cap!$S66</f>
        <v>0</v>
      </c>
    </row>
    <row r="597" customFormat="false" ht="15" hidden="false" customHeight="false" outlineLevel="0" collapsed="false">
      <c r="A597" s="92" t="str">
        <f aca="false">SRC_Cap!$A67&amp;""</f>
        <v/>
      </c>
      <c r="B597" s="62" t="s">
        <v>10701</v>
      </c>
      <c r="C597" s="61" t="n">
        <v>67</v>
      </c>
      <c r="D597" s="92" t="n">
        <f aca="false">SRC_Cap!$O67</f>
        <v>0</v>
      </c>
      <c r="E597" s="92" t="n">
        <f aca="false">SRC_Cap!$K67</f>
        <v>0</v>
      </c>
      <c r="F597" s="92" t="n">
        <f aca="false">SRC_Cap!$S67</f>
        <v>0</v>
      </c>
    </row>
    <row r="598" customFormat="false" ht="15" hidden="false" customHeight="false" outlineLevel="0" collapsed="false">
      <c r="A598" s="92" t="str">
        <f aca="false">SRC_Cap!$A68&amp;""</f>
        <v/>
      </c>
      <c r="B598" s="62" t="s">
        <v>10701</v>
      </c>
      <c r="C598" s="61" t="n">
        <v>68</v>
      </c>
      <c r="D598" s="92" t="n">
        <f aca="false">SRC_Cap!$O68</f>
        <v>0</v>
      </c>
      <c r="E598" s="92" t="n">
        <f aca="false">SRC_Cap!$K68</f>
        <v>0</v>
      </c>
      <c r="F598" s="92" t="n">
        <f aca="false">SRC_Cap!$S68</f>
        <v>0</v>
      </c>
    </row>
    <row r="599" customFormat="false" ht="15" hidden="false" customHeight="false" outlineLevel="0" collapsed="false">
      <c r="A599" s="92" t="str">
        <f aca="false">SRC_Cap!$A69&amp;""</f>
        <v/>
      </c>
      <c r="B599" s="62" t="s">
        <v>10701</v>
      </c>
      <c r="C599" s="61" t="n">
        <v>69</v>
      </c>
      <c r="D599" s="92" t="n">
        <f aca="false">SRC_Cap!$O69</f>
        <v>0</v>
      </c>
      <c r="E599" s="92" t="n">
        <f aca="false">SRC_Cap!$K69</f>
        <v>0</v>
      </c>
      <c r="F599" s="92" t="n">
        <f aca="false">SRC_Cap!$S69</f>
        <v>0</v>
      </c>
    </row>
    <row r="600" customFormat="false" ht="15" hidden="false" customHeight="false" outlineLevel="0" collapsed="false">
      <c r="A600" s="92" t="str">
        <f aca="false">SRC_Cap!$A70&amp;""</f>
        <v/>
      </c>
      <c r="B600" s="62" t="s">
        <v>10701</v>
      </c>
      <c r="C600" s="61" t="n">
        <v>70</v>
      </c>
      <c r="D600" s="92" t="n">
        <f aca="false">SRC_Cap!$O70</f>
        <v>0</v>
      </c>
      <c r="E600" s="92" t="n">
        <f aca="false">SRC_Cap!$K70</f>
        <v>0</v>
      </c>
      <c r="F600" s="92" t="n">
        <f aca="false">SRC_Cap!$S70</f>
        <v>0</v>
      </c>
    </row>
    <row r="601" customFormat="false" ht="15" hidden="false" customHeight="false" outlineLevel="0" collapsed="false">
      <c r="A601" s="92" t="str">
        <f aca="false">SRC_Cap!$A71&amp;""</f>
        <v/>
      </c>
      <c r="B601" s="62" t="s">
        <v>10701</v>
      </c>
      <c r="C601" s="61" t="n">
        <v>71</v>
      </c>
      <c r="D601" s="92" t="n">
        <f aca="false">SRC_Cap!$O71</f>
        <v>0</v>
      </c>
      <c r="E601" s="92" t="n">
        <f aca="false">SRC_Cap!$K71</f>
        <v>0</v>
      </c>
      <c r="F601" s="92" t="n">
        <f aca="false">SRC_Cap!$S71</f>
        <v>0</v>
      </c>
    </row>
    <row r="602" customFormat="false" ht="15" hidden="false" customHeight="false" outlineLevel="0" collapsed="false">
      <c r="A602" s="92" t="str">
        <f aca="false">SRC_Cap!$A72&amp;""</f>
        <v/>
      </c>
      <c r="B602" s="62" t="s">
        <v>10701</v>
      </c>
      <c r="C602" s="61" t="n">
        <v>72</v>
      </c>
      <c r="D602" s="92" t="n">
        <f aca="false">SRC_Cap!$O72</f>
        <v>0</v>
      </c>
      <c r="E602" s="92" t="n">
        <f aca="false">SRC_Cap!$K72</f>
        <v>0</v>
      </c>
      <c r="F602" s="92" t="n">
        <f aca="false">SRC_Cap!$S72</f>
        <v>0</v>
      </c>
    </row>
    <row r="603" customFormat="false" ht="15" hidden="false" customHeight="false" outlineLevel="0" collapsed="false">
      <c r="A603" s="92" t="str">
        <f aca="false">SRC_Cap!$A73&amp;""</f>
        <v/>
      </c>
      <c r="B603" s="62" t="s">
        <v>10701</v>
      </c>
      <c r="C603" s="61" t="n">
        <v>73</v>
      </c>
      <c r="D603" s="92" t="n">
        <f aca="false">SRC_Cap!$O73</f>
        <v>0</v>
      </c>
      <c r="E603" s="92" t="n">
        <f aca="false">SRC_Cap!$K73</f>
        <v>0</v>
      </c>
      <c r="F603" s="92" t="n">
        <f aca="false">SRC_Cap!$S73</f>
        <v>0</v>
      </c>
    </row>
    <row r="604" customFormat="false" ht="15" hidden="false" customHeight="false" outlineLevel="0" collapsed="false">
      <c r="A604" s="92" t="str">
        <f aca="false">SRC_Cap!$A74&amp;""</f>
        <v/>
      </c>
      <c r="B604" s="62" t="s">
        <v>10701</v>
      </c>
      <c r="C604" s="61" t="n">
        <v>74</v>
      </c>
      <c r="D604" s="92" t="n">
        <f aca="false">SRC_Cap!$O74</f>
        <v>0</v>
      </c>
      <c r="E604" s="92" t="n">
        <f aca="false">SRC_Cap!$K74</f>
        <v>0</v>
      </c>
      <c r="F604" s="92" t="n">
        <f aca="false">SRC_Cap!$S74</f>
        <v>0</v>
      </c>
    </row>
    <row r="605" customFormat="false" ht="15" hidden="false" customHeight="false" outlineLevel="0" collapsed="false">
      <c r="A605" s="92" t="str">
        <f aca="false">SRC_Cap!$A75&amp;""</f>
        <v/>
      </c>
      <c r="B605" s="62" t="s">
        <v>10701</v>
      </c>
      <c r="C605" s="61" t="n">
        <v>75</v>
      </c>
      <c r="D605" s="92" t="n">
        <f aca="false">SRC_Cap!$O75</f>
        <v>0</v>
      </c>
      <c r="E605" s="92" t="n">
        <f aca="false">SRC_Cap!$K75</f>
        <v>0</v>
      </c>
      <c r="F605" s="92" t="n">
        <f aca="false">SRC_Cap!$S75</f>
        <v>0</v>
      </c>
    </row>
    <row r="606" customFormat="false" ht="15" hidden="false" customHeight="false" outlineLevel="0" collapsed="false">
      <c r="A606" s="92" t="str">
        <f aca="false">SRC_Harness!$A5&amp;""</f>
        <v>SRC_HAR_001</v>
      </c>
      <c r="B606" s="62" t="s">
        <v>10702</v>
      </c>
      <c r="C606" s="61" t="n">
        <v>5</v>
      </c>
      <c r="D606" s="92" t="str">
        <f aca="false">SRC_Harness!$O5</f>
        <v>Active</v>
      </c>
      <c r="E606" s="92" t="n">
        <f aca="false">SRC_Harness!$K5</f>
        <v>2</v>
      </c>
      <c r="F606" s="92" t="str">
        <f aca="false">SRC_Harness!$S5</f>
        <v>—</v>
      </c>
    </row>
    <row r="607" customFormat="false" ht="15" hidden="false" customHeight="false" outlineLevel="0" collapsed="false">
      <c r="A607" s="92" t="str">
        <f aca="false">SRC_Harness!$A6&amp;""</f>
        <v>SRC_HAR_002</v>
      </c>
      <c r="B607" s="62" t="s">
        <v>10702</v>
      </c>
      <c r="C607" s="61" t="n">
        <v>6</v>
      </c>
      <c r="D607" s="92" t="str">
        <f aca="false">SRC_Harness!$O6</f>
        <v>Active</v>
      </c>
      <c r="E607" s="92" t="n">
        <f aca="false">SRC_Harness!$K6</f>
        <v>2</v>
      </c>
      <c r="F607" s="92" t="str">
        <f aca="false">SRC_Harness!$S6</f>
        <v>—</v>
      </c>
    </row>
    <row r="608" customFormat="false" ht="15" hidden="false" customHeight="false" outlineLevel="0" collapsed="false">
      <c r="A608" s="92" t="str">
        <f aca="false">SRC_Harness!$A7&amp;""</f>
        <v>SRC_HAR_003</v>
      </c>
      <c r="B608" s="62" t="s">
        <v>10702</v>
      </c>
      <c r="C608" s="61" t="n">
        <v>7</v>
      </c>
      <c r="D608" s="92" t="str">
        <f aca="false">SRC_Harness!$O7</f>
        <v>Active</v>
      </c>
      <c r="E608" s="92" t="n">
        <f aca="false">SRC_Harness!$K7</f>
        <v>2</v>
      </c>
      <c r="F608" s="92" t="str">
        <f aca="false">SRC_Harness!$S7</f>
        <v>—</v>
      </c>
    </row>
    <row r="609" customFormat="false" ht="15" hidden="false" customHeight="false" outlineLevel="0" collapsed="false">
      <c r="A609" s="92" t="str">
        <f aca="false">SRC_Harness!$A8&amp;""</f>
        <v>SRC_HAR_004</v>
      </c>
      <c r="B609" s="62" t="s">
        <v>10702</v>
      </c>
      <c r="C609" s="61" t="n">
        <v>8</v>
      </c>
      <c r="D609" s="92" t="str">
        <f aca="false">SRC_Harness!$O8</f>
        <v>Active</v>
      </c>
      <c r="E609" s="92" t="n">
        <f aca="false">SRC_Harness!$K8</f>
        <v>2</v>
      </c>
      <c r="F609" s="92" t="str">
        <f aca="false">SRC_Harness!$S8</f>
        <v>—</v>
      </c>
    </row>
    <row r="610" customFormat="false" ht="15" hidden="false" customHeight="false" outlineLevel="0" collapsed="false">
      <c r="A610" s="92" t="str">
        <f aca="false">SRC_Harness!$A9&amp;""</f>
        <v>SRC_HAR_005</v>
      </c>
      <c r="B610" s="62" t="s">
        <v>10702</v>
      </c>
      <c r="C610" s="61" t="n">
        <v>9</v>
      </c>
      <c r="D610" s="92" t="str">
        <f aca="false">SRC_Harness!$O9</f>
        <v>Active</v>
      </c>
      <c r="E610" s="92" t="n">
        <f aca="false">SRC_Harness!$K9</f>
        <v>2</v>
      </c>
      <c r="F610" s="92" t="str">
        <f aca="false">SRC_Harness!$S9</f>
        <v>—</v>
      </c>
    </row>
    <row r="611" customFormat="false" ht="15" hidden="false" customHeight="false" outlineLevel="0" collapsed="false">
      <c r="A611" s="92" t="str">
        <f aca="false">SRC_Harness!$A10&amp;""</f>
        <v>SRC_HAR_006</v>
      </c>
      <c r="B611" s="62" t="s">
        <v>10702</v>
      </c>
      <c r="C611" s="61" t="n">
        <v>10</v>
      </c>
      <c r="D611" s="92" t="str">
        <f aca="false">SRC_Harness!$O10</f>
        <v>Active</v>
      </c>
      <c r="E611" s="92" t="n">
        <f aca="false">SRC_Harness!$K10</f>
        <v>2</v>
      </c>
      <c r="F611" s="92" t="str">
        <f aca="false">SRC_Harness!$S10</f>
        <v>—</v>
      </c>
    </row>
    <row r="612" customFormat="false" ht="15" hidden="false" customHeight="false" outlineLevel="0" collapsed="false">
      <c r="A612" s="92" t="str">
        <f aca="false">SRC_Harness!$A11&amp;""</f>
        <v>SRC_HAR_007</v>
      </c>
      <c r="B612" s="62" t="s">
        <v>10702</v>
      </c>
      <c r="C612" s="61" t="n">
        <v>11</v>
      </c>
      <c r="D612" s="92" t="str">
        <f aca="false">SRC_Harness!$O11</f>
        <v>Active</v>
      </c>
      <c r="E612" s="92" t="n">
        <f aca="false">SRC_Harness!$K11</f>
        <v>2</v>
      </c>
      <c r="F612" s="92" t="str">
        <f aca="false">SRC_Harness!$S11</f>
        <v>—</v>
      </c>
    </row>
    <row r="613" customFormat="false" ht="15" hidden="false" customHeight="false" outlineLevel="0" collapsed="false">
      <c r="A613" s="92" t="str">
        <f aca="false">SRC_Harness!$A12&amp;""</f>
        <v>SRC_HAR_008</v>
      </c>
      <c r="B613" s="62" t="s">
        <v>10702</v>
      </c>
      <c r="C613" s="61" t="n">
        <v>12</v>
      </c>
      <c r="D613" s="92" t="str">
        <f aca="false">SRC_Harness!$O12</f>
        <v>Active</v>
      </c>
      <c r="E613" s="92" t="n">
        <f aca="false">SRC_Harness!$K12</f>
        <v>2</v>
      </c>
      <c r="F613" s="92" t="str">
        <f aca="false">SRC_Harness!$S12</f>
        <v>—</v>
      </c>
    </row>
    <row r="614" customFormat="false" ht="15" hidden="false" customHeight="false" outlineLevel="0" collapsed="false">
      <c r="A614" s="92" t="str">
        <f aca="false">SRC_Harness!$A13&amp;""</f>
        <v>SRC_HAR_009</v>
      </c>
      <c r="B614" s="62" t="s">
        <v>10702</v>
      </c>
      <c r="C614" s="61" t="n">
        <v>13</v>
      </c>
      <c r="D614" s="92" t="str">
        <f aca="false">SRC_Harness!$O13</f>
        <v>Alt</v>
      </c>
      <c r="E614" s="92" t="n">
        <f aca="false">SRC_Harness!$K13</f>
        <v>2</v>
      </c>
      <c r="F614" s="92" t="str">
        <f aca="false">SRC_Harness!$S13</f>
        <v>—</v>
      </c>
    </row>
    <row r="615" customFormat="false" ht="15" hidden="false" customHeight="false" outlineLevel="0" collapsed="false">
      <c r="A615" s="92" t="str">
        <f aca="false">SRC_Harness!$A14&amp;""</f>
        <v>SRC_HAR_010</v>
      </c>
      <c r="B615" s="62" t="s">
        <v>10702</v>
      </c>
      <c r="C615" s="61" t="n">
        <v>14</v>
      </c>
      <c r="D615" s="92" t="str">
        <f aca="false">SRC_Harness!$O14</f>
        <v>Active</v>
      </c>
      <c r="E615" s="92" t="n">
        <f aca="false">SRC_Harness!$K14</f>
        <v>2</v>
      </c>
      <c r="F615" s="92" t="str">
        <f aca="false">SRC_Harness!$S14</f>
        <v>—</v>
      </c>
    </row>
    <row r="616" customFormat="false" ht="15" hidden="false" customHeight="false" outlineLevel="0" collapsed="false">
      <c r="A616" s="92" t="str">
        <f aca="false">SRC_Harness!$A15&amp;""</f>
        <v>SRC_HAR_011</v>
      </c>
      <c r="B616" s="62" t="s">
        <v>10702</v>
      </c>
      <c r="C616" s="61" t="n">
        <v>15</v>
      </c>
      <c r="D616" s="92" t="str">
        <f aca="false">SRC_Harness!$O15</f>
        <v>Active</v>
      </c>
      <c r="E616" s="92" t="n">
        <f aca="false">SRC_Harness!$K15</f>
        <v>2</v>
      </c>
      <c r="F616" s="92" t="str">
        <f aca="false">SRC_Harness!$S15</f>
        <v>—</v>
      </c>
    </row>
    <row r="617" customFormat="false" ht="15" hidden="false" customHeight="false" outlineLevel="0" collapsed="false">
      <c r="A617" s="92" t="str">
        <f aca="false">SRC_Harness!$A16&amp;""</f>
        <v>SRC_HAR_012</v>
      </c>
      <c r="B617" s="62" t="s">
        <v>10702</v>
      </c>
      <c r="C617" s="61" t="n">
        <v>16</v>
      </c>
      <c r="D617" s="92" t="str">
        <f aca="false">SRC_Harness!$O16</f>
        <v>Active</v>
      </c>
      <c r="E617" s="92" t="n">
        <f aca="false">SRC_Harness!$K16</f>
        <v>2</v>
      </c>
      <c r="F617" s="92" t="str">
        <f aca="false">SRC_Harness!$S16</f>
        <v>—</v>
      </c>
    </row>
    <row r="618" customFormat="false" ht="15" hidden="false" customHeight="false" outlineLevel="0" collapsed="false">
      <c r="A618" s="92" t="str">
        <f aca="false">SRC_Harness!$A17&amp;""</f>
        <v>SRC_HAR_013</v>
      </c>
      <c r="B618" s="62" t="s">
        <v>10702</v>
      </c>
      <c r="C618" s="61" t="n">
        <v>17</v>
      </c>
      <c r="D618" s="92" t="str">
        <f aca="false">SRC_Harness!$O17</f>
        <v>Active</v>
      </c>
      <c r="E618" s="92" t="n">
        <f aca="false">SRC_Harness!$K17</f>
        <v>2</v>
      </c>
      <c r="F618" s="92" t="str">
        <f aca="false">SRC_Harness!$S17</f>
        <v>—</v>
      </c>
    </row>
    <row r="619" customFormat="false" ht="15" hidden="false" customHeight="false" outlineLevel="0" collapsed="false">
      <c r="A619" s="92" t="str">
        <f aca="false">SRC_Harness!$A18&amp;""</f>
        <v>SRC_HAR_014</v>
      </c>
      <c r="B619" s="62" t="s">
        <v>10702</v>
      </c>
      <c r="C619" s="61" t="n">
        <v>18</v>
      </c>
      <c r="D619" s="92" t="str">
        <f aca="false">SRC_Harness!$O18</f>
        <v>Active</v>
      </c>
      <c r="E619" s="92" t="n">
        <f aca="false">SRC_Harness!$K18</f>
        <v>2</v>
      </c>
      <c r="F619" s="92" t="str">
        <f aca="false">SRC_Harness!$S18</f>
        <v>—</v>
      </c>
    </row>
    <row r="620" customFormat="false" ht="15" hidden="false" customHeight="false" outlineLevel="0" collapsed="false">
      <c r="A620" s="92" t="str">
        <f aca="false">SRC_Harness!$A19&amp;""</f>
        <v>SRC_HAR_015</v>
      </c>
      <c r="B620" s="62" t="s">
        <v>10702</v>
      </c>
      <c r="C620" s="61" t="n">
        <v>19</v>
      </c>
      <c r="D620" s="92" t="str">
        <f aca="false">SRC_Harness!$O19</f>
        <v>Active</v>
      </c>
      <c r="E620" s="92" t="n">
        <f aca="false">SRC_Harness!$K19</f>
        <v>2</v>
      </c>
      <c r="F620" s="92" t="str">
        <f aca="false">SRC_Harness!$S19</f>
        <v>—</v>
      </c>
    </row>
    <row r="621" customFormat="false" ht="15" hidden="false" customHeight="false" outlineLevel="0" collapsed="false">
      <c r="A621" s="92" t="str">
        <f aca="false">SRC_Harness!$A20&amp;""</f>
        <v>SRC_HAR_016</v>
      </c>
      <c r="B621" s="62" t="s">
        <v>10702</v>
      </c>
      <c r="C621" s="61" t="n">
        <v>20</v>
      </c>
      <c r="D621" s="92" t="str">
        <f aca="false">SRC_Harness!$O20</f>
        <v>Active</v>
      </c>
      <c r="E621" s="92" t="n">
        <f aca="false">SRC_Harness!$K20</f>
        <v>2</v>
      </c>
      <c r="F621" s="92" t="str">
        <f aca="false">SRC_Harness!$S20</f>
        <v>—</v>
      </c>
    </row>
    <row r="622" customFormat="false" ht="15" hidden="false" customHeight="false" outlineLevel="0" collapsed="false">
      <c r="A622" s="92" t="str">
        <f aca="false">SRC_Harness!$A21&amp;""</f>
        <v/>
      </c>
      <c r="B622" s="62" t="s">
        <v>10702</v>
      </c>
      <c r="C622" s="61" t="n">
        <v>21</v>
      </c>
      <c r="D622" s="92" t="n">
        <f aca="false">SRC_Harness!$O21</f>
        <v>0</v>
      </c>
      <c r="E622" s="92" t="n">
        <f aca="false">SRC_Harness!$K21</f>
        <v>0</v>
      </c>
      <c r="F622" s="92" t="n">
        <f aca="false">SRC_Harness!$S21</f>
        <v>0</v>
      </c>
    </row>
    <row r="623" customFormat="false" ht="15" hidden="false" customHeight="false" outlineLevel="0" collapsed="false">
      <c r="A623" s="92" t="str">
        <f aca="false">SRC_Harness!$A22&amp;""</f>
        <v/>
      </c>
      <c r="B623" s="62" t="s">
        <v>10702</v>
      </c>
      <c r="C623" s="61" t="n">
        <v>22</v>
      </c>
      <c r="D623" s="92" t="n">
        <f aca="false">SRC_Harness!$O22</f>
        <v>0</v>
      </c>
      <c r="E623" s="92" t="n">
        <f aca="false">SRC_Harness!$K22</f>
        <v>0</v>
      </c>
      <c r="F623" s="92" t="n">
        <f aca="false">SRC_Harness!$S22</f>
        <v>0</v>
      </c>
    </row>
    <row r="624" customFormat="false" ht="15" hidden="false" customHeight="false" outlineLevel="0" collapsed="false">
      <c r="A624" s="92" t="str">
        <f aca="false">SRC_Harness!$A23&amp;""</f>
        <v/>
      </c>
      <c r="B624" s="62" t="s">
        <v>10702</v>
      </c>
      <c r="C624" s="61" t="n">
        <v>23</v>
      </c>
      <c r="D624" s="92" t="n">
        <f aca="false">SRC_Harness!$O23</f>
        <v>0</v>
      </c>
      <c r="E624" s="92" t="n">
        <f aca="false">SRC_Harness!$K23</f>
        <v>0</v>
      </c>
      <c r="F624" s="92" t="n">
        <f aca="false">SRC_Harness!$S23</f>
        <v>0</v>
      </c>
    </row>
    <row r="625" customFormat="false" ht="15" hidden="false" customHeight="false" outlineLevel="0" collapsed="false">
      <c r="A625" s="92" t="str">
        <f aca="false">SRC_Harness!$A24&amp;""</f>
        <v/>
      </c>
      <c r="B625" s="62" t="s">
        <v>10702</v>
      </c>
      <c r="C625" s="61" t="n">
        <v>24</v>
      </c>
      <c r="D625" s="92" t="n">
        <f aca="false">SRC_Harness!$O24</f>
        <v>0</v>
      </c>
      <c r="E625" s="92" t="n">
        <f aca="false">SRC_Harness!$K24</f>
        <v>0</v>
      </c>
      <c r="F625" s="92" t="n">
        <f aca="false">SRC_Harness!$S24</f>
        <v>0</v>
      </c>
    </row>
    <row r="626" customFormat="false" ht="15" hidden="false" customHeight="false" outlineLevel="0" collapsed="false">
      <c r="A626" s="92" t="str">
        <f aca="false">SRC_Harness!$A25&amp;""</f>
        <v/>
      </c>
      <c r="B626" s="62" t="s">
        <v>10702</v>
      </c>
      <c r="C626" s="61" t="n">
        <v>25</v>
      </c>
      <c r="D626" s="92" t="n">
        <f aca="false">SRC_Harness!$O25</f>
        <v>0</v>
      </c>
      <c r="E626" s="92" t="n">
        <f aca="false">SRC_Harness!$K25</f>
        <v>0</v>
      </c>
      <c r="F626" s="92" t="n">
        <f aca="false">SRC_Harness!$S25</f>
        <v>0</v>
      </c>
    </row>
    <row r="627" customFormat="false" ht="15" hidden="false" customHeight="false" outlineLevel="0" collapsed="false">
      <c r="A627" s="92" t="str">
        <f aca="false">SRC_Harness!$A26&amp;""</f>
        <v/>
      </c>
      <c r="B627" s="62" t="s">
        <v>10702</v>
      </c>
      <c r="C627" s="61" t="n">
        <v>26</v>
      </c>
      <c r="D627" s="92" t="n">
        <f aca="false">SRC_Harness!$O26</f>
        <v>0</v>
      </c>
      <c r="E627" s="92" t="n">
        <f aca="false">SRC_Harness!$K26</f>
        <v>0</v>
      </c>
      <c r="F627" s="92" t="n">
        <f aca="false">SRC_Harness!$S26</f>
        <v>0</v>
      </c>
    </row>
    <row r="628" customFormat="false" ht="15" hidden="false" customHeight="false" outlineLevel="0" collapsed="false">
      <c r="A628" s="92" t="str">
        <f aca="false">SRC_Harness!$A27&amp;""</f>
        <v/>
      </c>
      <c r="B628" s="62" t="s">
        <v>10702</v>
      </c>
      <c r="C628" s="61" t="n">
        <v>27</v>
      </c>
      <c r="D628" s="92" t="n">
        <f aca="false">SRC_Harness!$O27</f>
        <v>0</v>
      </c>
      <c r="E628" s="92" t="n">
        <f aca="false">SRC_Harness!$K27</f>
        <v>0</v>
      </c>
      <c r="F628" s="92" t="n">
        <f aca="false">SRC_Harness!$S27</f>
        <v>0</v>
      </c>
    </row>
    <row r="629" customFormat="false" ht="15" hidden="false" customHeight="false" outlineLevel="0" collapsed="false">
      <c r="A629" s="92" t="str">
        <f aca="false">SRC_Harness!$A28&amp;""</f>
        <v/>
      </c>
      <c r="B629" s="62" t="s">
        <v>10702</v>
      </c>
      <c r="C629" s="61" t="n">
        <v>28</v>
      </c>
      <c r="D629" s="92" t="n">
        <f aca="false">SRC_Harness!$O28</f>
        <v>0</v>
      </c>
      <c r="E629" s="92" t="n">
        <f aca="false">SRC_Harness!$K28</f>
        <v>0</v>
      </c>
      <c r="F629" s="92" t="n">
        <f aca="false">SRC_Harness!$S28</f>
        <v>0</v>
      </c>
    </row>
    <row r="630" customFormat="false" ht="15" hidden="false" customHeight="false" outlineLevel="0" collapsed="false">
      <c r="A630" s="92" t="str">
        <f aca="false">SRC_Harness!$A29&amp;""</f>
        <v/>
      </c>
      <c r="B630" s="62" t="s">
        <v>10702</v>
      </c>
      <c r="C630" s="61" t="n">
        <v>29</v>
      </c>
      <c r="D630" s="92" t="n">
        <f aca="false">SRC_Harness!$O29</f>
        <v>0</v>
      </c>
      <c r="E630" s="92" t="n">
        <f aca="false">SRC_Harness!$K29</f>
        <v>0</v>
      </c>
      <c r="F630" s="92" t="n">
        <f aca="false">SRC_Harness!$S29</f>
        <v>0</v>
      </c>
    </row>
    <row r="631" customFormat="false" ht="15" hidden="false" customHeight="false" outlineLevel="0" collapsed="false">
      <c r="A631" s="92" t="str">
        <f aca="false">SRC_Harness!$A30&amp;""</f>
        <v/>
      </c>
      <c r="B631" s="62" t="s">
        <v>10702</v>
      </c>
      <c r="C631" s="61" t="n">
        <v>30</v>
      </c>
      <c r="D631" s="92" t="n">
        <f aca="false">SRC_Harness!$O30</f>
        <v>0</v>
      </c>
      <c r="E631" s="92" t="n">
        <f aca="false">SRC_Harness!$K30</f>
        <v>0</v>
      </c>
      <c r="F631" s="92" t="n">
        <f aca="false">SRC_Harness!$S30</f>
        <v>0</v>
      </c>
    </row>
    <row r="632" customFormat="false" ht="15" hidden="false" customHeight="false" outlineLevel="0" collapsed="false">
      <c r="A632" s="92" t="str">
        <f aca="false">SRC_Harness!$A31&amp;""</f>
        <v/>
      </c>
      <c r="B632" s="62" t="s">
        <v>10702</v>
      </c>
      <c r="C632" s="61" t="n">
        <v>31</v>
      </c>
      <c r="D632" s="92" t="n">
        <f aca="false">SRC_Harness!$O31</f>
        <v>0</v>
      </c>
      <c r="E632" s="92" t="n">
        <f aca="false">SRC_Harness!$K31</f>
        <v>0</v>
      </c>
      <c r="F632" s="92" t="n">
        <f aca="false">SRC_Harness!$S31</f>
        <v>0</v>
      </c>
    </row>
    <row r="633" customFormat="false" ht="15" hidden="false" customHeight="false" outlineLevel="0" collapsed="false">
      <c r="A633" s="92" t="str">
        <f aca="false">SRC_Harness!$A32&amp;""</f>
        <v/>
      </c>
      <c r="B633" s="62" t="s">
        <v>10702</v>
      </c>
      <c r="C633" s="61" t="n">
        <v>32</v>
      </c>
      <c r="D633" s="92" t="n">
        <f aca="false">SRC_Harness!$O32</f>
        <v>0</v>
      </c>
      <c r="E633" s="92" t="n">
        <f aca="false">SRC_Harness!$K32</f>
        <v>0</v>
      </c>
      <c r="F633" s="92" t="n">
        <f aca="false">SRC_Harness!$S32</f>
        <v>0</v>
      </c>
    </row>
    <row r="634" customFormat="false" ht="15" hidden="false" customHeight="false" outlineLevel="0" collapsed="false">
      <c r="A634" s="92" t="str">
        <f aca="false">SRC_Harness!$A33&amp;""</f>
        <v/>
      </c>
      <c r="B634" s="62" t="s">
        <v>10702</v>
      </c>
      <c r="C634" s="61" t="n">
        <v>33</v>
      </c>
      <c r="D634" s="92" t="n">
        <f aca="false">SRC_Harness!$O33</f>
        <v>0</v>
      </c>
      <c r="E634" s="92" t="n">
        <f aca="false">SRC_Harness!$K33</f>
        <v>0</v>
      </c>
      <c r="F634" s="92" t="n">
        <f aca="false">SRC_Harness!$S33</f>
        <v>0</v>
      </c>
    </row>
    <row r="635" customFormat="false" ht="15" hidden="false" customHeight="false" outlineLevel="0" collapsed="false">
      <c r="A635" s="92" t="str">
        <f aca="false">SRC_Harness!$A34&amp;""</f>
        <v/>
      </c>
      <c r="B635" s="62" t="s">
        <v>10702</v>
      </c>
      <c r="C635" s="61" t="n">
        <v>34</v>
      </c>
      <c r="D635" s="92" t="n">
        <f aca="false">SRC_Harness!$O34</f>
        <v>0</v>
      </c>
      <c r="E635" s="92" t="n">
        <f aca="false">SRC_Harness!$K34</f>
        <v>0</v>
      </c>
      <c r="F635" s="92" t="n">
        <f aca="false">SRC_Harness!$S34</f>
        <v>0</v>
      </c>
    </row>
    <row r="636" customFormat="false" ht="15" hidden="false" customHeight="false" outlineLevel="0" collapsed="false">
      <c r="A636" s="92" t="str">
        <f aca="false">SRC_Harness!$A35&amp;""</f>
        <v/>
      </c>
      <c r="B636" s="62" t="s">
        <v>10702</v>
      </c>
      <c r="C636" s="61" t="n">
        <v>35</v>
      </c>
      <c r="D636" s="92" t="n">
        <f aca="false">SRC_Harness!$O35</f>
        <v>0</v>
      </c>
      <c r="E636" s="92" t="n">
        <f aca="false">SRC_Harness!$K35</f>
        <v>0</v>
      </c>
      <c r="F636" s="92" t="n">
        <f aca="false">SRC_Harness!$S35</f>
        <v>0</v>
      </c>
    </row>
    <row r="637" customFormat="false" ht="15" hidden="false" customHeight="false" outlineLevel="0" collapsed="false">
      <c r="A637" s="92" t="str">
        <f aca="false">SRC_Harness!$A36&amp;""</f>
        <v/>
      </c>
      <c r="B637" s="62" t="s">
        <v>10702</v>
      </c>
      <c r="C637" s="61" t="n">
        <v>36</v>
      </c>
      <c r="D637" s="92" t="n">
        <f aca="false">SRC_Harness!$O36</f>
        <v>0</v>
      </c>
      <c r="E637" s="92" t="n">
        <f aca="false">SRC_Harness!$K36</f>
        <v>0</v>
      </c>
      <c r="F637" s="92" t="n">
        <f aca="false">SRC_Harness!$S36</f>
        <v>0</v>
      </c>
    </row>
    <row r="638" customFormat="false" ht="15" hidden="false" customHeight="false" outlineLevel="0" collapsed="false">
      <c r="A638" s="92" t="str">
        <f aca="false">SRC_Harness!$A37&amp;""</f>
        <v/>
      </c>
      <c r="B638" s="62" t="s">
        <v>10702</v>
      </c>
      <c r="C638" s="61" t="n">
        <v>37</v>
      </c>
      <c r="D638" s="92" t="n">
        <f aca="false">SRC_Harness!$O37</f>
        <v>0</v>
      </c>
      <c r="E638" s="92" t="n">
        <f aca="false">SRC_Harness!$K37</f>
        <v>0</v>
      </c>
      <c r="F638" s="92" t="n">
        <f aca="false">SRC_Harness!$S37</f>
        <v>0</v>
      </c>
    </row>
    <row r="639" customFormat="false" ht="15" hidden="false" customHeight="false" outlineLevel="0" collapsed="false">
      <c r="A639" s="92" t="str">
        <f aca="false">SRC_Harness!$A38&amp;""</f>
        <v/>
      </c>
      <c r="B639" s="62" t="s">
        <v>10702</v>
      </c>
      <c r="C639" s="61" t="n">
        <v>38</v>
      </c>
      <c r="D639" s="92" t="n">
        <f aca="false">SRC_Harness!$O38</f>
        <v>0</v>
      </c>
      <c r="E639" s="92" t="n">
        <f aca="false">SRC_Harness!$K38</f>
        <v>0</v>
      </c>
      <c r="F639" s="92" t="n">
        <f aca="false">SRC_Harness!$S38</f>
        <v>0</v>
      </c>
    </row>
    <row r="640" customFormat="false" ht="15" hidden="false" customHeight="false" outlineLevel="0" collapsed="false">
      <c r="A640" s="92" t="str">
        <f aca="false">SRC_Harness!$A39&amp;""</f>
        <v/>
      </c>
      <c r="B640" s="62" t="s">
        <v>10702</v>
      </c>
      <c r="C640" s="61" t="n">
        <v>39</v>
      </c>
      <c r="D640" s="92" t="n">
        <f aca="false">SRC_Harness!$O39</f>
        <v>0</v>
      </c>
      <c r="E640" s="92" t="n">
        <f aca="false">SRC_Harness!$K39</f>
        <v>0</v>
      </c>
      <c r="F640" s="92" t="n">
        <f aca="false">SRC_Harness!$S39</f>
        <v>0</v>
      </c>
    </row>
    <row r="641" customFormat="false" ht="15" hidden="false" customHeight="false" outlineLevel="0" collapsed="false">
      <c r="A641" s="92" t="str">
        <f aca="false">SRC_Harness!$A40&amp;""</f>
        <v/>
      </c>
      <c r="B641" s="62" t="s">
        <v>10702</v>
      </c>
      <c r="C641" s="61" t="n">
        <v>40</v>
      </c>
      <c r="D641" s="92" t="n">
        <f aca="false">SRC_Harness!$O40</f>
        <v>0</v>
      </c>
      <c r="E641" s="92" t="n">
        <f aca="false">SRC_Harness!$K40</f>
        <v>0</v>
      </c>
      <c r="F641" s="92" t="n">
        <f aca="false">SRC_Harness!$S40</f>
        <v>0</v>
      </c>
    </row>
    <row r="642" customFormat="false" ht="15" hidden="false" customHeight="false" outlineLevel="0" collapsed="false">
      <c r="A642" s="92" t="str">
        <f aca="false">SRC_Harness!$A41&amp;""</f>
        <v/>
      </c>
      <c r="B642" s="62" t="s">
        <v>10702</v>
      </c>
      <c r="C642" s="61" t="n">
        <v>41</v>
      </c>
      <c r="D642" s="92" t="n">
        <f aca="false">SRC_Harness!$O41</f>
        <v>0</v>
      </c>
      <c r="E642" s="92" t="n">
        <f aca="false">SRC_Harness!$K41</f>
        <v>0</v>
      </c>
      <c r="F642" s="92" t="n">
        <f aca="false">SRC_Harness!$S41</f>
        <v>0</v>
      </c>
    </row>
    <row r="643" customFormat="false" ht="15" hidden="false" customHeight="false" outlineLevel="0" collapsed="false">
      <c r="A643" s="92" t="str">
        <f aca="false">SRC_Harness!$A42&amp;""</f>
        <v/>
      </c>
      <c r="B643" s="62" t="s">
        <v>10702</v>
      </c>
      <c r="C643" s="61" t="n">
        <v>42</v>
      </c>
      <c r="D643" s="92" t="n">
        <f aca="false">SRC_Harness!$O42</f>
        <v>0</v>
      </c>
      <c r="E643" s="92" t="n">
        <f aca="false">SRC_Harness!$K42</f>
        <v>0</v>
      </c>
      <c r="F643" s="92" t="n">
        <f aca="false">SRC_Harness!$S42</f>
        <v>0</v>
      </c>
    </row>
    <row r="644" customFormat="false" ht="15" hidden="false" customHeight="false" outlineLevel="0" collapsed="false">
      <c r="A644" s="92" t="str">
        <f aca="false">SRC_Harness!$A43&amp;""</f>
        <v/>
      </c>
      <c r="B644" s="62" t="s">
        <v>10702</v>
      </c>
      <c r="C644" s="61" t="n">
        <v>43</v>
      </c>
      <c r="D644" s="92" t="n">
        <f aca="false">SRC_Harness!$O43</f>
        <v>0</v>
      </c>
      <c r="E644" s="92" t="n">
        <f aca="false">SRC_Harness!$K43</f>
        <v>0</v>
      </c>
      <c r="F644" s="92" t="n">
        <f aca="false">SRC_Harness!$S43</f>
        <v>0</v>
      </c>
    </row>
    <row r="645" customFormat="false" ht="15" hidden="false" customHeight="false" outlineLevel="0" collapsed="false">
      <c r="A645" s="92" t="str">
        <f aca="false">SRC_Harness!$A44&amp;""</f>
        <v/>
      </c>
      <c r="B645" s="62" t="s">
        <v>10702</v>
      </c>
      <c r="C645" s="61" t="n">
        <v>44</v>
      </c>
      <c r="D645" s="92" t="n">
        <f aca="false">SRC_Harness!$O44</f>
        <v>0</v>
      </c>
      <c r="E645" s="92" t="n">
        <f aca="false">SRC_Harness!$K44</f>
        <v>0</v>
      </c>
      <c r="F645" s="92" t="n">
        <f aca="false">SRC_Harness!$S44</f>
        <v>0</v>
      </c>
    </row>
    <row r="646" customFormat="false" ht="15" hidden="false" customHeight="false" outlineLevel="0" collapsed="false">
      <c r="A646" s="92" t="str">
        <f aca="false">SRC_Harness!$A45&amp;""</f>
        <v/>
      </c>
      <c r="B646" s="62" t="s">
        <v>10702</v>
      </c>
      <c r="C646" s="61" t="n">
        <v>45</v>
      </c>
      <c r="D646" s="92" t="n">
        <f aca="false">SRC_Harness!$O45</f>
        <v>0</v>
      </c>
      <c r="E646" s="92" t="n">
        <f aca="false">SRC_Harness!$K45</f>
        <v>0</v>
      </c>
      <c r="F646" s="92" t="n">
        <f aca="false">SRC_Harness!$S45</f>
        <v>0</v>
      </c>
    </row>
    <row r="647" customFormat="false" ht="15" hidden="false" customHeight="false" outlineLevel="0" collapsed="false">
      <c r="A647" s="92" t="str">
        <f aca="false">SRC_Harness!$A46&amp;""</f>
        <v/>
      </c>
      <c r="B647" s="62" t="s">
        <v>10702</v>
      </c>
      <c r="C647" s="61" t="n">
        <v>46</v>
      </c>
      <c r="D647" s="92" t="n">
        <f aca="false">SRC_Harness!$O46</f>
        <v>0</v>
      </c>
      <c r="E647" s="92" t="n">
        <f aca="false">SRC_Harness!$K46</f>
        <v>0</v>
      </c>
      <c r="F647" s="92" t="n">
        <f aca="false">SRC_Harness!$S46</f>
        <v>0</v>
      </c>
    </row>
    <row r="648" customFormat="false" ht="15" hidden="false" customHeight="false" outlineLevel="0" collapsed="false">
      <c r="A648" s="92" t="str">
        <f aca="false">SRC_Harness!$A47&amp;""</f>
        <v/>
      </c>
      <c r="B648" s="62" t="s">
        <v>10702</v>
      </c>
      <c r="C648" s="61" t="n">
        <v>47</v>
      </c>
      <c r="D648" s="92" t="n">
        <f aca="false">SRC_Harness!$O47</f>
        <v>0</v>
      </c>
      <c r="E648" s="92" t="n">
        <f aca="false">SRC_Harness!$K47</f>
        <v>0</v>
      </c>
      <c r="F648" s="92" t="n">
        <f aca="false">SRC_Harness!$S47</f>
        <v>0</v>
      </c>
    </row>
    <row r="649" customFormat="false" ht="15" hidden="false" customHeight="false" outlineLevel="0" collapsed="false">
      <c r="A649" s="92" t="str">
        <f aca="false">SRC_Harness!$A48&amp;""</f>
        <v/>
      </c>
      <c r="B649" s="62" t="s">
        <v>10702</v>
      </c>
      <c r="C649" s="61" t="n">
        <v>48</v>
      </c>
      <c r="D649" s="92" t="n">
        <f aca="false">SRC_Harness!$O48</f>
        <v>0</v>
      </c>
      <c r="E649" s="92" t="n">
        <f aca="false">SRC_Harness!$K48</f>
        <v>0</v>
      </c>
      <c r="F649" s="92" t="n">
        <f aca="false">SRC_Harness!$S48</f>
        <v>0</v>
      </c>
    </row>
    <row r="650" customFormat="false" ht="15" hidden="false" customHeight="false" outlineLevel="0" collapsed="false">
      <c r="A650" s="92" t="str">
        <f aca="false">SRC_Harness!$A49&amp;""</f>
        <v/>
      </c>
      <c r="B650" s="62" t="s">
        <v>10702</v>
      </c>
      <c r="C650" s="61" t="n">
        <v>49</v>
      </c>
      <c r="D650" s="92" t="n">
        <f aca="false">SRC_Harness!$O49</f>
        <v>0</v>
      </c>
      <c r="E650" s="92" t="n">
        <f aca="false">SRC_Harness!$K49</f>
        <v>0</v>
      </c>
      <c r="F650" s="92" t="n">
        <f aca="false">SRC_Harness!$S49</f>
        <v>0</v>
      </c>
    </row>
    <row r="651" customFormat="false" ht="15" hidden="false" customHeight="false" outlineLevel="0" collapsed="false">
      <c r="A651" s="92" t="str">
        <f aca="false">SRC_Harness!$A50&amp;""</f>
        <v/>
      </c>
      <c r="B651" s="62" t="s">
        <v>10702</v>
      </c>
      <c r="C651" s="61" t="n">
        <v>50</v>
      </c>
      <c r="D651" s="92" t="n">
        <f aca="false">SRC_Harness!$O50</f>
        <v>0</v>
      </c>
      <c r="E651" s="92" t="n">
        <f aca="false">SRC_Harness!$K50</f>
        <v>0</v>
      </c>
      <c r="F651" s="92" t="n">
        <f aca="false">SRC_Harness!$S50</f>
        <v>0</v>
      </c>
    </row>
    <row r="652" customFormat="false" ht="15" hidden="false" customHeight="false" outlineLevel="0" collapsed="false">
      <c r="A652" s="92" t="str">
        <f aca="false">SRC_Harness!$A51&amp;""</f>
        <v/>
      </c>
      <c r="B652" s="62" t="s">
        <v>10702</v>
      </c>
      <c r="C652" s="61" t="n">
        <v>51</v>
      </c>
      <c r="D652" s="92" t="n">
        <f aca="false">SRC_Harness!$O51</f>
        <v>0</v>
      </c>
      <c r="E652" s="92" t="n">
        <f aca="false">SRC_Harness!$K51</f>
        <v>0</v>
      </c>
      <c r="F652" s="92" t="n">
        <f aca="false">SRC_Harness!$S51</f>
        <v>0</v>
      </c>
    </row>
    <row r="653" customFormat="false" ht="15" hidden="false" customHeight="false" outlineLevel="0" collapsed="false">
      <c r="A653" s="92" t="str">
        <f aca="false">SRC_Harness!$A52&amp;""</f>
        <v/>
      </c>
      <c r="B653" s="62" t="s">
        <v>10702</v>
      </c>
      <c r="C653" s="61" t="n">
        <v>52</v>
      </c>
      <c r="D653" s="92" t="n">
        <f aca="false">SRC_Harness!$O52</f>
        <v>0</v>
      </c>
      <c r="E653" s="92" t="n">
        <f aca="false">SRC_Harness!$K52</f>
        <v>0</v>
      </c>
      <c r="F653" s="92" t="n">
        <f aca="false">SRC_Harness!$S52</f>
        <v>0</v>
      </c>
    </row>
    <row r="654" customFormat="false" ht="15" hidden="false" customHeight="false" outlineLevel="0" collapsed="false">
      <c r="A654" s="92" t="str">
        <f aca="false">SRC_Harness!$A53&amp;""</f>
        <v/>
      </c>
      <c r="B654" s="62" t="s">
        <v>10702</v>
      </c>
      <c r="C654" s="61" t="n">
        <v>53</v>
      </c>
      <c r="D654" s="92" t="n">
        <f aca="false">SRC_Harness!$O53</f>
        <v>0</v>
      </c>
      <c r="E654" s="92" t="n">
        <f aca="false">SRC_Harness!$K53</f>
        <v>0</v>
      </c>
      <c r="F654" s="92" t="n">
        <f aca="false">SRC_Harness!$S53</f>
        <v>0</v>
      </c>
    </row>
    <row r="655" customFormat="false" ht="15" hidden="false" customHeight="false" outlineLevel="0" collapsed="false">
      <c r="A655" s="92" t="str">
        <f aca="false">SRC_Harness!$A54&amp;""</f>
        <v/>
      </c>
      <c r="B655" s="62" t="s">
        <v>10702</v>
      </c>
      <c r="C655" s="61" t="n">
        <v>54</v>
      </c>
      <c r="D655" s="92" t="n">
        <f aca="false">SRC_Harness!$O54</f>
        <v>0</v>
      </c>
      <c r="E655" s="92" t="n">
        <f aca="false">SRC_Harness!$K54</f>
        <v>0</v>
      </c>
      <c r="F655" s="92" t="n">
        <f aca="false">SRC_Harness!$S54</f>
        <v>0</v>
      </c>
    </row>
    <row r="656" customFormat="false" ht="15" hidden="false" customHeight="false" outlineLevel="0" collapsed="false">
      <c r="A656" s="92" t="str">
        <f aca="false">SRC_Harness!$A55&amp;""</f>
        <v/>
      </c>
      <c r="B656" s="62" t="s">
        <v>10702</v>
      </c>
      <c r="C656" s="61" t="n">
        <v>55</v>
      </c>
      <c r="D656" s="92" t="n">
        <f aca="false">SRC_Harness!$O55</f>
        <v>0</v>
      </c>
      <c r="E656" s="92" t="n">
        <f aca="false">SRC_Harness!$K55</f>
        <v>0</v>
      </c>
      <c r="F656" s="92" t="n">
        <f aca="false">SRC_Harness!$S55</f>
        <v>0</v>
      </c>
    </row>
    <row r="657" customFormat="false" ht="15" hidden="false" customHeight="false" outlineLevel="0" collapsed="false">
      <c r="A657" s="92" t="str">
        <f aca="false">SRC_Harness!$A56&amp;""</f>
        <v/>
      </c>
      <c r="B657" s="62" t="s">
        <v>10702</v>
      </c>
      <c r="C657" s="61" t="n">
        <v>56</v>
      </c>
      <c r="D657" s="92" t="n">
        <f aca="false">SRC_Harness!$O56</f>
        <v>0</v>
      </c>
      <c r="E657" s="92" t="n">
        <f aca="false">SRC_Harness!$K56</f>
        <v>0</v>
      </c>
      <c r="F657" s="92" t="n">
        <f aca="false">SRC_Harness!$S56</f>
        <v>0</v>
      </c>
    </row>
    <row r="658" customFormat="false" ht="15" hidden="false" customHeight="false" outlineLevel="0" collapsed="false">
      <c r="A658" s="92" t="str">
        <f aca="false">SRC_Harness!$A57&amp;""</f>
        <v/>
      </c>
      <c r="B658" s="62" t="s">
        <v>10702</v>
      </c>
      <c r="C658" s="61" t="n">
        <v>57</v>
      </c>
      <c r="D658" s="92" t="n">
        <f aca="false">SRC_Harness!$O57</f>
        <v>0</v>
      </c>
      <c r="E658" s="92" t="n">
        <f aca="false">SRC_Harness!$K57</f>
        <v>0</v>
      </c>
      <c r="F658" s="92" t="n">
        <f aca="false">SRC_Harness!$S57</f>
        <v>0</v>
      </c>
    </row>
    <row r="659" customFormat="false" ht="15" hidden="false" customHeight="false" outlineLevel="0" collapsed="false">
      <c r="A659" s="92" t="str">
        <f aca="false">SRC_Harness!$A58&amp;""</f>
        <v/>
      </c>
      <c r="B659" s="62" t="s">
        <v>10702</v>
      </c>
      <c r="C659" s="61" t="n">
        <v>58</v>
      </c>
      <c r="D659" s="92" t="n">
        <f aca="false">SRC_Harness!$O58</f>
        <v>0</v>
      </c>
      <c r="E659" s="92" t="n">
        <f aca="false">SRC_Harness!$K58</f>
        <v>0</v>
      </c>
      <c r="F659" s="92" t="n">
        <f aca="false">SRC_Harness!$S58</f>
        <v>0</v>
      </c>
    </row>
    <row r="660" customFormat="false" ht="15" hidden="false" customHeight="false" outlineLevel="0" collapsed="false">
      <c r="A660" s="92" t="str">
        <f aca="false">SRC_Harness!$A59&amp;""</f>
        <v/>
      </c>
      <c r="B660" s="62" t="s">
        <v>10702</v>
      </c>
      <c r="C660" s="61" t="n">
        <v>59</v>
      </c>
      <c r="D660" s="92" t="n">
        <f aca="false">SRC_Harness!$O59</f>
        <v>0</v>
      </c>
      <c r="E660" s="92" t="n">
        <f aca="false">SRC_Harness!$K59</f>
        <v>0</v>
      </c>
      <c r="F660" s="92" t="n">
        <f aca="false">SRC_Harness!$S59</f>
        <v>0</v>
      </c>
    </row>
    <row r="661" customFormat="false" ht="15" hidden="false" customHeight="false" outlineLevel="0" collapsed="false">
      <c r="A661" s="92" t="str">
        <f aca="false">SRC_Harness!$A60&amp;""</f>
        <v/>
      </c>
      <c r="B661" s="62" t="s">
        <v>10702</v>
      </c>
      <c r="C661" s="61" t="n">
        <v>60</v>
      </c>
      <c r="D661" s="92" t="n">
        <f aca="false">SRC_Harness!$O60</f>
        <v>0</v>
      </c>
      <c r="E661" s="92" t="n">
        <f aca="false">SRC_Harness!$K60</f>
        <v>0</v>
      </c>
      <c r="F661" s="92" t="n">
        <f aca="false">SRC_Harness!$S60</f>
        <v>0</v>
      </c>
    </row>
    <row r="662" customFormat="false" ht="15" hidden="false" customHeight="false" outlineLevel="0" collapsed="false">
      <c r="A662" s="92" t="str">
        <f aca="false">SRC_Harness!$A61&amp;""</f>
        <v/>
      </c>
      <c r="B662" s="62" t="s">
        <v>10702</v>
      </c>
      <c r="C662" s="61" t="n">
        <v>61</v>
      </c>
      <c r="D662" s="92" t="n">
        <f aca="false">SRC_Harness!$O61</f>
        <v>0</v>
      </c>
      <c r="E662" s="92" t="n">
        <f aca="false">SRC_Harness!$K61</f>
        <v>0</v>
      </c>
      <c r="F662" s="92" t="n">
        <f aca="false">SRC_Harness!$S61</f>
        <v>0</v>
      </c>
    </row>
    <row r="663" customFormat="false" ht="15" hidden="false" customHeight="false" outlineLevel="0" collapsed="false">
      <c r="A663" s="92" t="str">
        <f aca="false">SRC_Harness!$A62&amp;""</f>
        <v/>
      </c>
      <c r="B663" s="62" t="s">
        <v>10702</v>
      </c>
      <c r="C663" s="61" t="n">
        <v>62</v>
      </c>
      <c r="D663" s="92" t="n">
        <f aca="false">SRC_Harness!$O62</f>
        <v>0</v>
      </c>
      <c r="E663" s="92" t="n">
        <f aca="false">SRC_Harness!$K62</f>
        <v>0</v>
      </c>
      <c r="F663" s="92" t="n">
        <f aca="false">SRC_Harness!$S62</f>
        <v>0</v>
      </c>
    </row>
    <row r="664" customFormat="false" ht="15" hidden="false" customHeight="false" outlineLevel="0" collapsed="false">
      <c r="A664" s="92" t="str">
        <f aca="false">SRC_Harness!$A63&amp;""</f>
        <v/>
      </c>
      <c r="B664" s="62" t="s">
        <v>10702</v>
      </c>
      <c r="C664" s="61" t="n">
        <v>63</v>
      </c>
      <c r="D664" s="92" t="n">
        <f aca="false">SRC_Harness!$O63</f>
        <v>0</v>
      </c>
      <c r="E664" s="92" t="n">
        <f aca="false">SRC_Harness!$K63</f>
        <v>0</v>
      </c>
      <c r="F664" s="92" t="n">
        <f aca="false">SRC_Harness!$S63</f>
        <v>0</v>
      </c>
    </row>
    <row r="665" customFormat="false" ht="15" hidden="false" customHeight="false" outlineLevel="0" collapsed="false">
      <c r="A665" s="92" t="str">
        <f aca="false">SRC_Harness!$A64&amp;""</f>
        <v/>
      </c>
      <c r="B665" s="62" t="s">
        <v>10702</v>
      </c>
      <c r="C665" s="61" t="n">
        <v>64</v>
      </c>
      <c r="D665" s="92" t="n">
        <f aca="false">SRC_Harness!$O64</f>
        <v>0</v>
      </c>
      <c r="E665" s="92" t="n">
        <f aca="false">SRC_Harness!$K64</f>
        <v>0</v>
      </c>
      <c r="F665" s="92" t="n">
        <f aca="false">SRC_Harness!$S64</f>
        <v>0</v>
      </c>
    </row>
    <row r="666" customFormat="false" ht="15" hidden="false" customHeight="false" outlineLevel="0" collapsed="false">
      <c r="A666" s="92" t="str">
        <f aca="false">SRC_Harness!$A65&amp;""</f>
        <v/>
      </c>
      <c r="B666" s="62" t="s">
        <v>10702</v>
      </c>
      <c r="C666" s="61" t="n">
        <v>65</v>
      </c>
      <c r="D666" s="92" t="n">
        <f aca="false">SRC_Harness!$O65</f>
        <v>0</v>
      </c>
      <c r="E666" s="92" t="n">
        <f aca="false">SRC_Harness!$K65</f>
        <v>0</v>
      </c>
      <c r="F666" s="92" t="n">
        <f aca="false">SRC_Harness!$S65</f>
        <v>0</v>
      </c>
    </row>
    <row r="667" customFormat="false" ht="15" hidden="false" customHeight="false" outlineLevel="0" collapsed="false">
      <c r="A667" s="92" t="str">
        <f aca="false">SRC_Harness!$A66&amp;""</f>
        <v/>
      </c>
      <c r="B667" s="62" t="s">
        <v>10702</v>
      </c>
      <c r="C667" s="61" t="n">
        <v>66</v>
      </c>
      <c r="D667" s="92" t="n">
        <f aca="false">SRC_Harness!$O66</f>
        <v>0</v>
      </c>
      <c r="E667" s="92" t="n">
        <f aca="false">SRC_Harness!$K66</f>
        <v>0</v>
      </c>
      <c r="F667" s="92" t="n">
        <f aca="false">SRC_Harness!$S66</f>
        <v>0</v>
      </c>
    </row>
    <row r="668" customFormat="false" ht="15" hidden="false" customHeight="false" outlineLevel="0" collapsed="false">
      <c r="A668" s="92" t="str">
        <f aca="false">SRC_Harness!$A67&amp;""</f>
        <v/>
      </c>
      <c r="B668" s="62" t="s">
        <v>10702</v>
      </c>
      <c r="C668" s="61" t="n">
        <v>67</v>
      </c>
      <c r="D668" s="92" t="n">
        <f aca="false">SRC_Harness!$O67</f>
        <v>0</v>
      </c>
      <c r="E668" s="92" t="n">
        <f aca="false">SRC_Harness!$K67</f>
        <v>0</v>
      </c>
      <c r="F668" s="92" t="n">
        <f aca="false">SRC_Harness!$S67</f>
        <v>0</v>
      </c>
    </row>
    <row r="669" customFormat="false" ht="15" hidden="false" customHeight="false" outlineLevel="0" collapsed="false">
      <c r="A669" s="92" t="str">
        <f aca="false">SRC_Harness!$A68&amp;""</f>
        <v/>
      </c>
      <c r="B669" s="62" t="s">
        <v>10702</v>
      </c>
      <c r="C669" s="61" t="n">
        <v>68</v>
      </c>
      <c r="D669" s="92" t="n">
        <f aca="false">SRC_Harness!$O68</f>
        <v>0</v>
      </c>
      <c r="E669" s="92" t="n">
        <f aca="false">SRC_Harness!$K68</f>
        <v>0</v>
      </c>
      <c r="F669" s="92" t="n">
        <f aca="false">SRC_Harness!$S68</f>
        <v>0</v>
      </c>
    </row>
    <row r="670" customFormat="false" ht="15" hidden="false" customHeight="false" outlineLevel="0" collapsed="false">
      <c r="A670" s="92" t="str">
        <f aca="false">SRC_Harness!$A69&amp;""</f>
        <v/>
      </c>
      <c r="B670" s="62" t="s">
        <v>10702</v>
      </c>
      <c r="C670" s="61" t="n">
        <v>69</v>
      </c>
      <c r="D670" s="92" t="n">
        <f aca="false">SRC_Harness!$O69</f>
        <v>0</v>
      </c>
      <c r="E670" s="92" t="n">
        <f aca="false">SRC_Harness!$K69</f>
        <v>0</v>
      </c>
      <c r="F670" s="92" t="n">
        <f aca="false">SRC_Harness!$S69</f>
        <v>0</v>
      </c>
    </row>
    <row r="671" customFormat="false" ht="15" hidden="false" customHeight="false" outlineLevel="0" collapsed="false">
      <c r="A671" s="92" t="str">
        <f aca="false">SRC_Harness!$A70&amp;""</f>
        <v/>
      </c>
      <c r="B671" s="62" t="s">
        <v>10702</v>
      </c>
      <c r="C671" s="61" t="n">
        <v>70</v>
      </c>
      <c r="D671" s="92" t="n">
        <f aca="false">SRC_Harness!$O70</f>
        <v>0</v>
      </c>
      <c r="E671" s="92" t="n">
        <f aca="false">SRC_Harness!$K70</f>
        <v>0</v>
      </c>
      <c r="F671" s="92" t="n">
        <f aca="false">SRC_Harness!$S70</f>
        <v>0</v>
      </c>
    </row>
    <row r="672" customFormat="false" ht="15" hidden="false" customHeight="false" outlineLevel="0" collapsed="false">
      <c r="A672" s="92" t="str">
        <f aca="false">SRC_Demand!$A5&amp;""</f>
        <v>SRC_DEM_001</v>
      </c>
      <c r="B672" s="62" t="s">
        <v>3431</v>
      </c>
      <c r="C672" s="61" t="n">
        <v>5</v>
      </c>
      <c r="D672" s="92" t="str">
        <f aca="false">SRC_Demand!$O5</f>
        <v>Active</v>
      </c>
      <c r="E672" s="92" t="n">
        <f aca="false">SRC_Demand!$K5</f>
        <v>1</v>
      </c>
      <c r="F672" s="92" t="str">
        <f aca="false">SRC_Demand!$S5</f>
        <v>—</v>
      </c>
    </row>
    <row r="673" customFormat="false" ht="15" hidden="false" customHeight="false" outlineLevel="0" collapsed="false">
      <c r="A673" s="92" t="str">
        <f aca="false">SRC_Demand!$A6&amp;""</f>
        <v>SRC_DEM_002</v>
      </c>
      <c r="B673" s="62" t="s">
        <v>3431</v>
      </c>
      <c r="C673" s="61" t="n">
        <v>6</v>
      </c>
      <c r="D673" s="92" t="str">
        <f aca="false">SRC_Demand!$O6</f>
        <v>Active</v>
      </c>
      <c r="E673" s="92" t="n">
        <f aca="false">SRC_Demand!$K6</f>
        <v>1</v>
      </c>
      <c r="F673" s="92" t="str">
        <f aca="false">SRC_Demand!$S6</f>
        <v>—</v>
      </c>
    </row>
    <row r="674" customFormat="false" ht="15" hidden="false" customHeight="false" outlineLevel="0" collapsed="false">
      <c r="A674" s="92" t="str">
        <f aca="false">SRC_Demand!$A7&amp;""</f>
        <v>SRC_DEM_003</v>
      </c>
      <c r="B674" s="62" t="s">
        <v>3431</v>
      </c>
      <c r="C674" s="61" t="n">
        <v>7</v>
      </c>
      <c r="D674" s="92" t="str">
        <f aca="false">SRC_Demand!$O7</f>
        <v>Active</v>
      </c>
      <c r="E674" s="92" t="n">
        <f aca="false">SRC_Demand!$K7</f>
        <v>1</v>
      </c>
      <c r="F674" s="92" t="str">
        <f aca="false">SRC_Demand!$S7</f>
        <v>—</v>
      </c>
    </row>
    <row r="675" customFormat="false" ht="15" hidden="false" customHeight="false" outlineLevel="0" collapsed="false">
      <c r="A675" s="92" t="str">
        <f aca="false">SRC_Demand!$A8&amp;""</f>
        <v>SRC_DEM_004</v>
      </c>
      <c r="B675" s="62" t="s">
        <v>3431</v>
      </c>
      <c r="C675" s="61" t="n">
        <v>8</v>
      </c>
      <c r="D675" s="92" t="str">
        <f aca="false">SRC_Demand!$O8</f>
        <v>Active</v>
      </c>
      <c r="E675" s="92" t="n">
        <f aca="false">SRC_Demand!$K8</f>
        <v>2</v>
      </c>
      <c r="F675" s="92" t="str">
        <f aca="false">SRC_Demand!$S8</f>
        <v>—</v>
      </c>
    </row>
    <row r="676" customFormat="false" ht="15" hidden="false" customHeight="false" outlineLevel="0" collapsed="false">
      <c r="A676" s="92" t="str">
        <f aca="false">SRC_Demand!$A9&amp;""</f>
        <v>SRC_DEM_005</v>
      </c>
      <c r="B676" s="62" t="s">
        <v>3431</v>
      </c>
      <c r="C676" s="61" t="n">
        <v>9</v>
      </c>
      <c r="D676" s="92" t="str">
        <f aca="false">SRC_Demand!$O9</f>
        <v>Active</v>
      </c>
      <c r="E676" s="92" t="n">
        <f aca="false">SRC_Demand!$K9</f>
        <v>2</v>
      </c>
      <c r="F676" s="92" t="str">
        <f aca="false">SRC_Demand!$S9</f>
        <v>—</v>
      </c>
    </row>
    <row r="677" customFormat="false" ht="15" hidden="false" customHeight="false" outlineLevel="0" collapsed="false">
      <c r="A677" s="92" t="str">
        <f aca="false">SRC_Demand!$A10&amp;""</f>
        <v>SRC_DEM_006</v>
      </c>
      <c r="B677" s="62" t="s">
        <v>3431</v>
      </c>
      <c r="C677" s="61" t="n">
        <v>10</v>
      </c>
      <c r="D677" s="92" t="str">
        <f aca="false">SRC_Demand!$O10</f>
        <v>Active</v>
      </c>
      <c r="E677" s="92" t="n">
        <f aca="false">SRC_Demand!$K10</f>
        <v>2</v>
      </c>
      <c r="F677" s="92" t="str">
        <f aca="false">SRC_Demand!$S10</f>
        <v>—</v>
      </c>
    </row>
    <row r="678" customFormat="false" ht="15" hidden="false" customHeight="false" outlineLevel="0" collapsed="false">
      <c r="A678" s="92" t="str">
        <f aca="false">SRC_Demand!$A11&amp;""</f>
        <v>SRC_DEM_007</v>
      </c>
      <c r="B678" s="62" t="s">
        <v>3431</v>
      </c>
      <c r="C678" s="61" t="n">
        <v>11</v>
      </c>
      <c r="D678" s="92" t="str">
        <f aca="false">SRC_Demand!$O11</f>
        <v>Active</v>
      </c>
      <c r="E678" s="92" t="n">
        <f aca="false">SRC_Demand!$K11</f>
        <v>2</v>
      </c>
      <c r="F678" s="92" t="str">
        <f aca="false">SRC_Demand!$S11</f>
        <v>—</v>
      </c>
    </row>
    <row r="679" customFormat="false" ht="15" hidden="false" customHeight="false" outlineLevel="0" collapsed="false">
      <c r="A679" s="92" t="str">
        <f aca="false">SRC_Demand!$A12&amp;""</f>
        <v>SRC_DEM_008</v>
      </c>
      <c r="B679" s="62" t="s">
        <v>3431</v>
      </c>
      <c r="C679" s="61" t="n">
        <v>12</v>
      </c>
      <c r="D679" s="92" t="str">
        <f aca="false">SRC_Demand!$O12</f>
        <v>Active</v>
      </c>
      <c r="E679" s="92" t="n">
        <f aca="false">SRC_Demand!$K12</f>
        <v>2</v>
      </c>
      <c r="F679" s="92" t="str">
        <f aca="false">SRC_Demand!$S12</f>
        <v>—</v>
      </c>
    </row>
    <row r="680" customFormat="false" ht="15" hidden="false" customHeight="false" outlineLevel="0" collapsed="false">
      <c r="A680" s="92" t="str">
        <f aca="false">SRC_Demand!$A13&amp;""</f>
        <v>SRC_DEM_009</v>
      </c>
      <c r="B680" s="62" t="s">
        <v>3431</v>
      </c>
      <c r="C680" s="61" t="n">
        <v>13</v>
      </c>
      <c r="D680" s="92" t="str">
        <f aca="false">SRC_Demand!$O13</f>
        <v>Active</v>
      </c>
      <c r="E680" s="92" t="n">
        <f aca="false">SRC_Demand!$K13</f>
        <v>2</v>
      </c>
      <c r="F680" s="92" t="str">
        <f aca="false">SRC_Demand!$S13</f>
        <v>—</v>
      </c>
    </row>
    <row r="681" customFormat="false" ht="15" hidden="false" customHeight="false" outlineLevel="0" collapsed="false">
      <c r="A681" s="92" t="str">
        <f aca="false">SRC_Demand!$A14&amp;""</f>
        <v>SRC_DEM_010</v>
      </c>
      <c r="B681" s="62" t="s">
        <v>3431</v>
      </c>
      <c r="C681" s="61" t="n">
        <v>14</v>
      </c>
      <c r="D681" s="92" t="str">
        <f aca="false">SRC_Demand!$O14</f>
        <v>Active</v>
      </c>
      <c r="E681" s="92" t="n">
        <f aca="false">SRC_Demand!$K14</f>
        <v>2</v>
      </c>
      <c r="F681" s="92" t="str">
        <f aca="false">SRC_Demand!$S14</f>
        <v>—</v>
      </c>
    </row>
    <row r="682" customFormat="false" ht="15" hidden="false" customHeight="false" outlineLevel="0" collapsed="false">
      <c r="A682" s="92" t="str">
        <f aca="false">SRC_Demand!$A15&amp;""</f>
        <v>SRC_DEM_011</v>
      </c>
      <c r="B682" s="62" t="s">
        <v>3431</v>
      </c>
      <c r="C682" s="61" t="n">
        <v>15</v>
      </c>
      <c r="D682" s="92" t="str">
        <f aca="false">SRC_Demand!$O15</f>
        <v>Active</v>
      </c>
      <c r="E682" s="92" t="n">
        <f aca="false">SRC_Demand!$K15</f>
        <v>1</v>
      </c>
      <c r="F682" s="92" t="str">
        <f aca="false">SRC_Demand!$S15</f>
        <v>2026-10-05</v>
      </c>
    </row>
    <row r="683" customFormat="false" ht="15" hidden="false" customHeight="false" outlineLevel="0" collapsed="false">
      <c r="A683" s="92" t="str">
        <f aca="false">SRC_Demand!$A16&amp;""</f>
        <v>SRC_DEM_012</v>
      </c>
      <c r="B683" s="62" t="s">
        <v>3431</v>
      </c>
      <c r="C683" s="61" t="n">
        <v>16</v>
      </c>
      <c r="D683" s="92" t="str">
        <f aca="false">SRC_Demand!$O16</f>
        <v>Active</v>
      </c>
      <c r="E683" s="92" t="n">
        <f aca="false">SRC_Demand!$K16</f>
        <v>2</v>
      </c>
      <c r="F683" s="92" t="str">
        <f aca="false">SRC_Demand!$S16</f>
        <v>—</v>
      </c>
    </row>
    <row r="684" customFormat="false" ht="15" hidden="false" customHeight="false" outlineLevel="0" collapsed="false">
      <c r="A684" s="92" t="str">
        <f aca="false">SRC_Demand!$A17&amp;""</f>
        <v>SRC_DEM_013</v>
      </c>
      <c r="B684" s="62" t="s">
        <v>3431</v>
      </c>
      <c r="C684" s="61" t="n">
        <v>17</v>
      </c>
      <c r="D684" s="92" t="str">
        <f aca="false">SRC_Demand!$O17</f>
        <v>Active</v>
      </c>
      <c r="E684" s="92" t="n">
        <f aca="false">SRC_Demand!$K17</f>
        <v>1</v>
      </c>
      <c r="F684" s="92" t="str">
        <f aca="false">SRC_Demand!$S17</f>
        <v>2026-10-05</v>
      </c>
    </row>
    <row r="685" customFormat="false" ht="15" hidden="false" customHeight="false" outlineLevel="0" collapsed="false">
      <c r="A685" s="92" t="str">
        <f aca="false">SRC_Demand!$A18&amp;""</f>
        <v>SRC_DEM_014</v>
      </c>
      <c r="B685" s="62" t="s">
        <v>3431</v>
      </c>
      <c r="C685" s="61" t="n">
        <v>18</v>
      </c>
      <c r="D685" s="92" t="str">
        <f aca="false">SRC_Demand!$O18</f>
        <v>Active</v>
      </c>
      <c r="E685" s="92" t="n">
        <f aca="false">SRC_Demand!$K18</f>
        <v>1</v>
      </c>
      <c r="F685" s="92" t="str">
        <f aca="false">SRC_Demand!$S18</f>
        <v>—</v>
      </c>
    </row>
    <row r="686" customFormat="false" ht="15" hidden="false" customHeight="false" outlineLevel="0" collapsed="false">
      <c r="A686" s="92" t="str">
        <f aca="false">SRC_Demand!$A19&amp;""</f>
        <v>SRC_DEM_015</v>
      </c>
      <c r="B686" s="62" t="s">
        <v>3431</v>
      </c>
      <c r="C686" s="61" t="n">
        <v>19</v>
      </c>
      <c r="D686" s="92" t="str">
        <f aca="false">SRC_Demand!$O19</f>
        <v>Active</v>
      </c>
      <c r="E686" s="92" t="n">
        <f aca="false">SRC_Demand!$K19</f>
        <v>1</v>
      </c>
      <c r="F686" s="92" t="str">
        <f aca="false">SRC_Demand!$S19</f>
        <v>—</v>
      </c>
    </row>
    <row r="687" customFormat="false" ht="15" hidden="false" customHeight="false" outlineLevel="0" collapsed="false">
      <c r="A687" s="92" t="str">
        <f aca="false">SRC_Demand!$A20&amp;""</f>
        <v>SRC_DEM_016</v>
      </c>
      <c r="B687" s="62" t="s">
        <v>3431</v>
      </c>
      <c r="C687" s="61" t="n">
        <v>20</v>
      </c>
      <c r="D687" s="92" t="str">
        <f aca="false">SRC_Demand!$O20</f>
        <v>Active</v>
      </c>
      <c r="E687" s="92" t="n">
        <f aca="false">SRC_Demand!$K20</f>
        <v>1</v>
      </c>
      <c r="F687" s="92" t="str">
        <f aca="false">SRC_Demand!$S20</f>
        <v>—</v>
      </c>
    </row>
    <row r="688" customFormat="false" ht="15" hidden="false" customHeight="false" outlineLevel="0" collapsed="false">
      <c r="A688" s="92" t="str">
        <f aca="false">SRC_Demand!$A21&amp;""</f>
        <v>SRC_DEM_017</v>
      </c>
      <c r="B688" s="62" t="s">
        <v>3431</v>
      </c>
      <c r="C688" s="61" t="n">
        <v>21</v>
      </c>
      <c r="D688" s="92" t="str">
        <f aca="false">SRC_Demand!$O21</f>
        <v>Active</v>
      </c>
      <c r="E688" s="92" t="n">
        <f aca="false">SRC_Demand!$K21</f>
        <v>1</v>
      </c>
      <c r="F688" s="92" t="str">
        <f aca="false">SRC_Demand!$S21</f>
        <v>—</v>
      </c>
    </row>
    <row r="689" customFormat="false" ht="15" hidden="false" customHeight="false" outlineLevel="0" collapsed="false">
      <c r="A689" s="92" t="str">
        <f aca="false">SRC_Demand!$A22&amp;""</f>
        <v>SRC_DEM_018</v>
      </c>
      <c r="B689" s="62" t="s">
        <v>3431</v>
      </c>
      <c r="C689" s="61" t="n">
        <v>22</v>
      </c>
      <c r="D689" s="92" t="str">
        <f aca="false">SRC_Demand!$O22</f>
        <v>Active</v>
      </c>
      <c r="E689" s="92" t="n">
        <f aca="false">SRC_Demand!$K22</f>
        <v>2</v>
      </c>
      <c r="F689" s="92" t="str">
        <f aca="false">SRC_Demand!$S22</f>
        <v>—</v>
      </c>
    </row>
    <row r="690" customFormat="false" ht="15" hidden="false" customHeight="false" outlineLevel="0" collapsed="false">
      <c r="A690" s="92" t="str">
        <f aca="false">SRC_Demand!$A23&amp;""</f>
        <v>SRC_DEM_019</v>
      </c>
      <c r="B690" s="62" t="s">
        <v>3431</v>
      </c>
      <c r="C690" s="61" t="n">
        <v>23</v>
      </c>
      <c r="D690" s="92" t="str">
        <f aca="false">SRC_Demand!$O23</f>
        <v>Active</v>
      </c>
      <c r="E690" s="92" t="n">
        <f aca="false">SRC_Demand!$K23</f>
        <v>1</v>
      </c>
      <c r="F690" s="92" t="str">
        <f aca="false">SRC_Demand!$S23</f>
        <v>—</v>
      </c>
    </row>
    <row r="691" customFormat="false" ht="15" hidden="false" customHeight="false" outlineLevel="0" collapsed="false">
      <c r="A691" s="92" t="str">
        <f aca="false">SRC_Demand!$A24&amp;""</f>
        <v>SRC_DEM_020</v>
      </c>
      <c r="B691" s="62" t="s">
        <v>3431</v>
      </c>
      <c r="C691" s="61" t="n">
        <v>24</v>
      </c>
      <c r="D691" s="92" t="str">
        <f aca="false">SRC_Demand!$O24</f>
        <v>Active</v>
      </c>
      <c r="E691" s="92" t="n">
        <f aca="false">SRC_Demand!$K24</f>
        <v>1</v>
      </c>
      <c r="F691" s="92" t="str">
        <f aca="false">SRC_Demand!$S24</f>
        <v>—</v>
      </c>
    </row>
    <row r="692" customFormat="false" ht="15" hidden="false" customHeight="false" outlineLevel="0" collapsed="false">
      <c r="A692" s="92" t="str">
        <f aca="false">SRC_Demand!$A25&amp;""</f>
        <v>SRC_DEM_021</v>
      </c>
      <c r="B692" s="62" t="s">
        <v>3431</v>
      </c>
      <c r="C692" s="61" t="n">
        <v>25</v>
      </c>
      <c r="D692" s="92" t="str">
        <f aca="false">SRC_Demand!$O25</f>
        <v>Active</v>
      </c>
      <c r="E692" s="92" t="n">
        <f aca="false">SRC_Demand!$K25</f>
        <v>1</v>
      </c>
      <c r="F692" s="92" t="str">
        <f aca="false">SRC_Demand!$S25</f>
        <v>—</v>
      </c>
    </row>
    <row r="693" customFormat="false" ht="15" hidden="false" customHeight="false" outlineLevel="0" collapsed="false">
      <c r="A693" s="92" t="str">
        <f aca="false">SRC_Demand!$A26&amp;""</f>
        <v>SRC_DEM_022</v>
      </c>
      <c r="B693" s="62" t="s">
        <v>3431</v>
      </c>
      <c r="C693" s="61" t="n">
        <v>26</v>
      </c>
      <c r="D693" s="92" t="str">
        <f aca="false">SRC_Demand!$O26</f>
        <v>Active</v>
      </c>
      <c r="E693" s="92" t="n">
        <f aca="false">SRC_Demand!$K26</f>
        <v>1</v>
      </c>
      <c r="F693" s="92" t="str">
        <f aca="false">SRC_Demand!$S26</f>
        <v>—</v>
      </c>
    </row>
    <row r="694" customFormat="false" ht="15" hidden="false" customHeight="false" outlineLevel="0" collapsed="false">
      <c r="A694" s="92" t="str">
        <f aca="false">SRC_Demand!$A27&amp;""</f>
        <v>SRC_DEM_023</v>
      </c>
      <c r="B694" s="62" t="s">
        <v>3431</v>
      </c>
      <c r="C694" s="61" t="n">
        <v>27</v>
      </c>
      <c r="D694" s="92" t="str">
        <f aca="false">SRC_Demand!$O27</f>
        <v>Active</v>
      </c>
      <c r="E694" s="92" t="n">
        <f aca="false">SRC_Demand!$K27</f>
        <v>1</v>
      </c>
      <c r="F694" s="92" t="str">
        <f aca="false">SRC_Demand!$S27</f>
        <v>—</v>
      </c>
    </row>
    <row r="695" customFormat="false" ht="15" hidden="false" customHeight="false" outlineLevel="0" collapsed="false">
      <c r="A695" s="92" t="str">
        <f aca="false">SRC_Demand!$A28&amp;""</f>
        <v>SRC_DEM_024</v>
      </c>
      <c r="B695" s="62" t="s">
        <v>3431</v>
      </c>
      <c r="C695" s="61" t="n">
        <v>28</v>
      </c>
      <c r="D695" s="92" t="str">
        <f aca="false">SRC_Demand!$O28</f>
        <v>Active</v>
      </c>
      <c r="E695" s="92" t="n">
        <f aca="false">SRC_Demand!$K28</f>
        <v>2</v>
      </c>
      <c r="F695" s="92" t="str">
        <f aca="false">SRC_Demand!$S28</f>
        <v>—</v>
      </c>
    </row>
    <row r="696" customFormat="false" ht="15" hidden="false" customHeight="false" outlineLevel="0" collapsed="false">
      <c r="A696" s="92" t="str">
        <f aca="false">SRC_Demand!$A29&amp;""</f>
        <v>SRC_DEM_025</v>
      </c>
      <c r="B696" s="62" t="s">
        <v>3431</v>
      </c>
      <c r="C696" s="61" t="n">
        <v>29</v>
      </c>
      <c r="D696" s="92" t="str">
        <f aca="false">SRC_Demand!$O29</f>
        <v>Active</v>
      </c>
      <c r="E696" s="92" t="n">
        <f aca="false">SRC_Demand!$K29</f>
        <v>2</v>
      </c>
      <c r="F696" s="92" t="str">
        <f aca="false">SRC_Demand!$S29</f>
        <v>—</v>
      </c>
    </row>
    <row r="697" customFormat="false" ht="15" hidden="false" customHeight="false" outlineLevel="0" collapsed="false">
      <c r="A697" s="92" t="str">
        <f aca="false">SRC_Demand!$A30&amp;""</f>
        <v>SRC_DEM_026</v>
      </c>
      <c r="B697" s="62" t="s">
        <v>3431</v>
      </c>
      <c r="C697" s="61" t="n">
        <v>30</v>
      </c>
      <c r="D697" s="92" t="str">
        <f aca="false">SRC_Demand!$O30</f>
        <v>Active</v>
      </c>
      <c r="E697" s="92" t="n">
        <f aca="false">SRC_Demand!$K30</f>
        <v>2</v>
      </c>
      <c r="F697" s="92" t="str">
        <f aca="false">SRC_Demand!$S30</f>
        <v>—</v>
      </c>
    </row>
    <row r="698" customFormat="false" ht="15" hidden="false" customHeight="false" outlineLevel="0" collapsed="false">
      <c r="A698" s="92" t="str">
        <f aca="false">SRC_Demand!$A31&amp;""</f>
        <v>SRC_DEM_027</v>
      </c>
      <c r="B698" s="62" t="s">
        <v>3431</v>
      </c>
      <c r="C698" s="61" t="n">
        <v>31</v>
      </c>
      <c r="D698" s="92" t="str">
        <f aca="false">SRC_Demand!$O31</f>
        <v>Active</v>
      </c>
      <c r="E698" s="92" t="n">
        <f aca="false">SRC_Demand!$K31</f>
        <v>2</v>
      </c>
      <c r="F698" s="92" t="str">
        <f aca="false">SRC_Demand!$S31</f>
        <v>—</v>
      </c>
    </row>
    <row r="699" customFormat="false" ht="15" hidden="false" customHeight="false" outlineLevel="0" collapsed="false">
      <c r="A699" s="92" t="str">
        <f aca="false">SRC_Demand!$A32&amp;""</f>
        <v>SRC_DEM_028</v>
      </c>
      <c r="B699" s="62" t="s">
        <v>3431</v>
      </c>
      <c r="C699" s="61" t="n">
        <v>32</v>
      </c>
      <c r="D699" s="92" t="str">
        <f aca="false">SRC_Demand!$O32</f>
        <v>Active</v>
      </c>
      <c r="E699" s="92" t="n">
        <f aca="false">SRC_Demand!$K32</f>
        <v>2</v>
      </c>
      <c r="F699" s="92" t="str">
        <f aca="false">SRC_Demand!$S32</f>
        <v>—</v>
      </c>
    </row>
    <row r="700" customFormat="false" ht="15" hidden="false" customHeight="false" outlineLevel="0" collapsed="false">
      <c r="A700" s="92" t="str">
        <f aca="false">SRC_Demand!$A33&amp;""</f>
        <v>SRC_DEM_029</v>
      </c>
      <c r="B700" s="62" t="s">
        <v>3431</v>
      </c>
      <c r="C700" s="61" t="n">
        <v>33</v>
      </c>
      <c r="D700" s="92" t="str">
        <f aca="false">SRC_Demand!$O33</f>
        <v>Active</v>
      </c>
      <c r="E700" s="92" t="n">
        <f aca="false">SRC_Demand!$K33</f>
        <v>2</v>
      </c>
      <c r="F700" s="92" t="str">
        <f aca="false">SRC_Demand!$S33</f>
        <v>—</v>
      </c>
    </row>
    <row r="701" customFormat="false" ht="15" hidden="false" customHeight="false" outlineLevel="0" collapsed="false">
      <c r="A701" s="92" t="str">
        <f aca="false">SRC_Demand!$A34&amp;""</f>
        <v>SRC_DEM_030</v>
      </c>
      <c r="B701" s="62" t="s">
        <v>3431</v>
      </c>
      <c r="C701" s="61" t="n">
        <v>34</v>
      </c>
      <c r="D701" s="92" t="str">
        <f aca="false">SRC_Demand!$O34</f>
        <v>Active</v>
      </c>
      <c r="E701" s="92" t="n">
        <f aca="false">SRC_Demand!$K34</f>
        <v>1</v>
      </c>
      <c r="F701" s="92" t="str">
        <f aca="false">SRC_Demand!$S34</f>
        <v>—</v>
      </c>
    </row>
    <row r="702" customFormat="false" ht="15" hidden="false" customHeight="false" outlineLevel="0" collapsed="false">
      <c r="A702" s="92" t="str">
        <f aca="false">SRC_Demand!$A35&amp;""</f>
        <v>SRC_DEM_031</v>
      </c>
      <c r="B702" s="62" t="s">
        <v>3431</v>
      </c>
      <c r="C702" s="61" t="n">
        <v>35</v>
      </c>
      <c r="D702" s="92" t="str">
        <f aca="false">SRC_Demand!$O35</f>
        <v>Active</v>
      </c>
      <c r="E702" s="92" t="n">
        <f aca="false">SRC_Demand!$K35</f>
        <v>2</v>
      </c>
      <c r="F702" s="92" t="str">
        <f aca="false">SRC_Demand!$S35</f>
        <v>—</v>
      </c>
    </row>
    <row r="703" customFormat="false" ht="15" hidden="false" customHeight="false" outlineLevel="0" collapsed="false">
      <c r="A703" s="92" t="str">
        <f aca="false">SRC_Demand!$A36&amp;""</f>
        <v>SRC_DEM_032</v>
      </c>
      <c r="B703" s="62" t="s">
        <v>3431</v>
      </c>
      <c r="C703" s="61" t="n">
        <v>36</v>
      </c>
      <c r="D703" s="92" t="str">
        <f aca="false">SRC_Demand!$O36</f>
        <v>Active</v>
      </c>
      <c r="E703" s="92" t="n">
        <f aca="false">SRC_Demand!$K36</f>
        <v>1</v>
      </c>
      <c r="F703" s="92" t="str">
        <f aca="false">SRC_Demand!$S36</f>
        <v>—</v>
      </c>
    </row>
    <row r="704" customFormat="false" ht="15" hidden="false" customHeight="false" outlineLevel="0" collapsed="false">
      <c r="A704" s="92" t="str">
        <f aca="false">SRC_Demand!$A37&amp;""</f>
        <v>SRC_DEM_033</v>
      </c>
      <c r="B704" s="62" t="s">
        <v>3431</v>
      </c>
      <c r="C704" s="61" t="n">
        <v>37</v>
      </c>
      <c r="D704" s="92" t="str">
        <f aca="false">SRC_Demand!$O37</f>
        <v>Active</v>
      </c>
      <c r="E704" s="92" t="n">
        <f aca="false">SRC_Demand!$K37</f>
        <v>1</v>
      </c>
      <c r="F704" s="92" t="str">
        <f aca="false">SRC_Demand!$S37</f>
        <v>—</v>
      </c>
    </row>
    <row r="705" customFormat="false" ht="15" hidden="false" customHeight="false" outlineLevel="0" collapsed="false">
      <c r="A705" s="92" t="str">
        <f aca="false">SRC_Demand!$A38&amp;""</f>
        <v>SRC_DEM_034</v>
      </c>
      <c r="B705" s="62" t="s">
        <v>3431</v>
      </c>
      <c r="C705" s="61" t="n">
        <v>38</v>
      </c>
      <c r="D705" s="92" t="str">
        <f aca="false">SRC_Demand!$O38</f>
        <v>Active</v>
      </c>
      <c r="E705" s="92" t="n">
        <f aca="false">SRC_Demand!$K38</f>
        <v>2</v>
      </c>
      <c r="F705" s="92" t="str">
        <f aca="false">SRC_Demand!$S38</f>
        <v>—</v>
      </c>
    </row>
    <row r="706" customFormat="false" ht="15" hidden="false" customHeight="false" outlineLevel="0" collapsed="false">
      <c r="A706" s="92" t="str">
        <f aca="false">SRC_Demand!$A39&amp;""</f>
        <v>SRC_DEM_035</v>
      </c>
      <c r="B706" s="62" t="s">
        <v>3431</v>
      </c>
      <c r="C706" s="61" t="n">
        <v>39</v>
      </c>
      <c r="D706" s="92" t="str">
        <f aca="false">SRC_Demand!$O39</f>
        <v>Active</v>
      </c>
      <c r="E706" s="92" t="n">
        <f aca="false">SRC_Demand!$K39</f>
        <v>2</v>
      </c>
      <c r="F706" s="92" t="str">
        <f aca="false">SRC_Demand!$S39</f>
        <v>—</v>
      </c>
    </row>
    <row r="707" customFormat="false" ht="15" hidden="false" customHeight="false" outlineLevel="0" collapsed="false">
      <c r="A707" s="92" t="str">
        <f aca="false">SRC_Demand!$A40&amp;""</f>
        <v>SRC_DEM_036</v>
      </c>
      <c r="B707" s="62" t="s">
        <v>3431</v>
      </c>
      <c r="C707" s="61" t="n">
        <v>40</v>
      </c>
      <c r="D707" s="92" t="str">
        <f aca="false">SRC_Demand!$O40</f>
        <v>Active</v>
      </c>
      <c r="E707" s="92" t="n">
        <f aca="false">SRC_Demand!$K40</f>
        <v>2</v>
      </c>
      <c r="F707" s="92" t="str">
        <f aca="false">SRC_Demand!$S40</f>
        <v>—</v>
      </c>
    </row>
    <row r="708" customFormat="false" ht="15" hidden="false" customHeight="false" outlineLevel="0" collapsed="false">
      <c r="A708" s="92" t="str">
        <f aca="false">SRC_Demand!$A41&amp;""</f>
        <v>SRC_DEM_037</v>
      </c>
      <c r="B708" s="62" t="s">
        <v>3431</v>
      </c>
      <c r="C708" s="61" t="n">
        <v>41</v>
      </c>
      <c r="D708" s="92" t="str">
        <f aca="false">SRC_Demand!$O41</f>
        <v>Active</v>
      </c>
      <c r="E708" s="92" t="n">
        <f aca="false">SRC_Demand!$K41</f>
        <v>2</v>
      </c>
      <c r="F708" s="92" t="str">
        <f aca="false">SRC_Demand!$S41</f>
        <v>—</v>
      </c>
    </row>
    <row r="709" customFormat="false" ht="15" hidden="false" customHeight="false" outlineLevel="0" collapsed="false">
      <c r="A709" s="92" t="str">
        <f aca="false">SRC_Demand!$A42&amp;""</f>
        <v>SRC_DEM_038</v>
      </c>
      <c r="B709" s="62" t="s">
        <v>3431</v>
      </c>
      <c r="C709" s="61" t="n">
        <v>42</v>
      </c>
      <c r="D709" s="92" t="str">
        <f aca="false">SRC_Demand!$O42</f>
        <v>Active</v>
      </c>
      <c r="E709" s="92" t="n">
        <f aca="false">SRC_Demand!$K42</f>
        <v>2</v>
      </c>
      <c r="F709" s="92" t="str">
        <f aca="false">SRC_Demand!$S42</f>
        <v>—</v>
      </c>
    </row>
    <row r="710" customFormat="false" ht="15" hidden="false" customHeight="false" outlineLevel="0" collapsed="false">
      <c r="A710" s="92" t="str">
        <f aca="false">SRC_Demand!$A43&amp;""</f>
        <v>SRC_DEM_039</v>
      </c>
      <c r="B710" s="62" t="s">
        <v>3431</v>
      </c>
      <c r="C710" s="61" t="n">
        <v>43</v>
      </c>
      <c r="D710" s="92" t="str">
        <f aca="false">SRC_Demand!$O43</f>
        <v>Active</v>
      </c>
      <c r="E710" s="92" t="n">
        <f aca="false">SRC_Demand!$K43</f>
        <v>2</v>
      </c>
      <c r="F710" s="92" t="str">
        <f aca="false">SRC_Demand!$S43</f>
        <v>—</v>
      </c>
    </row>
    <row r="711" customFormat="false" ht="15" hidden="false" customHeight="false" outlineLevel="0" collapsed="false">
      <c r="A711" s="92" t="str">
        <f aca="false">SRC_Demand!$A44&amp;""</f>
        <v>SRC_DEM_040</v>
      </c>
      <c r="B711" s="62" t="s">
        <v>3431</v>
      </c>
      <c r="C711" s="61" t="n">
        <v>44</v>
      </c>
      <c r="D711" s="92" t="str">
        <f aca="false">SRC_Demand!$O44</f>
        <v>Active</v>
      </c>
      <c r="E711" s="92" t="n">
        <f aca="false">SRC_Demand!$K44</f>
        <v>2</v>
      </c>
      <c r="F711" s="92" t="str">
        <f aca="false">SRC_Demand!$S44</f>
        <v>—</v>
      </c>
    </row>
    <row r="712" customFormat="false" ht="15" hidden="false" customHeight="false" outlineLevel="0" collapsed="false">
      <c r="A712" s="92" t="str">
        <f aca="false">SRC_Demand!$A45&amp;""</f>
        <v>SRC_DEM_041</v>
      </c>
      <c r="B712" s="62" t="s">
        <v>3431</v>
      </c>
      <c r="C712" s="61" t="n">
        <v>45</v>
      </c>
      <c r="D712" s="92" t="str">
        <f aca="false">SRC_Demand!$O45</f>
        <v>Active</v>
      </c>
      <c r="E712" s="92" t="n">
        <f aca="false">SRC_Demand!$K45</f>
        <v>2</v>
      </c>
      <c r="F712" s="92" t="str">
        <f aca="false">SRC_Demand!$S45</f>
        <v>—</v>
      </c>
    </row>
    <row r="713" customFormat="false" ht="15" hidden="false" customHeight="false" outlineLevel="0" collapsed="false">
      <c r="A713" s="92" t="str">
        <f aca="false">SRC_Demand!$A46&amp;""</f>
        <v>SRC_DEM_042</v>
      </c>
      <c r="B713" s="62" t="s">
        <v>3431</v>
      </c>
      <c r="C713" s="61" t="n">
        <v>46</v>
      </c>
      <c r="D713" s="92" t="str">
        <f aca="false">SRC_Demand!$O46</f>
        <v>Active</v>
      </c>
      <c r="E713" s="92" t="n">
        <f aca="false">SRC_Demand!$K46</f>
        <v>2</v>
      </c>
      <c r="F713" s="92" t="str">
        <f aca="false">SRC_Demand!$S46</f>
        <v>—</v>
      </c>
    </row>
    <row r="714" customFormat="false" ht="15" hidden="false" customHeight="false" outlineLevel="0" collapsed="false">
      <c r="A714" s="92" t="str">
        <f aca="false">SRC_Demand!$A47&amp;""</f>
        <v>SRC_DEM_043</v>
      </c>
      <c r="B714" s="62" t="s">
        <v>3431</v>
      </c>
      <c r="C714" s="61" t="n">
        <v>47</v>
      </c>
      <c r="D714" s="92" t="str">
        <f aca="false">SRC_Demand!$O47</f>
        <v>Active</v>
      </c>
      <c r="E714" s="92" t="n">
        <f aca="false">SRC_Demand!$K47</f>
        <v>2</v>
      </c>
      <c r="F714" s="92" t="str">
        <f aca="false">SRC_Demand!$S47</f>
        <v>—</v>
      </c>
    </row>
    <row r="715" customFormat="false" ht="15" hidden="false" customHeight="false" outlineLevel="0" collapsed="false">
      <c r="A715" s="92" t="str">
        <f aca="false">SRC_Demand!$A48&amp;""</f>
        <v>SRC_DEM_044</v>
      </c>
      <c r="B715" s="62" t="s">
        <v>3431</v>
      </c>
      <c r="C715" s="61" t="n">
        <v>48</v>
      </c>
      <c r="D715" s="92" t="str">
        <f aca="false">SRC_Demand!$O48</f>
        <v>Active</v>
      </c>
      <c r="E715" s="92" t="n">
        <f aca="false">SRC_Demand!$K48</f>
        <v>1</v>
      </c>
      <c r="F715" s="92" t="str">
        <f aca="false">SRC_Demand!$S48</f>
        <v>—</v>
      </c>
    </row>
    <row r="716" customFormat="false" ht="15" hidden="false" customHeight="false" outlineLevel="0" collapsed="false">
      <c r="A716" s="92" t="str">
        <f aca="false">SRC_Demand!$A49&amp;""</f>
        <v>SRC_DEM_045</v>
      </c>
      <c r="B716" s="62" t="s">
        <v>3431</v>
      </c>
      <c r="C716" s="61" t="n">
        <v>49</v>
      </c>
      <c r="D716" s="92" t="str">
        <f aca="false">SRC_Demand!$O49</f>
        <v>Active</v>
      </c>
      <c r="E716" s="92" t="n">
        <f aca="false">SRC_Demand!$K49</f>
        <v>1</v>
      </c>
      <c r="F716" s="92" t="str">
        <f aca="false">SRC_Demand!$S49</f>
        <v>—</v>
      </c>
    </row>
    <row r="717" customFormat="false" ht="15" hidden="false" customHeight="false" outlineLevel="0" collapsed="false">
      <c r="A717" s="92" t="str">
        <f aca="false">SRC_Demand!$A50&amp;""</f>
        <v>SRC_DEM_046</v>
      </c>
      <c r="B717" s="62" t="s">
        <v>3431</v>
      </c>
      <c r="C717" s="61" t="n">
        <v>50</v>
      </c>
      <c r="D717" s="92" t="str">
        <f aca="false">SRC_Demand!$O50</f>
        <v>Active</v>
      </c>
      <c r="E717" s="92" t="n">
        <f aca="false">SRC_Demand!$K50</f>
        <v>1</v>
      </c>
      <c r="F717" s="92" t="str">
        <f aca="false">SRC_Demand!$S50</f>
        <v>—</v>
      </c>
    </row>
    <row r="718" customFormat="false" ht="15" hidden="false" customHeight="false" outlineLevel="0" collapsed="false">
      <c r="A718" s="92" t="str">
        <f aca="false">SRC_Demand!$A51&amp;""</f>
        <v>SRC_DEM_047</v>
      </c>
      <c r="B718" s="62" t="s">
        <v>3431</v>
      </c>
      <c r="C718" s="61" t="n">
        <v>51</v>
      </c>
      <c r="D718" s="92" t="str">
        <f aca="false">SRC_Demand!$O51</f>
        <v>Active</v>
      </c>
      <c r="E718" s="92" t="n">
        <f aca="false">SRC_Demand!$K51</f>
        <v>1</v>
      </c>
      <c r="F718" s="92" t="str">
        <f aca="false">SRC_Demand!$S51</f>
        <v>—</v>
      </c>
    </row>
    <row r="719" customFormat="false" ht="15" hidden="false" customHeight="false" outlineLevel="0" collapsed="false">
      <c r="A719" s="92" t="str">
        <f aca="false">SRC_Demand!$A52&amp;""</f>
        <v>SRC_DEM_048</v>
      </c>
      <c r="B719" s="62" t="s">
        <v>3431</v>
      </c>
      <c r="C719" s="61" t="n">
        <v>52</v>
      </c>
      <c r="D719" s="92" t="str">
        <f aca="false">SRC_Demand!$O52</f>
        <v>Active</v>
      </c>
      <c r="E719" s="92" t="n">
        <f aca="false">SRC_Demand!$K52</f>
        <v>2</v>
      </c>
      <c r="F719" s="92" t="str">
        <f aca="false">SRC_Demand!$S52</f>
        <v>—</v>
      </c>
    </row>
    <row r="720" customFormat="false" ht="15" hidden="false" customHeight="false" outlineLevel="0" collapsed="false">
      <c r="A720" s="92" t="str">
        <f aca="false">SRC_Demand!$A53&amp;""</f>
        <v>SRC_DEM_049</v>
      </c>
      <c r="B720" s="62" t="s">
        <v>3431</v>
      </c>
      <c r="C720" s="61" t="n">
        <v>53</v>
      </c>
      <c r="D720" s="92" t="str">
        <f aca="false">SRC_Demand!$O53</f>
        <v>Active</v>
      </c>
      <c r="E720" s="92" t="n">
        <f aca="false">SRC_Demand!$K53</f>
        <v>1</v>
      </c>
      <c r="F720" s="92" t="str">
        <f aca="false">SRC_Demand!$S53</f>
        <v>—</v>
      </c>
    </row>
    <row r="721" customFormat="false" ht="15" hidden="false" customHeight="false" outlineLevel="0" collapsed="false">
      <c r="A721" s="92" t="str">
        <f aca="false">SRC_Demand!$A54&amp;""</f>
        <v>SRC_DEM_050</v>
      </c>
      <c r="B721" s="62" t="s">
        <v>3431</v>
      </c>
      <c r="C721" s="61" t="n">
        <v>54</v>
      </c>
      <c r="D721" s="92" t="str">
        <f aca="false">SRC_Demand!$O54</f>
        <v>Active</v>
      </c>
      <c r="E721" s="92" t="n">
        <f aca="false">SRC_Demand!$K54</f>
        <v>1</v>
      </c>
      <c r="F721" s="92" t="str">
        <f aca="false">SRC_Demand!$S54</f>
        <v>—</v>
      </c>
    </row>
    <row r="722" customFormat="false" ht="15" hidden="false" customHeight="false" outlineLevel="0" collapsed="false">
      <c r="A722" s="92" t="str">
        <f aca="false">SRC_Demand!$A55&amp;""</f>
        <v>SRC_DEM_051</v>
      </c>
      <c r="B722" s="62" t="s">
        <v>3431</v>
      </c>
      <c r="C722" s="61" t="n">
        <v>55</v>
      </c>
      <c r="D722" s="92" t="str">
        <f aca="false">SRC_Demand!$O55</f>
        <v>Active</v>
      </c>
      <c r="E722" s="92" t="n">
        <f aca="false">SRC_Demand!$K55</f>
        <v>1</v>
      </c>
      <c r="F722" s="92" t="str">
        <f aca="false">SRC_Demand!$S55</f>
        <v>—</v>
      </c>
    </row>
    <row r="723" customFormat="false" ht="15" hidden="false" customHeight="false" outlineLevel="0" collapsed="false">
      <c r="A723" s="92" t="str">
        <f aca="false">SRC_Demand!$A56&amp;""</f>
        <v>SRC_DEM_052</v>
      </c>
      <c r="B723" s="62" t="s">
        <v>3431</v>
      </c>
      <c r="C723" s="61" t="n">
        <v>56</v>
      </c>
      <c r="D723" s="92" t="str">
        <f aca="false">SRC_Demand!$O56</f>
        <v>Active</v>
      </c>
      <c r="E723" s="92" t="n">
        <f aca="false">SRC_Demand!$K56</f>
        <v>1</v>
      </c>
      <c r="F723" s="92" t="str">
        <f aca="false">SRC_Demand!$S56</f>
        <v>—</v>
      </c>
    </row>
    <row r="724" customFormat="false" ht="15" hidden="false" customHeight="false" outlineLevel="0" collapsed="false">
      <c r="A724" s="92" t="str">
        <f aca="false">SRC_Demand!$A57&amp;""</f>
        <v>SRC_DEM_053</v>
      </c>
      <c r="B724" s="62" t="s">
        <v>3431</v>
      </c>
      <c r="C724" s="61" t="n">
        <v>57</v>
      </c>
      <c r="D724" s="92" t="str">
        <f aca="false">SRC_Demand!$O57</f>
        <v>Active</v>
      </c>
      <c r="E724" s="92" t="n">
        <f aca="false">SRC_Demand!$K57</f>
        <v>1</v>
      </c>
      <c r="F724" s="92" t="str">
        <f aca="false">SRC_Demand!$S57</f>
        <v>—</v>
      </c>
    </row>
    <row r="725" customFormat="false" ht="15" hidden="false" customHeight="false" outlineLevel="0" collapsed="false">
      <c r="A725" s="92" t="str">
        <f aca="false">SRC_Demand!$A58&amp;""</f>
        <v>SRC_DEM_054</v>
      </c>
      <c r="B725" s="62" t="s">
        <v>3431</v>
      </c>
      <c r="C725" s="61" t="n">
        <v>58</v>
      </c>
      <c r="D725" s="92" t="str">
        <f aca="false">SRC_Demand!$O58</f>
        <v>Active</v>
      </c>
      <c r="E725" s="92" t="n">
        <f aca="false">SRC_Demand!$K58</f>
        <v>2</v>
      </c>
      <c r="F725" s="92" t="str">
        <f aca="false">SRC_Demand!$S58</f>
        <v>—</v>
      </c>
    </row>
    <row r="726" customFormat="false" ht="15" hidden="false" customHeight="false" outlineLevel="0" collapsed="false">
      <c r="A726" s="92" t="str">
        <f aca="false">SRC_Demand!$A59&amp;""</f>
        <v>SRC_DEM_055</v>
      </c>
      <c r="B726" s="62" t="s">
        <v>3431</v>
      </c>
      <c r="C726" s="61" t="n">
        <v>59</v>
      </c>
      <c r="D726" s="92" t="str">
        <f aca="false">SRC_Demand!$O59</f>
        <v>Active</v>
      </c>
      <c r="E726" s="92" t="n">
        <f aca="false">SRC_Demand!$K59</f>
        <v>1</v>
      </c>
      <c r="F726" s="92" t="str">
        <f aca="false">SRC_Demand!$S59</f>
        <v>—</v>
      </c>
    </row>
    <row r="727" customFormat="false" ht="15" hidden="false" customHeight="false" outlineLevel="0" collapsed="false">
      <c r="A727" s="92" t="str">
        <f aca="false">SRC_Demand!$A60&amp;""</f>
        <v>SRC_DEM_056</v>
      </c>
      <c r="B727" s="62" t="s">
        <v>3431</v>
      </c>
      <c r="C727" s="61" t="n">
        <v>60</v>
      </c>
      <c r="D727" s="92" t="str">
        <f aca="false">SRC_Demand!$O60</f>
        <v>Active</v>
      </c>
      <c r="E727" s="92" t="n">
        <f aca="false">SRC_Demand!$K60</f>
        <v>2</v>
      </c>
      <c r="F727" s="92" t="str">
        <f aca="false">SRC_Demand!$S60</f>
        <v>—</v>
      </c>
    </row>
    <row r="728" customFormat="false" ht="15" hidden="false" customHeight="false" outlineLevel="0" collapsed="false">
      <c r="A728" s="92" t="str">
        <f aca="false">SRC_Demand!$A61&amp;""</f>
        <v>SRC_DEM_057</v>
      </c>
      <c r="B728" s="62" t="s">
        <v>3431</v>
      </c>
      <c r="C728" s="61" t="n">
        <v>61</v>
      </c>
      <c r="D728" s="92" t="str">
        <f aca="false">SRC_Demand!$O61</f>
        <v>Active</v>
      </c>
      <c r="E728" s="92" t="n">
        <f aca="false">SRC_Demand!$K61</f>
        <v>2</v>
      </c>
      <c r="F728" s="92" t="str">
        <f aca="false">SRC_Demand!$S61</f>
        <v>—</v>
      </c>
    </row>
    <row r="729" customFormat="false" ht="15" hidden="false" customHeight="false" outlineLevel="0" collapsed="false">
      <c r="A729" s="92" t="str">
        <f aca="false">SRC_Demand!$A62&amp;""</f>
        <v>SRC_DEM_058</v>
      </c>
      <c r="B729" s="62" t="s">
        <v>3431</v>
      </c>
      <c r="C729" s="61" t="n">
        <v>62</v>
      </c>
      <c r="D729" s="92" t="str">
        <f aca="false">SRC_Demand!$O62</f>
        <v>Active</v>
      </c>
      <c r="E729" s="92" t="n">
        <f aca="false">SRC_Demand!$K62</f>
        <v>2</v>
      </c>
      <c r="F729" s="92" t="str">
        <f aca="false">SRC_Demand!$S62</f>
        <v>—</v>
      </c>
    </row>
    <row r="730" customFormat="false" ht="15" hidden="false" customHeight="false" outlineLevel="0" collapsed="false">
      <c r="A730" s="92" t="str">
        <f aca="false">SRC_Demand!$A63&amp;""</f>
        <v>SRC_DEM_059</v>
      </c>
      <c r="B730" s="62" t="s">
        <v>3431</v>
      </c>
      <c r="C730" s="61" t="n">
        <v>63</v>
      </c>
      <c r="D730" s="92" t="str">
        <f aca="false">SRC_Demand!$O63</f>
        <v>Active</v>
      </c>
      <c r="E730" s="92" t="n">
        <f aca="false">SRC_Demand!$K63</f>
        <v>1</v>
      </c>
      <c r="F730" s="92" t="str">
        <f aca="false">SRC_Demand!$S63</f>
        <v>—</v>
      </c>
    </row>
    <row r="731" customFormat="false" ht="15" hidden="false" customHeight="false" outlineLevel="0" collapsed="false">
      <c r="A731" s="92" t="str">
        <f aca="false">SRC_Demand!$A64&amp;""</f>
        <v>SRC_DEM_060</v>
      </c>
      <c r="B731" s="62" t="s">
        <v>3431</v>
      </c>
      <c r="C731" s="61" t="n">
        <v>64</v>
      </c>
      <c r="D731" s="92" t="str">
        <f aca="false">SRC_Demand!$O64</f>
        <v>Active</v>
      </c>
      <c r="E731" s="92" t="n">
        <f aca="false">SRC_Demand!$K64</f>
        <v>2</v>
      </c>
      <c r="F731" s="92" t="str">
        <f aca="false">SRC_Demand!$S64</f>
        <v>—</v>
      </c>
    </row>
    <row r="732" customFormat="false" ht="15" hidden="false" customHeight="false" outlineLevel="0" collapsed="false">
      <c r="A732" s="92" t="str">
        <f aca="false">SRC_Demand!$A65&amp;""</f>
        <v>SRC_DEM_061</v>
      </c>
      <c r="B732" s="62" t="s">
        <v>3431</v>
      </c>
      <c r="C732" s="61" t="n">
        <v>65</v>
      </c>
      <c r="D732" s="92" t="str">
        <f aca="false">SRC_Demand!$O65</f>
        <v>Active</v>
      </c>
      <c r="E732" s="92" t="n">
        <f aca="false">SRC_Demand!$K65</f>
        <v>1</v>
      </c>
      <c r="F732" s="92" t="str">
        <f aca="false">SRC_Demand!$S65</f>
        <v>—</v>
      </c>
    </row>
    <row r="733" customFormat="false" ht="15" hidden="false" customHeight="false" outlineLevel="0" collapsed="false">
      <c r="A733" s="92" t="str">
        <f aca="false">SRC_Demand!$A66&amp;""</f>
        <v>SRC_DEM_062</v>
      </c>
      <c r="B733" s="62" t="s">
        <v>3431</v>
      </c>
      <c r="C733" s="61" t="n">
        <v>66</v>
      </c>
      <c r="D733" s="92" t="str">
        <f aca="false">SRC_Demand!$O66</f>
        <v>Active</v>
      </c>
      <c r="E733" s="92" t="n">
        <f aca="false">SRC_Demand!$K66</f>
        <v>2</v>
      </c>
      <c r="F733" s="92" t="str">
        <f aca="false">SRC_Demand!$S66</f>
        <v>—</v>
      </c>
    </row>
    <row r="734" customFormat="false" ht="15" hidden="false" customHeight="false" outlineLevel="0" collapsed="false">
      <c r="A734" s="92" t="str">
        <f aca="false">SRC_Demand!$A67&amp;""</f>
        <v>SRC_DEM_063</v>
      </c>
      <c r="B734" s="62" t="s">
        <v>3431</v>
      </c>
      <c r="C734" s="61" t="n">
        <v>67</v>
      </c>
      <c r="D734" s="92" t="str">
        <f aca="false">SRC_Demand!$O67</f>
        <v>Active</v>
      </c>
      <c r="E734" s="92" t="n">
        <f aca="false">SRC_Demand!$K67</f>
        <v>2</v>
      </c>
      <c r="F734" s="92" t="str">
        <f aca="false">SRC_Demand!$S67</f>
        <v>—</v>
      </c>
    </row>
    <row r="735" customFormat="false" ht="15" hidden="false" customHeight="false" outlineLevel="0" collapsed="false">
      <c r="A735" s="92" t="str">
        <f aca="false">SRC_Demand!$A68&amp;""</f>
        <v>SRC_DEM_064</v>
      </c>
      <c r="B735" s="62" t="s">
        <v>3431</v>
      </c>
      <c r="C735" s="61" t="n">
        <v>68</v>
      </c>
      <c r="D735" s="92" t="str">
        <f aca="false">SRC_Demand!$O68</f>
        <v>Active</v>
      </c>
      <c r="E735" s="92" t="n">
        <f aca="false">SRC_Demand!$K68</f>
        <v>2</v>
      </c>
      <c r="F735" s="92" t="str">
        <f aca="false">SRC_Demand!$S68</f>
        <v>—</v>
      </c>
    </row>
    <row r="736" customFormat="false" ht="15" hidden="false" customHeight="false" outlineLevel="0" collapsed="false">
      <c r="A736" s="92" t="str">
        <f aca="false">SRC_Demand!$A69&amp;""</f>
        <v>SRC_DEM_065</v>
      </c>
      <c r="B736" s="62" t="s">
        <v>3431</v>
      </c>
      <c r="C736" s="61" t="n">
        <v>69</v>
      </c>
      <c r="D736" s="92" t="str">
        <f aca="false">SRC_Demand!$O69</f>
        <v>Active</v>
      </c>
      <c r="E736" s="92" t="n">
        <f aca="false">SRC_Demand!$K69</f>
        <v>2</v>
      </c>
      <c r="F736" s="92" t="str">
        <f aca="false">SRC_Demand!$S69</f>
        <v>—</v>
      </c>
    </row>
    <row r="737" customFormat="false" ht="15" hidden="false" customHeight="false" outlineLevel="0" collapsed="false">
      <c r="A737" s="92" t="str">
        <f aca="false">SRC_Demand!$A70&amp;""</f>
        <v>SRC_DEM_066</v>
      </c>
      <c r="B737" s="62" t="s">
        <v>3431</v>
      </c>
      <c r="C737" s="61" t="n">
        <v>70</v>
      </c>
      <c r="D737" s="92" t="str">
        <f aca="false">SRC_Demand!$O70</f>
        <v>Active</v>
      </c>
      <c r="E737" s="92" t="n">
        <f aca="false">SRC_Demand!$K70</f>
        <v>1</v>
      </c>
      <c r="F737" s="92" t="str">
        <f aca="false">SRC_Demand!$S70</f>
        <v>—</v>
      </c>
    </row>
    <row r="738" customFormat="false" ht="15" hidden="false" customHeight="false" outlineLevel="0" collapsed="false">
      <c r="A738" s="92" t="str">
        <f aca="false">SRC_Demand!$A71&amp;""</f>
        <v>SRC_DEM_067</v>
      </c>
      <c r="B738" s="62" t="s">
        <v>3431</v>
      </c>
      <c r="C738" s="61" t="n">
        <v>71</v>
      </c>
      <c r="D738" s="92" t="str">
        <f aca="false">SRC_Demand!$O71</f>
        <v>Active</v>
      </c>
      <c r="E738" s="92" t="n">
        <f aca="false">SRC_Demand!$K71</f>
        <v>2</v>
      </c>
      <c r="F738" s="92" t="str">
        <f aca="false">SRC_Demand!$S71</f>
        <v>—</v>
      </c>
    </row>
    <row r="739" customFormat="false" ht="15" hidden="false" customHeight="false" outlineLevel="0" collapsed="false">
      <c r="A739" s="92" t="str">
        <f aca="false">SRC_Demand!$A72&amp;""</f>
        <v>SRC_DEM_068</v>
      </c>
      <c r="B739" s="62" t="s">
        <v>3431</v>
      </c>
      <c r="C739" s="61" t="n">
        <v>72</v>
      </c>
      <c r="D739" s="92" t="str">
        <f aca="false">SRC_Demand!$O72</f>
        <v>Active</v>
      </c>
      <c r="E739" s="92" t="n">
        <f aca="false">SRC_Demand!$K72</f>
        <v>1</v>
      </c>
      <c r="F739" s="92" t="str">
        <f aca="false">SRC_Demand!$S72</f>
        <v>—</v>
      </c>
    </row>
    <row r="740" customFormat="false" ht="15" hidden="false" customHeight="false" outlineLevel="0" collapsed="false">
      <c r="A740" s="92" t="str">
        <f aca="false">SRC_Demand!$A73&amp;""</f>
        <v>SRC_DEM_069</v>
      </c>
      <c r="B740" s="62" t="s">
        <v>3431</v>
      </c>
      <c r="C740" s="61" t="n">
        <v>73</v>
      </c>
      <c r="D740" s="92" t="str">
        <f aca="false">SRC_Demand!$O73</f>
        <v>Active</v>
      </c>
      <c r="E740" s="92" t="n">
        <f aca="false">SRC_Demand!$K73</f>
        <v>2</v>
      </c>
      <c r="F740" s="92" t="str">
        <f aca="false">SRC_Demand!$S73</f>
        <v>—</v>
      </c>
    </row>
    <row r="741" customFormat="false" ht="15" hidden="false" customHeight="false" outlineLevel="0" collapsed="false">
      <c r="A741" s="92" t="str">
        <f aca="false">SRC_Demand!$A74&amp;""</f>
        <v>SRC_DEM_070</v>
      </c>
      <c r="B741" s="62" t="s">
        <v>3431</v>
      </c>
      <c r="C741" s="61" t="n">
        <v>74</v>
      </c>
      <c r="D741" s="92" t="str">
        <f aca="false">SRC_Demand!$O74</f>
        <v>Alt</v>
      </c>
      <c r="E741" s="92" t="n">
        <f aca="false">SRC_Demand!$K74</f>
        <v>3</v>
      </c>
      <c r="F741" s="92" t="str">
        <f aca="false">SRC_Demand!$S74</f>
        <v>—</v>
      </c>
    </row>
    <row r="742" customFormat="false" ht="15" hidden="false" customHeight="false" outlineLevel="0" collapsed="false">
      <c r="A742" s="92" t="str">
        <f aca="false">SRC_Demand!$A75&amp;""</f>
        <v>SRC_DEM_071</v>
      </c>
      <c r="B742" s="62" t="s">
        <v>3431</v>
      </c>
      <c r="C742" s="61" t="n">
        <v>75</v>
      </c>
      <c r="D742" s="92" t="str">
        <f aca="false">SRC_Demand!$O75</f>
        <v>Active</v>
      </c>
      <c r="E742" s="92" t="n">
        <f aca="false">SRC_Demand!$K75</f>
        <v>3</v>
      </c>
      <c r="F742" s="92" t="str">
        <f aca="false">SRC_Demand!$S75</f>
        <v>—</v>
      </c>
    </row>
    <row r="743" customFormat="false" ht="15" hidden="false" customHeight="false" outlineLevel="0" collapsed="false">
      <c r="A743" s="92" t="str">
        <f aca="false">SRC_Demand!$A76&amp;""</f>
        <v>SRC_DEM_072</v>
      </c>
      <c r="B743" s="62" t="s">
        <v>3431</v>
      </c>
      <c r="C743" s="61" t="n">
        <v>76</v>
      </c>
      <c r="D743" s="92" t="str">
        <f aca="false">SRC_Demand!$O76</f>
        <v>Active</v>
      </c>
      <c r="E743" s="92" t="n">
        <f aca="false">SRC_Demand!$K76</f>
        <v>2</v>
      </c>
      <c r="F743" s="92" t="str">
        <f aca="false">SRC_Demand!$S76</f>
        <v>—</v>
      </c>
    </row>
    <row r="744" customFormat="false" ht="15" hidden="false" customHeight="false" outlineLevel="0" collapsed="false">
      <c r="A744" s="92" t="str">
        <f aca="false">SRC_Demand!$A77&amp;""</f>
        <v>SRC_DEM_073</v>
      </c>
      <c r="B744" s="62" t="s">
        <v>3431</v>
      </c>
      <c r="C744" s="61" t="n">
        <v>77</v>
      </c>
      <c r="D744" s="92" t="str">
        <f aca="false">SRC_Demand!$O77</f>
        <v>Active</v>
      </c>
      <c r="E744" s="92" t="n">
        <f aca="false">SRC_Demand!$K77</f>
        <v>2</v>
      </c>
      <c r="F744" s="92" t="str">
        <f aca="false">SRC_Demand!$S77</f>
        <v>—</v>
      </c>
    </row>
    <row r="745" customFormat="false" ht="15" hidden="false" customHeight="false" outlineLevel="0" collapsed="false">
      <c r="A745" s="92" t="str">
        <f aca="false">SRC_Demand!$A78&amp;""</f>
        <v/>
      </c>
      <c r="B745" s="62" t="s">
        <v>3431</v>
      </c>
      <c r="C745" s="61" t="n">
        <v>78</v>
      </c>
      <c r="D745" s="92" t="n">
        <f aca="false">SRC_Demand!$O78</f>
        <v>0</v>
      </c>
      <c r="E745" s="92" t="n">
        <f aca="false">SRC_Demand!$K78</f>
        <v>0</v>
      </c>
      <c r="F745" s="92" t="n">
        <f aca="false">SRC_Demand!$S78</f>
        <v>0</v>
      </c>
    </row>
    <row r="746" customFormat="false" ht="15" hidden="false" customHeight="false" outlineLevel="0" collapsed="false">
      <c r="A746" s="92" t="str">
        <f aca="false">SRC_Demand!$A79&amp;""</f>
        <v/>
      </c>
      <c r="B746" s="62" t="s">
        <v>3431</v>
      </c>
      <c r="C746" s="61" t="n">
        <v>79</v>
      </c>
      <c r="D746" s="92" t="n">
        <f aca="false">SRC_Demand!$O79</f>
        <v>0</v>
      </c>
      <c r="E746" s="92" t="n">
        <f aca="false">SRC_Demand!$K79</f>
        <v>0</v>
      </c>
      <c r="F746" s="92" t="n">
        <f aca="false">SRC_Demand!$S79</f>
        <v>0</v>
      </c>
    </row>
    <row r="747" customFormat="false" ht="15" hidden="false" customHeight="false" outlineLevel="0" collapsed="false">
      <c r="A747" s="92" t="str">
        <f aca="false">SRC_Demand!$A80&amp;""</f>
        <v/>
      </c>
      <c r="B747" s="62" t="s">
        <v>3431</v>
      </c>
      <c r="C747" s="61" t="n">
        <v>80</v>
      </c>
      <c r="D747" s="92" t="n">
        <f aca="false">SRC_Demand!$O80</f>
        <v>0</v>
      </c>
      <c r="E747" s="92" t="n">
        <f aca="false">SRC_Demand!$K80</f>
        <v>0</v>
      </c>
      <c r="F747" s="92" t="n">
        <f aca="false">SRC_Demand!$S80</f>
        <v>0</v>
      </c>
    </row>
    <row r="748" customFormat="false" ht="15" hidden="false" customHeight="false" outlineLevel="0" collapsed="false">
      <c r="A748" s="92" t="str">
        <f aca="false">SRC_Demand!$A81&amp;""</f>
        <v/>
      </c>
      <c r="B748" s="62" t="s">
        <v>3431</v>
      </c>
      <c r="C748" s="61" t="n">
        <v>81</v>
      </c>
      <c r="D748" s="92" t="n">
        <f aca="false">SRC_Demand!$O81</f>
        <v>0</v>
      </c>
      <c r="E748" s="92" t="n">
        <f aca="false">SRC_Demand!$K81</f>
        <v>0</v>
      </c>
      <c r="F748" s="92" t="n">
        <f aca="false">SRC_Demand!$S81</f>
        <v>0</v>
      </c>
    </row>
    <row r="749" customFormat="false" ht="15" hidden="false" customHeight="false" outlineLevel="0" collapsed="false">
      <c r="A749" s="92" t="str">
        <f aca="false">SRC_Demand!$A82&amp;""</f>
        <v/>
      </c>
      <c r="B749" s="62" t="s">
        <v>3431</v>
      </c>
      <c r="C749" s="61" t="n">
        <v>82</v>
      </c>
      <c r="D749" s="92" t="n">
        <f aca="false">SRC_Demand!$O82</f>
        <v>0</v>
      </c>
      <c r="E749" s="92" t="n">
        <f aca="false">SRC_Demand!$K82</f>
        <v>0</v>
      </c>
      <c r="F749" s="92" t="n">
        <f aca="false">SRC_Demand!$S82</f>
        <v>0</v>
      </c>
    </row>
    <row r="750" customFormat="false" ht="15" hidden="false" customHeight="false" outlineLevel="0" collapsed="false">
      <c r="A750" s="92" t="str">
        <f aca="false">SRC_Demand!$A83&amp;""</f>
        <v/>
      </c>
      <c r="B750" s="62" t="s">
        <v>3431</v>
      </c>
      <c r="C750" s="61" t="n">
        <v>83</v>
      </c>
      <c r="D750" s="92" t="n">
        <f aca="false">SRC_Demand!$O83</f>
        <v>0</v>
      </c>
      <c r="E750" s="92" t="n">
        <f aca="false">SRC_Demand!$K83</f>
        <v>0</v>
      </c>
      <c r="F750" s="92" t="n">
        <f aca="false">SRC_Demand!$S83</f>
        <v>0</v>
      </c>
    </row>
    <row r="751" customFormat="false" ht="15" hidden="false" customHeight="false" outlineLevel="0" collapsed="false">
      <c r="A751" s="92" t="str">
        <f aca="false">SRC_Demand!$A84&amp;""</f>
        <v/>
      </c>
      <c r="B751" s="62" t="s">
        <v>3431</v>
      </c>
      <c r="C751" s="61" t="n">
        <v>84</v>
      </c>
      <c r="D751" s="92" t="n">
        <f aca="false">SRC_Demand!$O84</f>
        <v>0</v>
      </c>
      <c r="E751" s="92" t="n">
        <f aca="false">SRC_Demand!$K84</f>
        <v>0</v>
      </c>
      <c r="F751" s="92" t="n">
        <f aca="false">SRC_Demand!$S84</f>
        <v>0</v>
      </c>
    </row>
    <row r="752" customFormat="false" ht="15" hidden="false" customHeight="false" outlineLevel="0" collapsed="false">
      <c r="A752" s="92" t="str">
        <f aca="false">SRC_Demand!$A85&amp;""</f>
        <v/>
      </c>
      <c r="B752" s="62" t="s">
        <v>3431</v>
      </c>
      <c r="C752" s="61" t="n">
        <v>85</v>
      </c>
      <c r="D752" s="92" t="n">
        <f aca="false">SRC_Demand!$O85</f>
        <v>0</v>
      </c>
      <c r="E752" s="92" t="n">
        <f aca="false">SRC_Demand!$K85</f>
        <v>0</v>
      </c>
      <c r="F752" s="92" t="n">
        <f aca="false">SRC_Demand!$S85</f>
        <v>0</v>
      </c>
    </row>
    <row r="753" customFormat="false" ht="15" hidden="false" customHeight="false" outlineLevel="0" collapsed="false">
      <c r="A753" s="92" t="str">
        <f aca="false">SRC_Demand!$A86&amp;""</f>
        <v/>
      </c>
      <c r="B753" s="62" t="s">
        <v>3431</v>
      </c>
      <c r="C753" s="61" t="n">
        <v>86</v>
      </c>
      <c r="D753" s="92" t="n">
        <f aca="false">SRC_Demand!$O86</f>
        <v>0</v>
      </c>
      <c r="E753" s="92" t="n">
        <f aca="false">SRC_Demand!$K86</f>
        <v>0</v>
      </c>
      <c r="F753" s="92" t="n">
        <f aca="false">SRC_Demand!$S86</f>
        <v>0</v>
      </c>
    </row>
    <row r="754" customFormat="false" ht="15" hidden="false" customHeight="false" outlineLevel="0" collapsed="false">
      <c r="A754" s="92" t="str">
        <f aca="false">SRC_Demand!$A87&amp;""</f>
        <v/>
      </c>
      <c r="B754" s="62" t="s">
        <v>3431</v>
      </c>
      <c r="C754" s="61" t="n">
        <v>87</v>
      </c>
      <c r="D754" s="92" t="n">
        <f aca="false">SRC_Demand!$O87</f>
        <v>0</v>
      </c>
      <c r="E754" s="92" t="n">
        <f aca="false">SRC_Demand!$K87</f>
        <v>0</v>
      </c>
      <c r="F754" s="92" t="n">
        <f aca="false">SRC_Demand!$S87</f>
        <v>0</v>
      </c>
    </row>
    <row r="755" customFormat="false" ht="15" hidden="false" customHeight="false" outlineLevel="0" collapsed="false">
      <c r="A755" s="92" t="str">
        <f aca="false">SRC_Demand!$A88&amp;""</f>
        <v/>
      </c>
      <c r="B755" s="62" t="s">
        <v>3431</v>
      </c>
      <c r="C755" s="61" t="n">
        <v>88</v>
      </c>
      <c r="D755" s="92" t="n">
        <f aca="false">SRC_Demand!$O88</f>
        <v>0</v>
      </c>
      <c r="E755" s="92" t="n">
        <f aca="false">SRC_Demand!$K88</f>
        <v>0</v>
      </c>
      <c r="F755" s="92" t="n">
        <f aca="false">SRC_Demand!$S88</f>
        <v>0</v>
      </c>
    </row>
    <row r="756" customFormat="false" ht="15" hidden="false" customHeight="false" outlineLevel="0" collapsed="false">
      <c r="A756" s="92" t="str">
        <f aca="false">SRC_Demand!$A89&amp;""</f>
        <v/>
      </c>
      <c r="B756" s="62" t="s">
        <v>3431</v>
      </c>
      <c r="C756" s="61" t="n">
        <v>89</v>
      </c>
      <c r="D756" s="92" t="n">
        <f aca="false">SRC_Demand!$O89</f>
        <v>0</v>
      </c>
      <c r="E756" s="92" t="n">
        <f aca="false">SRC_Demand!$K89</f>
        <v>0</v>
      </c>
      <c r="F756" s="92" t="n">
        <f aca="false">SRC_Demand!$S89</f>
        <v>0</v>
      </c>
    </row>
    <row r="757" customFormat="false" ht="15" hidden="false" customHeight="false" outlineLevel="0" collapsed="false">
      <c r="A757" s="92" t="str">
        <f aca="false">SRC_Demand!$A90&amp;""</f>
        <v/>
      </c>
      <c r="B757" s="62" t="s">
        <v>3431</v>
      </c>
      <c r="C757" s="61" t="n">
        <v>90</v>
      </c>
      <c r="D757" s="92" t="n">
        <f aca="false">SRC_Demand!$O90</f>
        <v>0</v>
      </c>
      <c r="E757" s="92" t="n">
        <f aca="false">SRC_Demand!$K90</f>
        <v>0</v>
      </c>
      <c r="F757" s="92" t="n">
        <f aca="false">SRC_Demand!$S90</f>
        <v>0</v>
      </c>
    </row>
    <row r="758" customFormat="false" ht="15" hidden="false" customHeight="false" outlineLevel="0" collapsed="false">
      <c r="A758" s="92" t="str">
        <f aca="false">SRC_Demand!$A91&amp;""</f>
        <v/>
      </c>
      <c r="B758" s="62" t="s">
        <v>3431</v>
      </c>
      <c r="C758" s="61" t="n">
        <v>91</v>
      </c>
      <c r="D758" s="92" t="n">
        <f aca="false">SRC_Demand!$O91</f>
        <v>0</v>
      </c>
      <c r="E758" s="92" t="n">
        <f aca="false">SRC_Demand!$K91</f>
        <v>0</v>
      </c>
      <c r="F758" s="92" t="n">
        <f aca="false">SRC_Demand!$S91</f>
        <v>0</v>
      </c>
    </row>
    <row r="759" customFormat="false" ht="15" hidden="false" customHeight="false" outlineLevel="0" collapsed="false">
      <c r="A759" s="92" t="str">
        <f aca="false">SRC_Demand!$A92&amp;""</f>
        <v/>
      </c>
      <c r="B759" s="62" t="s">
        <v>3431</v>
      </c>
      <c r="C759" s="61" t="n">
        <v>92</v>
      </c>
      <c r="D759" s="92" t="n">
        <f aca="false">SRC_Demand!$O92</f>
        <v>0</v>
      </c>
      <c r="E759" s="92" t="n">
        <f aca="false">SRC_Demand!$K92</f>
        <v>0</v>
      </c>
      <c r="F759" s="92" t="n">
        <f aca="false">SRC_Demand!$S92</f>
        <v>0</v>
      </c>
    </row>
    <row r="760" customFormat="false" ht="15" hidden="false" customHeight="false" outlineLevel="0" collapsed="false">
      <c r="A760" s="92" t="str">
        <f aca="false">SRC_Demand!$A93&amp;""</f>
        <v/>
      </c>
      <c r="B760" s="62" t="s">
        <v>3431</v>
      </c>
      <c r="C760" s="61" t="n">
        <v>93</v>
      </c>
      <c r="D760" s="92" t="n">
        <f aca="false">SRC_Demand!$O93</f>
        <v>0</v>
      </c>
      <c r="E760" s="92" t="n">
        <f aca="false">SRC_Demand!$K93</f>
        <v>0</v>
      </c>
      <c r="F760" s="92" t="n">
        <f aca="false">SRC_Demand!$S93</f>
        <v>0</v>
      </c>
    </row>
    <row r="761" customFormat="false" ht="15" hidden="false" customHeight="false" outlineLevel="0" collapsed="false">
      <c r="A761" s="92" t="str">
        <f aca="false">SRC_Demand!$A94&amp;""</f>
        <v/>
      </c>
      <c r="B761" s="62" t="s">
        <v>3431</v>
      </c>
      <c r="C761" s="61" t="n">
        <v>94</v>
      </c>
      <c r="D761" s="92" t="n">
        <f aca="false">SRC_Demand!$O94</f>
        <v>0</v>
      </c>
      <c r="E761" s="92" t="n">
        <f aca="false">SRC_Demand!$K94</f>
        <v>0</v>
      </c>
      <c r="F761" s="92" t="n">
        <f aca="false">SRC_Demand!$S94</f>
        <v>0</v>
      </c>
    </row>
    <row r="762" customFormat="false" ht="15" hidden="false" customHeight="false" outlineLevel="0" collapsed="false">
      <c r="A762" s="92" t="str">
        <f aca="false">SRC_Demand!$A95&amp;""</f>
        <v/>
      </c>
      <c r="B762" s="62" t="s">
        <v>3431</v>
      </c>
      <c r="C762" s="61" t="n">
        <v>95</v>
      </c>
      <c r="D762" s="92" t="n">
        <f aca="false">SRC_Demand!$O95</f>
        <v>0</v>
      </c>
      <c r="E762" s="92" t="n">
        <f aca="false">SRC_Demand!$K95</f>
        <v>0</v>
      </c>
      <c r="F762" s="92" t="n">
        <f aca="false">SRC_Demand!$S95</f>
        <v>0</v>
      </c>
    </row>
    <row r="763" customFormat="false" ht="15" hidden="false" customHeight="false" outlineLevel="0" collapsed="false">
      <c r="A763" s="92" t="str">
        <f aca="false">SRC_Demand!$A96&amp;""</f>
        <v/>
      </c>
      <c r="B763" s="62" t="s">
        <v>3431</v>
      </c>
      <c r="C763" s="61" t="n">
        <v>96</v>
      </c>
      <c r="D763" s="92" t="n">
        <f aca="false">SRC_Demand!$O96</f>
        <v>0</v>
      </c>
      <c r="E763" s="92" t="n">
        <f aca="false">SRC_Demand!$K96</f>
        <v>0</v>
      </c>
      <c r="F763" s="92" t="n">
        <f aca="false">SRC_Demand!$S96</f>
        <v>0</v>
      </c>
    </row>
    <row r="764" customFormat="false" ht="15" hidden="false" customHeight="false" outlineLevel="0" collapsed="false">
      <c r="A764" s="92" t="str">
        <f aca="false">SRC_Demand!$A97&amp;""</f>
        <v/>
      </c>
      <c r="B764" s="62" t="s">
        <v>3431</v>
      </c>
      <c r="C764" s="61" t="n">
        <v>97</v>
      </c>
      <c r="D764" s="92" t="n">
        <f aca="false">SRC_Demand!$O97</f>
        <v>0</v>
      </c>
      <c r="E764" s="92" t="n">
        <f aca="false">SRC_Demand!$K97</f>
        <v>0</v>
      </c>
      <c r="F764" s="92" t="n">
        <f aca="false">SRC_Demand!$S97</f>
        <v>0</v>
      </c>
    </row>
    <row r="765" customFormat="false" ht="15" hidden="false" customHeight="false" outlineLevel="0" collapsed="false">
      <c r="A765" s="92" t="str">
        <f aca="false">SRC_Demand!$A98&amp;""</f>
        <v/>
      </c>
      <c r="B765" s="62" t="s">
        <v>3431</v>
      </c>
      <c r="C765" s="61" t="n">
        <v>98</v>
      </c>
      <c r="D765" s="92" t="n">
        <f aca="false">SRC_Demand!$O98</f>
        <v>0</v>
      </c>
      <c r="E765" s="92" t="n">
        <f aca="false">SRC_Demand!$K98</f>
        <v>0</v>
      </c>
      <c r="F765" s="92" t="n">
        <f aca="false">SRC_Demand!$S98</f>
        <v>0</v>
      </c>
    </row>
    <row r="766" customFormat="false" ht="15" hidden="false" customHeight="false" outlineLevel="0" collapsed="false">
      <c r="A766" s="92" t="str">
        <f aca="false">SRC_Demand!$A99&amp;""</f>
        <v/>
      </c>
      <c r="B766" s="62" t="s">
        <v>3431</v>
      </c>
      <c r="C766" s="61" t="n">
        <v>99</v>
      </c>
      <c r="D766" s="92" t="n">
        <f aca="false">SRC_Demand!$O99</f>
        <v>0</v>
      </c>
      <c r="E766" s="92" t="n">
        <f aca="false">SRC_Demand!$K99</f>
        <v>0</v>
      </c>
      <c r="F766" s="92" t="n">
        <f aca="false">SRC_Demand!$S99</f>
        <v>0</v>
      </c>
    </row>
    <row r="767" customFormat="false" ht="15" hidden="false" customHeight="false" outlineLevel="0" collapsed="false">
      <c r="A767" s="92" t="str">
        <f aca="false">SRC_Demand!$A100&amp;""</f>
        <v/>
      </c>
      <c r="B767" s="62" t="s">
        <v>3431</v>
      </c>
      <c r="C767" s="61" t="n">
        <v>100</v>
      </c>
      <c r="D767" s="92" t="n">
        <f aca="false">SRC_Demand!$O100</f>
        <v>0</v>
      </c>
      <c r="E767" s="92" t="n">
        <f aca="false">SRC_Demand!$K100</f>
        <v>0</v>
      </c>
      <c r="F767" s="92" t="n">
        <f aca="false">SRC_Demand!$S100</f>
        <v>0</v>
      </c>
    </row>
    <row r="768" customFormat="false" ht="15" hidden="false" customHeight="false" outlineLevel="0" collapsed="false">
      <c r="A768" s="92" t="str">
        <f aca="false">SRC_Demand!$A101&amp;""</f>
        <v/>
      </c>
      <c r="B768" s="62" t="s">
        <v>3431</v>
      </c>
      <c r="C768" s="61" t="n">
        <v>101</v>
      </c>
      <c r="D768" s="92" t="n">
        <f aca="false">SRC_Demand!$O101</f>
        <v>0</v>
      </c>
      <c r="E768" s="92" t="n">
        <f aca="false">SRC_Demand!$K101</f>
        <v>0</v>
      </c>
      <c r="F768" s="92" t="n">
        <f aca="false">SRC_Demand!$S101</f>
        <v>0</v>
      </c>
    </row>
    <row r="769" customFormat="false" ht="15" hidden="false" customHeight="false" outlineLevel="0" collapsed="false">
      <c r="A769" s="92" t="str">
        <f aca="false">SRC_Demand!$A102&amp;""</f>
        <v/>
      </c>
      <c r="B769" s="62" t="s">
        <v>3431</v>
      </c>
      <c r="C769" s="61" t="n">
        <v>102</v>
      </c>
      <c r="D769" s="92" t="n">
        <f aca="false">SRC_Demand!$O102</f>
        <v>0</v>
      </c>
      <c r="E769" s="92" t="n">
        <f aca="false">SRC_Demand!$K102</f>
        <v>0</v>
      </c>
      <c r="F769" s="92" t="n">
        <f aca="false">SRC_Demand!$S102</f>
        <v>0</v>
      </c>
    </row>
    <row r="770" customFormat="false" ht="15" hidden="false" customHeight="false" outlineLevel="0" collapsed="false">
      <c r="A770" s="92" t="str">
        <f aca="false">SRC_Demand!$A103&amp;""</f>
        <v/>
      </c>
      <c r="B770" s="62" t="s">
        <v>3431</v>
      </c>
      <c r="C770" s="61" t="n">
        <v>103</v>
      </c>
      <c r="D770" s="92" t="n">
        <f aca="false">SRC_Demand!$O103</f>
        <v>0</v>
      </c>
      <c r="E770" s="92" t="n">
        <f aca="false">SRC_Demand!$K103</f>
        <v>0</v>
      </c>
      <c r="F770" s="92" t="n">
        <f aca="false">SRC_Demand!$S103</f>
        <v>0</v>
      </c>
    </row>
    <row r="771" customFormat="false" ht="15" hidden="false" customHeight="false" outlineLevel="0" collapsed="false">
      <c r="A771" s="92" t="str">
        <f aca="false">SRC_Demand!$A104&amp;""</f>
        <v/>
      </c>
      <c r="B771" s="62" t="s">
        <v>3431</v>
      </c>
      <c r="C771" s="61" t="n">
        <v>104</v>
      </c>
      <c r="D771" s="92" t="n">
        <f aca="false">SRC_Demand!$O104</f>
        <v>0</v>
      </c>
      <c r="E771" s="92" t="n">
        <f aca="false">SRC_Demand!$K104</f>
        <v>0</v>
      </c>
      <c r="F771" s="92" t="n">
        <f aca="false">SRC_Demand!$S104</f>
        <v>0</v>
      </c>
    </row>
    <row r="772" customFormat="false" ht="15" hidden="false" customHeight="false" outlineLevel="0" collapsed="false">
      <c r="A772" s="92" t="str">
        <f aca="false">SRC_Demand!$A105&amp;""</f>
        <v/>
      </c>
      <c r="B772" s="62" t="s">
        <v>3431</v>
      </c>
      <c r="C772" s="61" t="n">
        <v>105</v>
      </c>
      <c r="D772" s="92" t="n">
        <f aca="false">SRC_Demand!$O105</f>
        <v>0</v>
      </c>
      <c r="E772" s="92" t="n">
        <f aca="false">SRC_Demand!$K105</f>
        <v>0</v>
      </c>
      <c r="F772" s="92" t="n">
        <f aca="false">SRC_Demand!$S105</f>
        <v>0</v>
      </c>
    </row>
    <row r="773" customFormat="false" ht="15" hidden="false" customHeight="false" outlineLevel="0" collapsed="false">
      <c r="A773" s="92" t="str">
        <f aca="false">SRC_Demand!$A106&amp;""</f>
        <v/>
      </c>
      <c r="B773" s="62" t="s">
        <v>3431</v>
      </c>
      <c r="C773" s="61" t="n">
        <v>106</v>
      </c>
      <c r="D773" s="92" t="n">
        <f aca="false">SRC_Demand!$O106</f>
        <v>0</v>
      </c>
      <c r="E773" s="92" t="n">
        <f aca="false">SRC_Demand!$K106</f>
        <v>0</v>
      </c>
      <c r="F773" s="92" t="n">
        <f aca="false">SRC_Demand!$S106</f>
        <v>0</v>
      </c>
    </row>
    <row r="774" customFormat="false" ht="15" hidden="false" customHeight="false" outlineLevel="0" collapsed="false">
      <c r="A774" s="92" t="str">
        <f aca="false">SRC_Demand!$A107&amp;""</f>
        <v/>
      </c>
      <c r="B774" s="62" t="s">
        <v>3431</v>
      </c>
      <c r="C774" s="61" t="n">
        <v>107</v>
      </c>
      <c r="D774" s="92" t="n">
        <f aca="false">SRC_Demand!$O107</f>
        <v>0</v>
      </c>
      <c r="E774" s="92" t="n">
        <f aca="false">SRC_Demand!$K107</f>
        <v>0</v>
      </c>
      <c r="F774" s="92" t="n">
        <f aca="false">SRC_Demand!$S107</f>
        <v>0</v>
      </c>
    </row>
    <row r="775" customFormat="false" ht="15" hidden="false" customHeight="false" outlineLevel="0" collapsed="false">
      <c r="A775" s="92" t="str">
        <f aca="false">SRC_Demand!$A108&amp;""</f>
        <v/>
      </c>
      <c r="B775" s="62" t="s">
        <v>3431</v>
      </c>
      <c r="C775" s="61" t="n">
        <v>108</v>
      </c>
      <c r="D775" s="92" t="n">
        <f aca="false">SRC_Demand!$O108</f>
        <v>0</v>
      </c>
      <c r="E775" s="92" t="n">
        <f aca="false">SRC_Demand!$K108</f>
        <v>0</v>
      </c>
      <c r="F775" s="92" t="n">
        <f aca="false">SRC_Demand!$S108</f>
        <v>0</v>
      </c>
    </row>
    <row r="776" customFormat="false" ht="15" hidden="false" customHeight="false" outlineLevel="0" collapsed="false">
      <c r="A776" s="92" t="str">
        <f aca="false">SRC_Demand!$A109&amp;""</f>
        <v/>
      </c>
      <c r="B776" s="62" t="s">
        <v>3431</v>
      </c>
      <c r="C776" s="61" t="n">
        <v>109</v>
      </c>
      <c r="D776" s="92" t="n">
        <f aca="false">SRC_Demand!$O109</f>
        <v>0</v>
      </c>
      <c r="E776" s="92" t="n">
        <f aca="false">SRC_Demand!$K109</f>
        <v>0</v>
      </c>
      <c r="F776" s="92" t="n">
        <f aca="false">SRC_Demand!$S109</f>
        <v>0</v>
      </c>
    </row>
    <row r="777" customFormat="false" ht="15" hidden="false" customHeight="false" outlineLevel="0" collapsed="false">
      <c r="A777" s="92" t="str">
        <f aca="false">SRC_Demand!$A110&amp;""</f>
        <v/>
      </c>
      <c r="B777" s="62" t="s">
        <v>3431</v>
      </c>
      <c r="C777" s="61" t="n">
        <v>110</v>
      </c>
      <c r="D777" s="92" t="n">
        <f aca="false">SRC_Demand!$O110</f>
        <v>0</v>
      </c>
      <c r="E777" s="92" t="n">
        <f aca="false">SRC_Demand!$K110</f>
        <v>0</v>
      </c>
      <c r="F777" s="92" t="n">
        <f aca="false">SRC_Demand!$S110</f>
        <v>0</v>
      </c>
    </row>
    <row r="778" customFormat="false" ht="15" hidden="false" customHeight="false" outlineLevel="0" collapsed="false">
      <c r="A778" s="92" t="str">
        <f aca="false">SRC_Demand!$A111&amp;""</f>
        <v/>
      </c>
      <c r="B778" s="62" t="s">
        <v>3431</v>
      </c>
      <c r="C778" s="61" t="n">
        <v>111</v>
      </c>
      <c r="D778" s="92" t="n">
        <f aca="false">SRC_Demand!$O111</f>
        <v>0</v>
      </c>
      <c r="E778" s="92" t="n">
        <f aca="false">SRC_Demand!$K111</f>
        <v>0</v>
      </c>
      <c r="F778" s="92" t="n">
        <f aca="false">SRC_Demand!$S111</f>
        <v>0</v>
      </c>
    </row>
    <row r="779" customFormat="false" ht="15" hidden="false" customHeight="false" outlineLevel="0" collapsed="false">
      <c r="A779" s="92" t="str">
        <f aca="false">SRC_Demand!$A112&amp;""</f>
        <v/>
      </c>
      <c r="B779" s="62" t="s">
        <v>3431</v>
      </c>
      <c r="C779" s="61" t="n">
        <v>112</v>
      </c>
      <c r="D779" s="92" t="n">
        <f aca="false">SRC_Demand!$O112</f>
        <v>0</v>
      </c>
      <c r="E779" s="92" t="n">
        <f aca="false">SRC_Demand!$K112</f>
        <v>0</v>
      </c>
      <c r="F779" s="92" t="n">
        <f aca="false">SRC_Demand!$S112</f>
        <v>0</v>
      </c>
    </row>
    <row r="780" customFormat="false" ht="15" hidden="false" customHeight="false" outlineLevel="0" collapsed="false">
      <c r="A780" s="92" t="str">
        <f aca="false">SRC_Demand!$A113&amp;""</f>
        <v/>
      </c>
      <c r="B780" s="62" t="s">
        <v>3431</v>
      </c>
      <c r="C780" s="61" t="n">
        <v>113</v>
      </c>
      <c r="D780" s="92" t="n">
        <f aca="false">SRC_Demand!$O113</f>
        <v>0</v>
      </c>
      <c r="E780" s="92" t="n">
        <f aca="false">SRC_Demand!$K113</f>
        <v>0</v>
      </c>
      <c r="F780" s="92" t="n">
        <f aca="false">SRC_Demand!$S113</f>
        <v>0</v>
      </c>
    </row>
    <row r="781" customFormat="false" ht="15" hidden="false" customHeight="false" outlineLevel="0" collapsed="false">
      <c r="A781" s="92" t="str">
        <f aca="false">SRC_Demand!$A114&amp;""</f>
        <v/>
      </c>
      <c r="B781" s="62" t="s">
        <v>3431</v>
      </c>
      <c r="C781" s="61" t="n">
        <v>114</v>
      </c>
      <c r="D781" s="92" t="n">
        <f aca="false">SRC_Demand!$O114</f>
        <v>0</v>
      </c>
      <c r="E781" s="92" t="n">
        <f aca="false">SRC_Demand!$K114</f>
        <v>0</v>
      </c>
      <c r="F781" s="92" t="n">
        <f aca="false">SRC_Demand!$S114</f>
        <v>0</v>
      </c>
    </row>
    <row r="782" customFormat="false" ht="15" hidden="false" customHeight="false" outlineLevel="0" collapsed="false">
      <c r="A782" s="92" t="str">
        <f aca="false">SRC_Demand!$A115&amp;""</f>
        <v/>
      </c>
      <c r="B782" s="62" t="s">
        <v>3431</v>
      </c>
      <c r="C782" s="61" t="n">
        <v>115</v>
      </c>
      <c r="D782" s="92" t="n">
        <f aca="false">SRC_Demand!$O115</f>
        <v>0</v>
      </c>
      <c r="E782" s="92" t="n">
        <f aca="false">SRC_Demand!$K115</f>
        <v>0</v>
      </c>
      <c r="F782" s="92" t="n">
        <f aca="false">SRC_Demand!$S115</f>
        <v>0</v>
      </c>
    </row>
    <row r="783" customFormat="false" ht="15" hidden="false" customHeight="false" outlineLevel="0" collapsed="false">
      <c r="A783" s="92" t="str">
        <f aca="false">SRC_Demand!$A116&amp;""</f>
        <v/>
      </c>
      <c r="B783" s="62" t="s">
        <v>3431</v>
      </c>
      <c r="C783" s="61" t="n">
        <v>116</v>
      </c>
      <c r="D783" s="92" t="n">
        <f aca="false">SRC_Demand!$O116</f>
        <v>0</v>
      </c>
      <c r="E783" s="92" t="n">
        <f aca="false">SRC_Demand!$K116</f>
        <v>0</v>
      </c>
      <c r="F783" s="92" t="n">
        <f aca="false">SRC_Demand!$S116</f>
        <v>0</v>
      </c>
    </row>
    <row r="784" customFormat="false" ht="15" hidden="false" customHeight="false" outlineLevel="0" collapsed="false">
      <c r="A784" s="92" t="str">
        <f aca="false">SRC_Demand!$A117&amp;""</f>
        <v/>
      </c>
      <c r="B784" s="62" t="s">
        <v>3431</v>
      </c>
      <c r="C784" s="61" t="n">
        <v>117</v>
      </c>
      <c r="D784" s="92" t="n">
        <f aca="false">SRC_Demand!$O117</f>
        <v>0</v>
      </c>
      <c r="E784" s="92" t="n">
        <f aca="false">SRC_Demand!$K117</f>
        <v>0</v>
      </c>
      <c r="F784" s="92" t="n">
        <f aca="false">SRC_Demand!$S117</f>
        <v>0</v>
      </c>
    </row>
    <row r="785" customFormat="false" ht="15" hidden="false" customHeight="false" outlineLevel="0" collapsed="false">
      <c r="A785" s="92" t="str">
        <f aca="false">SRC_Demand!$A118&amp;""</f>
        <v/>
      </c>
      <c r="B785" s="62" t="s">
        <v>3431</v>
      </c>
      <c r="C785" s="61" t="n">
        <v>118</v>
      </c>
      <c r="D785" s="92" t="n">
        <f aca="false">SRC_Demand!$O118</f>
        <v>0</v>
      </c>
      <c r="E785" s="92" t="n">
        <f aca="false">SRC_Demand!$K118</f>
        <v>0</v>
      </c>
      <c r="F785" s="92" t="n">
        <f aca="false">SRC_Demand!$S118</f>
        <v>0</v>
      </c>
    </row>
    <row r="786" customFormat="false" ht="15" hidden="false" customHeight="false" outlineLevel="0" collapsed="false">
      <c r="A786" s="92" t="str">
        <f aca="false">SRC_Demand!$A119&amp;""</f>
        <v/>
      </c>
      <c r="B786" s="62" t="s">
        <v>3431</v>
      </c>
      <c r="C786" s="61" t="n">
        <v>119</v>
      </c>
      <c r="D786" s="92" t="n">
        <f aca="false">SRC_Demand!$O119</f>
        <v>0</v>
      </c>
      <c r="E786" s="92" t="n">
        <f aca="false">SRC_Demand!$K119</f>
        <v>0</v>
      </c>
      <c r="F786" s="92" t="n">
        <f aca="false">SRC_Demand!$S119</f>
        <v>0</v>
      </c>
    </row>
    <row r="787" customFormat="false" ht="15" hidden="false" customHeight="false" outlineLevel="0" collapsed="false">
      <c r="A787" s="92" t="str">
        <f aca="false">SRC_Demand!$A120&amp;""</f>
        <v/>
      </c>
      <c r="B787" s="62" t="s">
        <v>3431</v>
      </c>
      <c r="C787" s="61" t="n">
        <v>120</v>
      </c>
      <c r="D787" s="92" t="n">
        <f aca="false">SRC_Demand!$O120</f>
        <v>0</v>
      </c>
      <c r="E787" s="92" t="n">
        <f aca="false">SRC_Demand!$K120</f>
        <v>0</v>
      </c>
      <c r="F787" s="92" t="n">
        <f aca="false">SRC_Demand!$S120</f>
        <v>0</v>
      </c>
    </row>
    <row r="788" customFormat="false" ht="15" hidden="false" customHeight="false" outlineLevel="0" collapsed="false">
      <c r="A788" s="92" t="str">
        <f aca="false">SRC_Demand!$A121&amp;""</f>
        <v/>
      </c>
      <c r="B788" s="62" t="s">
        <v>3431</v>
      </c>
      <c r="C788" s="61" t="n">
        <v>121</v>
      </c>
      <c r="D788" s="92" t="n">
        <f aca="false">SRC_Demand!$O121</f>
        <v>0</v>
      </c>
      <c r="E788" s="92" t="n">
        <f aca="false">SRC_Demand!$K121</f>
        <v>0</v>
      </c>
      <c r="F788" s="92" t="n">
        <f aca="false">SRC_Demand!$S121</f>
        <v>0</v>
      </c>
    </row>
    <row r="789" customFormat="false" ht="15" hidden="false" customHeight="false" outlineLevel="0" collapsed="false">
      <c r="A789" s="92" t="str">
        <f aca="false">SRC_Demand!$A122&amp;""</f>
        <v/>
      </c>
      <c r="B789" s="62" t="s">
        <v>3431</v>
      </c>
      <c r="C789" s="61" t="n">
        <v>122</v>
      </c>
      <c r="D789" s="92" t="n">
        <f aca="false">SRC_Demand!$O122</f>
        <v>0</v>
      </c>
      <c r="E789" s="92" t="n">
        <f aca="false">SRC_Demand!$K122</f>
        <v>0</v>
      </c>
      <c r="F789" s="92" t="n">
        <f aca="false">SRC_Demand!$S122</f>
        <v>0</v>
      </c>
    </row>
    <row r="790" customFormat="false" ht="15" hidden="false" customHeight="false" outlineLevel="0" collapsed="false">
      <c r="A790" s="92" t="str">
        <f aca="false">SRC_Demand!$A123&amp;""</f>
        <v/>
      </c>
      <c r="B790" s="62" t="s">
        <v>3431</v>
      </c>
      <c r="C790" s="61" t="n">
        <v>123</v>
      </c>
      <c r="D790" s="92" t="n">
        <f aca="false">SRC_Demand!$O123</f>
        <v>0</v>
      </c>
      <c r="E790" s="92" t="n">
        <f aca="false">SRC_Demand!$K123</f>
        <v>0</v>
      </c>
      <c r="F790" s="92" t="n">
        <f aca="false">SRC_Demand!$S123</f>
        <v>0</v>
      </c>
    </row>
    <row r="791" customFormat="false" ht="15" hidden="false" customHeight="false" outlineLevel="0" collapsed="false">
      <c r="A791" s="92" t="str">
        <f aca="false">SRC_Demand!$A124&amp;""</f>
        <v/>
      </c>
      <c r="B791" s="62" t="s">
        <v>3431</v>
      </c>
      <c r="C791" s="61" t="n">
        <v>124</v>
      </c>
      <c r="D791" s="92" t="n">
        <f aca="false">SRC_Demand!$O124</f>
        <v>0</v>
      </c>
      <c r="E791" s="92" t="n">
        <f aca="false">SRC_Demand!$K124</f>
        <v>0</v>
      </c>
      <c r="F791" s="92" t="n">
        <f aca="false">SRC_Demand!$S124</f>
        <v>0</v>
      </c>
    </row>
    <row r="792" customFormat="false" ht="15" hidden="false" customHeight="false" outlineLevel="0" collapsed="false">
      <c r="A792" s="92" t="str">
        <f aca="false">SRC_Demand!$A125&amp;""</f>
        <v/>
      </c>
      <c r="B792" s="62" t="s">
        <v>3431</v>
      </c>
      <c r="C792" s="61" t="n">
        <v>125</v>
      </c>
      <c r="D792" s="92" t="n">
        <f aca="false">SRC_Demand!$O125</f>
        <v>0</v>
      </c>
      <c r="E792" s="92" t="n">
        <f aca="false">SRC_Demand!$K125</f>
        <v>0</v>
      </c>
      <c r="F792" s="92" t="n">
        <f aca="false">SRC_Demand!$S125</f>
        <v>0</v>
      </c>
    </row>
    <row r="793" customFormat="false" ht="15" hidden="false" customHeight="false" outlineLevel="0" collapsed="false">
      <c r="A793" s="92" t="str">
        <f aca="false">SRC_Demand!$A126&amp;""</f>
        <v/>
      </c>
      <c r="B793" s="62" t="s">
        <v>3431</v>
      </c>
      <c r="C793" s="61" t="n">
        <v>126</v>
      </c>
      <c r="D793" s="92" t="n">
        <f aca="false">SRC_Demand!$O126</f>
        <v>0</v>
      </c>
      <c r="E793" s="92" t="n">
        <f aca="false">SRC_Demand!$K126</f>
        <v>0</v>
      </c>
      <c r="F793" s="92" t="n">
        <f aca="false">SRC_Demand!$S126</f>
        <v>0</v>
      </c>
    </row>
    <row r="794" customFormat="false" ht="15" hidden="false" customHeight="false" outlineLevel="0" collapsed="false">
      <c r="A794" s="92" t="str">
        <f aca="false">SRC_Demand!$A127&amp;""</f>
        <v/>
      </c>
      <c r="B794" s="62" t="s">
        <v>3431</v>
      </c>
      <c r="C794" s="61" t="n">
        <v>127</v>
      </c>
      <c r="D794" s="92" t="n">
        <f aca="false">SRC_Demand!$O127</f>
        <v>0</v>
      </c>
      <c r="E794" s="92" t="n">
        <f aca="false">SRC_Demand!$K127</f>
        <v>0</v>
      </c>
      <c r="F794" s="92" t="n">
        <f aca="false">SRC_Demand!$S127</f>
        <v>0</v>
      </c>
    </row>
    <row r="795" customFormat="false" ht="15" hidden="false" customHeight="false" outlineLevel="0" collapsed="false">
      <c r="A795" s="92" t="str">
        <f aca="false">Gov_Map!$H5&amp;""</f>
        <v>—</v>
      </c>
      <c r="B795" s="65" t="str">
        <f aca="false">IF(A795="","（哨兵：Gov_Map 該列無 SRC_ID）",IF(COUNTIF($A$5:$A$794,A795)&gt;0,"（哨兵：此 SRC_ID 已在上方 SRC 頁，查詢不會命中本列）","（哨兵：SRC 頁查無此 ID）"))</f>
        <v>（哨兵：SRC 頁查無此 ID）</v>
      </c>
      <c r="C795" s="61" t="n">
        <v>5</v>
      </c>
      <c r="D795" s="61" t="s">
        <v>10703</v>
      </c>
      <c r="E795" s="61" t="s">
        <v>10703</v>
      </c>
      <c r="F795" s="62" t="s">
        <v>814</v>
      </c>
    </row>
    <row r="796" customFormat="false" ht="15" hidden="false" customHeight="false" outlineLevel="0" collapsed="false">
      <c r="A796" s="92" t="str">
        <f aca="false">Gov_Map!$H6&amp;""</f>
        <v>—</v>
      </c>
      <c r="B796" s="65" t="str">
        <f aca="false">IF(A796="","（哨兵：Gov_Map 該列無 SRC_ID）",IF(COUNTIF($A$5:$A$794,A796)&gt;0,"（哨兵：此 SRC_ID 已在上方 SRC 頁，查詢不會命中本列）","（哨兵：SRC 頁查無此 ID）"))</f>
        <v>（哨兵：SRC 頁查無此 ID）</v>
      </c>
      <c r="C796" s="61" t="n">
        <v>6</v>
      </c>
      <c r="D796" s="61" t="s">
        <v>10703</v>
      </c>
      <c r="E796" s="61" t="s">
        <v>10703</v>
      </c>
      <c r="F796" s="62" t="s">
        <v>814</v>
      </c>
    </row>
    <row r="797" customFormat="false" ht="15" hidden="false" customHeight="false" outlineLevel="0" collapsed="false">
      <c r="A797" s="92" t="str">
        <f aca="false">Gov_Map!$H7&amp;""</f>
        <v>—</v>
      </c>
      <c r="B797" s="65" t="str">
        <f aca="false">IF(A797="","（哨兵：Gov_Map 該列無 SRC_ID）",IF(COUNTIF($A$5:$A$794,A797)&gt;0,"（哨兵：此 SRC_ID 已在上方 SRC 頁，查詢不會命中本列）","（哨兵：SRC 頁查無此 ID）"))</f>
        <v>（哨兵：SRC 頁查無此 ID）</v>
      </c>
      <c r="C797" s="61" t="n">
        <v>7</v>
      </c>
      <c r="D797" s="61" t="s">
        <v>10703</v>
      </c>
      <c r="E797" s="61" t="s">
        <v>10703</v>
      </c>
      <c r="F797" s="62" t="s">
        <v>814</v>
      </c>
    </row>
    <row r="798" customFormat="false" ht="15" hidden="false" customHeight="false" outlineLevel="0" collapsed="false">
      <c r="A798" s="92" t="str">
        <f aca="false">Gov_Map!$H8&amp;""</f>
        <v>SRC_DC_018</v>
      </c>
      <c r="B798" s="65" t="str">
        <f aca="false">IF(A798="","（哨兵：Gov_Map 該列無 SRC_ID）",IF(COUNTIF($A$5:$A$794,A798)&gt;0,"（哨兵：此 SRC_ID 已在上方 SRC 頁，查詢不會命中本列）","（哨兵：SRC 頁查無此 ID）"))</f>
        <v>（哨兵：此 SRC_ID 已在上方 SRC 頁，查詢不會命中本列）</v>
      </c>
      <c r="C798" s="61" t="n">
        <v>8</v>
      </c>
      <c r="D798" s="61" t="s">
        <v>10703</v>
      </c>
      <c r="E798" s="61" t="s">
        <v>10703</v>
      </c>
      <c r="F798" s="62" t="s">
        <v>814</v>
      </c>
    </row>
    <row r="799" customFormat="false" ht="15" hidden="false" customHeight="false" outlineLevel="0" collapsed="false">
      <c r="A799" s="92" t="str">
        <f aca="false">Gov_Map!$H9&amp;""</f>
        <v>SRC_DC_018</v>
      </c>
      <c r="B799" s="65" t="str">
        <f aca="false">IF(A799="","（哨兵：Gov_Map 該列無 SRC_ID）",IF(COUNTIF($A$5:$A$794,A799)&gt;0,"（哨兵：此 SRC_ID 已在上方 SRC 頁，查詢不會命中本列）","（哨兵：SRC 頁查無此 ID）"))</f>
        <v>（哨兵：此 SRC_ID 已在上方 SRC 頁，查詢不會命中本列）</v>
      </c>
      <c r="C799" s="61" t="n">
        <v>9</v>
      </c>
      <c r="D799" s="61" t="s">
        <v>10703</v>
      </c>
      <c r="E799" s="61" t="s">
        <v>10703</v>
      </c>
      <c r="F799" s="62" t="s">
        <v>814</v>
      </c>
    </row>
    <row r="800" customFormat="false" ht="15" hidden="false" customHeight="false" outlineLevel="0" collapsed="false">
      <c r="A800" s="92" t="str">
        <f aca="false">Gov_Map!$H10&amp;""</f>
        <v>SRC_DC_018</v>
      </c>
      <c r="B800" s="65" t="str">
        <f aca="false">IF(A800="","（哨兵：Gov_Map 該列無 SRC_ID）",IF(COUNTIF($A$5:$A$794,A800)&gt;0,"（哨兵：此 SRC_ID 已在上方 SRC 頁，查詢不會命中本列）","（哨兵：SRC 頁查無此 ID）"))</f>
        <v>（哨兵：此 SRC_ID 已在上方 SRC 頁，查詢不會命中本列）</v>
      </c>
      <c r="C800" s="61" t="n">
        <v>10</v>
      </c>
      <c r="D800" s="61" t="s">
        <v>10703</v>
      </c>
      <c r="E800" s="61" t="s">
        <v>10703</v>
      </c>
      <c r="F800" s="62" t="s">
        <v>814</v>
      </c>
    </row>
    <row r="801" customFormat="false" ht="15" hidden="false" customHeight="false" outlineLevel="0" collapsed="false">
      <c r="A801" s="92" t="str">
        <f aca="false">Gov_Map!$H11&amp;""</f>
        <v>—</v>
      </c>
      <c r="B801" s="65" t="str">
        <f aca="false">IF(A801="","（哨兵：Gov_Map 該列無 SRC_ID）",IF(COUNTIF($A$5:$A$794,A801)&gt;0,"（哨兵：此 SRC_ID 已在上方 SRC 頁，查詢不會命中本列）","（哨兵：SRC 頁查無此 ID）"))</f>
        <v>（哨兵：SRC 頁查無此 ID）</v>
      </c>
      <c r="C801" s="61" t="n">
        <v>11</v>
      </c>
      <c r="D801" s="61" t="s">
        <v>10703</v>
      </c>
      <c r="E801" s="61" t="s">
        <v>10703</v>
      </c>
      <c r="F801" s="62" t="s">
        <v>814</v>
      </c>
    </row>
    <row r="802" customFormat="false" ht="15" hidden="false" customHeight="false" outlineLevel="0" collapsed="false">
      <c r="A802" s="92" t="str">
        <f aca="false">Gov_Map!$H12&amp;""</f>
        <v>—</v>
      </c>
      <c r="B802" s="65" t="str">
        <f aca="false">IF(A802="","（哨兵：Gov_Map 該列無 SRC_ID）",IF(COUNTIF($A$5:$A$794,A802)&gt;0,"（哨兵：此 SRC_ID 已在上方 SRC 頁，查詢不會命中本列）","（哨兵：SRC 頁查無此 ID）"))</f>
        <v>（哨兵：SRC 頁查無此 ID）</v>
      </c>
      <c r="C802" s="61" t="n">
        <v>12</v>
      </c>
      <c r="D802" s="61" t="s">
        <v>10703</v>
      </c>
      <c r="E802" s="61" t="s">
        <v>10703</v>
      </c>
      <c r="F802" s="62" t="s">
        <v>814</v>
      </c>
    </row>
    <row r="803" customFormat="false" ht="15" hidden="false" customHeight="false" outlineLevel="0" collapsed="false">
      <c r="A803" s="92" t="str">
        <f aca="false">Gov_Map!$H13&amp;""</f>
        <v>—</v>
      </c>
      <c r="B803" s="65" t="str">
        <f aca="false">IF(A803="","（哨兵：Gov_Map 該列無 SRC_ID）",IF(COUNTIF($A$5:$A$794,A803)&gt;0,"（哨兵：此 SRC_ID 已在上方 SRC 頁，查詢不會命中本列）","（哨兵：SRC 頁查無此 ID）"))</f>
        <v>（哨兵：SRC 頁查無此 ID）</v>
      </c>
      <c r="C803" s="61" t="n">
        <v>13</v>
      </c>
      <c r="D803" s="61" t="s">
        <v>10703</v>
      </c>
      <c r="E803" s="61" t="s">
        <v>10703</v>
      </c>
      <c r="F803" s="62" t="s">
        <v>814</v>
      </c>
    </row>
    <row r="804" customFormat="false" ht="15" hidden="false" customHeight="false" outlineLevel="0" collapsed="false">
      <c r="A804" s="92" t="str">
        <f aca="false">Gov_Map!$H14&amp;""</f>
        <v>SRC_DC_006</v>
      </c>
      <c r="B804" s="65" t="str">
        <f aca="false">IF(A804="","（哨兵：Gov_Map 該列無 SRC_ID）",IF(COUNTIF($A$5:$A$794,A804)&gt;0,"（哨兵：此 SRC_ID 已在上方 SRC 頁，查詢不會命中本列）","（哨兵：SRC 頁查無此 ID）"))</f>
        <v>（哨兵：此 SRC_ID 已在上方 SRC 頁，查詢不會命中本列）</v>
      </c>
      <c r="C804" s="61" t="n">
        <v>14</v>
      </c>
      <c r="D804" s="61" t="s">
        <v>10703</v>
      </c>
      <c r="E804" s="61" t="s">
        <v>10703</v>
      </c>
      <c r="F804" s="62" t="s">
        <v>814</v>
      </c>
    </row>
    <row r="805" customFormat="false" ht="15" hidden="false" customHeight="false" outlineLevel="0" collapsed="false">
      <c r="A805" s="92" t="str">
        <f aca="false">Gov_Map!$H15&amp;""</f>
        <v>SRC_DC_006</v>
      </c>
      <c r="B805" s="65" t="str">
        <f aca="false">IF(A805="","（哨兵：Gov_Map 該列無 SRC_ID）",IF(COUNTIF($A$5:$A$794,A805)&gt;0,"（哨兵：此 SRC_ID 已在上方 SRC 頁，查詢不會命中本列）","（哨兵：SRC 頁查無此 ID）"))</f>
        <v>（哨兵：此 SRC_ID 已在上方 SRC 頁，查詢不會命中本列）</v>
      </c>
      <c r="C805" s="61" t="n">
        <v>15</v>
      </c>
      <c r="D805" s="61" t="s">
        <v>10703</v>
      </c>
      <c r="E805" s="61" t="s">
        <v>10703</v>
      </c>
      <c r="F805" s="62" t="s">
        <v>814</v>
      </c>
    </row>
    <row r="806" customFormat="false" ht="15" hidden="false" customHeight="false" outlineLevel="0" collapsed="false">
      <c r="A806" s="92" t="str">
        <f aca="false">Gov_Map!$H16&amp;""</f>
        <v>SRC_DC_006</v>
      </c>
      <c r="B806" s="65" t="str">
        <f aca="false">IF(A806="","（哨兵：Gov_Map 該列無 SRC_ID）",IF(COUNTIF($A$5:$A$794,A806)&gt;0,"（哨兵：此 SRC_ID 已在上方 SRC 頁，查詢不會命中本列）","（哨兵：SRC 頁查無此 ID）"))</f>
        <v>（哨兵：此 SRC_ID 已在上方 SRC 頁，查詢不會命中本列）</v>
      </c>
      <c r="C806" s="61" t="n">
        <v>16</v>
      </c>
      <c r="D806" s="61" t="s">
        <v>10703</v>
      </c>
      <c r="E806" s="61" t="s">
        <v>10703</v>
      </c>
      <c r="F806" s="62" t="s">
        <v>814</v>
      </c>
    </row>
    <row r="807" customFormat="false" ht="15" hidden="false" customHeight="false" outlineLevel="0" collapsed="false">
      <c r="A807" s="92" t="str">
        <f aca="false">Gov_Map!$H17&amp;""</f>
        <v>SRC_DC_001</v>
      </c>
      <c r="B807" s="65" t="str">
        <f aca="false">IF(A807="","（哨兵：Gov_Map 該列無 SRC_ID）",IF(COUNTIF($A$5:$A$794,A807)&gt;0,"（哨兵：此 SRC_ID 已在上方 SRC 頁，查詢不會命中本列）","（哨兵：SRC 頁查無此 ID）"))</f>
        <v>（哨兵：此 SRC_ID 已在上方 SRC 頁，查詢不會命中本列）</v>
      </c>
      <c r="C807" s="61" t="n">
        <v>17</v>
      </c>
      <c r="D807" s="61" t="s">
        <v>10703</v>
      </c>
      <c r="E807" s="61" t="s">
        <v>10703</v>
      </c>
      <c r="F807" s="62" t="s">
        <v>814</v>
      </c>
    </row>
    <row r="808" customFormat="false" ht="15" hidden="false" customHeight="false" outlineLevel="0" collapsed="false">
      <c r="A808" s="92" t="str">
        <f aca="false">Gov_Map!$H18&amp;""</f>
        <v>SRC_DC_001</v>
      </c>
      <c r="B808" s="65" t="str">
        <f aca="false">IF(A808="","（哨兵：Gov_Map 該列無 SRC_ID）",IF(COUNTIF($A$5:$A$794,A808)&gt;0,"（哨兵：此 SRC_ID 已在上方 SRC 頁，查詢不會命中本列）","（哨兵：SRC 頁查無此 ID）"))</f>
        <v>（哨兵：此 SRC_ID 已在上方 SRC 頁，查詢不會命中本列）</v>
      </c>
      <c r="C808" s="61" t="n">
        <v>18</v>
      </c>
      <c r="D808" s="61" t="s">
        <v>10703</v>
      </c>
      <c r="E808" s="61" t="s">
        <v>10703</v>
      </c>
      <c r="F808" s="62" t="s">
        <v>814</v>
      </c>
    </row>
    <row r="809" customFormat="false" ht="15" hidden="false" customHeight="false" outlineLevel="0" collapsed="false">
      <c r="A809" s="92" t="str">
        <f aca="false">Gov_Map!$H19&amp;""</f>
        <v>SRC_DC_002</v>
      </c>
      <c r="B809" s="65" t="str">
        <f aca="false">IF(A809="","（哨兵：Gov_Map 該列無 SRC_ID）",IF(COUNTIF($A$5:$A$794,A809)&gt;0,"（哨兵：此 SRC_ID 已在上方 SRC 頁，查詢不會命中本列）","（哨兵：SRC 頁查無此 ID）"))</f>
        <v>（哨兵：此 SRC_ID 已在上方 SRC 頁，查詢不會命中本列）</v>
      </c>
      <c r="C809" s="61" t="n">
        <v>19</v>
      </c>
      <c r="D809" s="61" t="s">
        <v>10703</v>
      </c>
      <c r="E809" s="61" t="s">
        <v>10703</v>
      </c>
      <c r="F809" s="62" t="s">
        <v>814</v>
      </c>
    </row>
    <row r="810" customFormat="false" ht="15" hidden="false" customHeight="false" outlineLevel="0" collapsed="false">
      <c r="A810" s="92" t="str">
        <f aca="false">Gov_Map!$H20&amp;""</f>
        <v>—</v>
      </c>
      <c r="B810" s="65" t="str">
        <f aca="false">IF(A810="","（哨兵：Gov_Map 該列無 SRC_ID）",IF(COUNTIF($A$5:$A$794,A810)&gt;0,"（哨兵：此 SRC_ID 已在上方 SRC 頁，查詢不會命中本列）","（哨兵：SRC 頁查無此 ID）"))</f>
        <v>（哨兵：SRC 頁查無此 ID）</v>
      </c>
      <c r="C810" s="61" t="n">
        <v>20</v>
      </c>
      <c r="D810" s="61" t="s">
        <v>10703</v>
      </c>
      <c r="E810" s="61" t="s">
        <v>10703</v>
      </c>
      <c r="F810" s="62" t="s">
        <v>814</v>
      </c>
    </row>
    <row r="811" customFormat="false" ht="15" hidden="false" customHeight="false" outlineLevel="0" collapsed="false">
      <c r="A811" s="92" t="str">
        <f aca="false">Gov_Map!$H21&amp;""</f>
        <v>—</v>
      </c>
      <c r="B811" s="65" t="str">
        <f aca="false">IF(A811="","（哨兵：Gov_Map 該列無 SRC_ID）",IF(COUNTIF($A$5:$A$794,A811)&gt;0,"（哨兵：此 SRC_ID 已在上方 SRC 頁，查詢不會命中本列）","（哨兵：SRC 頁查無此 ID）"))</f>
        <v>（哨兵：SRC 頁查無此 ID）</v>
      </c>
      <c r="C811" s="61" t="n">
        <v>21</v>
      </c>
      <c r="D811" s="61" t="s">
        <v>10703</v>
      </c>
      <c r="E811" s="61" t="s">
        <v>10703</v>
      </c>
      <c r="F811" s="62" t="s">
        <v>814</v>
      </c>
    </row>
    <row r="812" customFormat="false" ht="15" hidden="false" customHeight="false" outlineLevel="0" collapsed="false">
      <c r="A812" s="92" t="str">
        <f aca="false">Gov_Map!$H22&amp;""</f>
        <v>—</v>
      </c>
      <c r="B812" s="65" t="str">
        <f aca="false">IF(A812="","（哨兵：Gov_Map 該列無 SRC_ID）",IF(COUNTIF($A$5:$A$794,A812)&gt;0,"（哨兵：此 SRC_ID 已在上方 SRC 頁，查詢不會命中本列）","（哨兵：SRC 頁查無此 ID）"))</f>
        <v>（哨兵：SRC 頁查無此 ID）</v>
      </c>
      <c r="C812" s="61" t="n">
        <v>22</v>
      </c>
      <c r="D812" s="61" t="s">
        <v>10703</v>
      </c>
      <c r="E812" s="61" t="s">
        <v>10703</v>
      </c>
      <c r="F812" s="62" t="s">
        <v>814</v>
      </c>
    </row>
    <row r="813" customFormat="false" ht="15" hidden="false" customHeight="false" outlineLevel="0" collapsed="false">
      <c r="A813" s="92" t="str">
        <f aca="false">Gov_Map!$H23&amp;""</f>
        <v>—</v>
      </c>
      <c r="B813" s="65" t="str">
        <f aca="false">IF(A813="","（哨兵：Gov_Map 該列無 SRC_ID）",IF(COUNTIF($A$5:$A$794,A813)&gt;0,"（哨兵：此 SRC_ID 已在上方 SRC 頁，查詢不會命中本列）","（哨兵：SRC 頁查無此 ID）"))</f>
        <v>（哨兵：SRC 頁查無此 ID）</v>
      </c>
      <c r="C813" s="61" t="n">
        <v>23</v>
      </c>
      <c r="D813" s="61" t="s">
        <v>10703</v>
      </c>
      <c r="E813" s="61" t="s">
        <v>10703</v>
      </c>
      <c r="F813" s="62" t="s">
        <v>814</v>
      </c>
    </row>
    <row r="814" customFormat="false" ht="15" hidden="false" customHeight="false" outlineLevel="0" collapsed="false">
      <c r="A814" s="92" t="str">
        <f aca="false">Gov_Map!$H24&amp;""</f>
        <v>—</v>
      </c>
      <c r="B814" s="65" t="str">
        <f aca="false">IF(A814="","（哨兵：Gov_Map 該列無 SRC_ID）",IF(COUNTIF($A$5:$A$794,A814)&gt;0,"（哨兵：此 SRC_ID 已在上方 SRC 頁，查詢不會命中本列）","（哨兵：SRC 頁查無此 ID）"))</f>
        <v>（哨兵：SRC 頁查無此 ID）</v>
      </c>
      <c r="C814" s="61" t="n">
        <v>24</v>
      </c>
      <c r="D814" s="61" t="s">
        <v>10703</v>
      </c>
      <c r="E814" s="61" t="s">
        <v>10703</v>
      </c>
      <c r="F814" s="62" t="s">
        <v>814</v>
      </c>
    </row>
    <row r="815" customFormat="false" ht="15" hidden="false" customHeight="false" outlineLevel="0" collapsed="false">
      <c r="A815" s="92" t="str">
        <f aca="false">Gov_Map!$H25&amp;""</f>
        <v>—</v>
      </c>
      <c r="B815" s="65" t="str">
        <f aca="false">IF(A815="","（哨兵：Gov_Map 該列無 SRC_ID）",IF(COUNTIF($A$5:$A$794,A815)&gt;0,"（哨兵：此 SRC_ID 已在上方 SRC 頁，查詢不會命中本列）","（哨兵：SRC 頁查無此 ID）"))</f>
        <v>（哨兵：SRC 頁查無此 ID）</v>
      </c>
      <c r="C815" s="61" t="n">
        <v>25</v>
      </c>
      <c r="D815" s="61" t="s">
        <v>10703</v>
      </c>
      <c r="E815" s="61" t="s">
        <v>10703</v>
      </c>
      <c r="F815" s="62" t="s">
        <v>814</v>
      </c>
    </row>
    <row r="816" customFormat="false" ht="15" hidden="false" customHeight="false" outlineLevel="0" collapsed="false">
      <c r="A816" s="92" t="str">
        <f aca="false">Gov_Map!$H26&amp;""</f>
        <v>SRC_DC_003</v>
      </c>
      <c r="B816" s="65" t="str">
        <f aca="false">IF(A816="","（哨兵：Gov_Map 該列無 SRC_ID）",IF(COUNTIF($A$5:$A$794,A816)&gt;0,"（哨兵：此 SRC_ID 已在上方 SRC 頁，查詢不會命中本列）","（哨兵：SRC 頁查無此 ID）"))</f>
        <v>（哨兵：此 SRC_ID 已在上方 SRC 頁，查詢不會命中本列）</v>
      </c>
      <c r="C816" s="61" t="n">
        <v>26</v>
      </c>
      <c r="D816" s="61" t="s">
        <v>10703</v>
      </c>
      <c r="E816" s="61" t="s">
        <v>10703</v>
      </c>
      <c r="F816" s="62" t="s">
        <v>814</v>
      </c>
    </row>
    <row r="817" customFormat="false" ht="15" hidden="false" customHeight="false" outlineLevel="0" collapsed="false">
      <c r="A817" s="92" t="str">
        <f aca="false">Gov_Map!$H27&amp;""</f>
        <v>SRC_DC_003</v>
      </c>
      <c r="B817" s="65" t="str">
        <f aca="false">IF(A817="","（哨兵：Gov_Map 該列無 SRC_ID）",IF(COUNTIF($A$5:$A$794,A817)&gt;0,"（哨兵：此 SRC_ID 已在上方 SRC 頁，查詢不會命中本列）","（哨兵：SRC 頁查無此 ID）"))</f>
        <v>（哨兵：此 SRC_ID 已在上方 SRC 頁，查詢不會命中本列）</v>
      </c>
      <c r="C817" s="61" t="n">
        <v>27</v>
      </c>
      <c r="D817" s="61" t="s">
        <v>10703</v>
      </c>
      <c r="E817" s="61" t="s">
        <v>10703</v>
      </c>
      <c r="F817" s="62" t="s">
        <v>814</v>
      </c>
    </row>
    <row r="818" customFormat="false" ht="15" hidden="false" customHeight="false" outlineLevel="0" collapsed="false">
      <c r="A818" s="92" t="str">
        <f aca="false">Gov_Map!$H28&amp;""</f>
        <v>SRC_DC_003</v>
      </c>
      <c r="B818" s="65" t="str">
        <f aca="false">IF(A818="","（哨兵：Gov_Map 該列無 SRC_ID）",IF(COUNTIF($A$5:$A$794,A818)&gt;0,"（哨兵：此 SRC_ID 已在上方 SRC 頁，查詢不會命中本列）","（哨兵：SRC 頁查無此 ID）"))</f>
        <v>（哨兵：此 SRC_ID 已在上方 SRC 頁，查詢不會命中本列）</v>
      </c>
      <c r="C818" s="61" t="n">
        <v>28</v>
      </c>
      <c r="D818" s="61" t="s">
        <v>10703</v>
      </c>
      <c r="E818" s="61" t="s">
        <v>10703</v>
      </c>
      <c r="F818" s="62" t="s">
        <v>814</v>
      </c>
    </row>
    <row r="819" customFormat="false" ht="15" hidden="false" customHeight="false" outlineLevel="0" collapsed="false">
      <c r="A819" s="92" t="str">
        <f aca="false">Gov_Map!$H29&amp;""</f>
        <v>SRC_DC_003</v>
      </c>
      <c r="B819" s="65" t="str">
        <f aca="false">IF(A819="","（哨兵：Gov_Map 該列無 SRC_ID）",IF(COUNTIF($A$5:$A$794,A819)&gt;0,"（哨兵：此 SRC_ID 已在上方 SRC 頁，查詢不會命中本列）","（哨兵：SRC 頁查無此 ID）"))</f>
        <v>（哨兵：此 SRC_ID 已在上方 SRC 頁，查詢不會命中本列）</v>
      </c>
      <c r="C819" s="61" t="n">
        <v>29</v>
      </c>
      <c r="D819" s="61" t="s">
        <v>10703</v>
      </c>
      <c r="E819" s="61" t="s">
        <v>10703</v>
      </c>
      <c r="F819" s="62" t="s">
        <v>814</v>
      </c>
    </row>
    <row r="820" customFormat="false" ht="15" hidden="false" customHeight="false" outlineLevel="0" collapsed="false">
      <c r="A820" s="92" t="str">
        <f aca="false">Gov_Map!$H30&amp;""</f>
        <v>SRC_DC_003</v>
      </c>
      <c r="B820" s="65" t="str">
        <f aca="false">IF(A820="","（哨兵：Gov_Map 該列無 SRC_ID）",IF(COUNTIF($A$5:$A$794,A820)&gt;0,"（哨兵：此 SRC_ID 已在上方 SRC 頁，查詢不會命中本列）","（哨兵：SRC 頁查無此 ID）"))</f>
        <v>（哨兵：此 SRC_ID 已在上方 SRC 頁，查詢不會命中本列）</v>
      </c>
      <c r="C820" s="61" t="n">
        <v>30</v>
      </c>
      <c r="D820" s="61" t="s">
        <v>10703</v>
      </c>
      <c r="E820" s="61" t="s">
        <v>10703</v>
      </c>
      <c r="F820" s="62" t="s">
        <v>814</v>
      </c>
    </row>
    <row r="821" customFormat="false" ht="15" hidden="false" customHeight="false" outlineLevel="0" collapsed="false">
      <c r="A821" s="92" t="str">
        <f aca="false">Gov_Map!$H31&amp;""</f>
        <v>SRC_DC_003</v>
      </c>
      <c r="B821" s="65" t="str">
        <f aca="false">IF(A821="","（哨兵：Gov_Map 該列無 SRC_ID）",IF(COUNTIF($A$5:$A$794,A821)&gt;0,"（哨兵：此 SRC_ID 已在上方 SRC 頁，查詢不會命中本列）","（哨兵：SRC 頁查無此 ID）"))</f>
        <v>（哨兵：此 SRC_ID 已在上方 SRC 頁，查詢不會命中本列）</v>
      </c>
      <c r="C821" s="61" t="n">
        <v>31</v>
      </c>
      <c r="D821" s="61" t="s">
        <v>10703</v>
      </c>
      <c r="E821" s="61" t="s">
        <v>10703</v>
      </c>
      <c r="F821" s="62" t="s">
        <v>814</v>
      </c>
    </row>
    <row r="822" customFormat="false" ht="15" hidden="false" customHeight="false" outlineLevel="0" collapsed="false">
      <c r="A822" s="92" t="str">
        <f aca="false">Gov_Map!$H32&amp;""</f>
        <v>—</v>
      </c>
      <c r="B822" s="65" t="str">
        <f aca="false">IF(A822="","（哨兵：Gov_Map 該列無 SRC_ID）",IF(COUNTIF($A$5:$A$794,A822)&gt;0,"（哨兵：此 SRC_ID 已在上方 SRC 頁，查詢不會命中本列）","（哨兵：SRC 頁查無此 ID）"))</f>
        <v>（哨兵：SRC 頁查無此 ID）</v>
      </c>
      <c r="C822" s="61" t="n">
        <v>32</v>
      </c>
      <c r="D822" s="61" t="s">
        <v>10703</v>
      </c>
      <c r="E822" s="61" t="s">
        <v>10703</v>
      </c>
      <c r="F822" s="62" t="s">
        <v>814</v>
      </c>
    </row>
    <row r="823" customFormat="false" ht="15" hidden="false" customHeight="false" outlineLevel="0" collapsed="false">
      <c r="A823" s="92" t="str">
        <f aca="false">Gov_Map!$H33&amp;""</f>
        <v>—</v>
      </c>
      <c r="B823" s="65" t="str">
        <f aca="false">IF(A823="","（哨兵：Gov_Map 該列無 SRC_ID）",IF(COUNTIF($A$5:$A$794,A823)&gt;0,"（哨兵：此 SRC_ID 已在上方 SRC 頁，查詢不會命中本列）","（哨兵：SRC 頁查無此 ID）"))</f>
        <v>（哨兵：SRC 頁查無此 ID）</v>
      </c>
      <c r="C823" s="61" t="n">
        <v>33</v>
      </c>
      <c r="D823" s="61" t="s">
        <v>10703</v>
      </c>
      <c r="E823" s="61" t="s">
        <v>10703</v>
      </c>
      <c r="F823" s="62" t="s">
        <v>814</v>
      </c>
    </row>
    <row r="824" customFormat="false" ht="15" hidden="false" customHeight="false" outlineLevel="0" collapsed="false">
      <c r="A824" s="92" t="str">
        <f aca="false">Gov_Map!$H34&amp;""</f>
        <v>—</v>
      </c>
      <c r="B824" s="65" t="str">
        <f aca="false">IF(A824="","（哨兵：Gov_Map 該列無 SRC_ID）",IF(COUNTIF($A$5:$A$794,A824)&gt;0,"（哨兵：此 SRC_ID 已在上方 SRC 頁，查詢不會命中本列）","（哨兵：SRC 頁查無此 ID）"))</f>
        <v>（哨兵：SRC 頁查無此 ID）</v>
      </c>
      <c r="C824" s="61" t="n">
        <v>34</v>
      </c>
      <c r="D824" s="61" t="s">
        <v>10703</v>
      </c>
      <c r="E824" s="61" t="s">
        <v>10703</v>
      </c>
      <c r="F824" s="62" t="s">
        <v>814</v>
      </c>
    </row>
    <row r="825" customFormat="false" ht="15" hidden="false" customHeight="false" outlineLevel="0" collapsed="false">
      <c r="A825" s="92" t="str">
        <f aca="false">Gov_Map!$H35&amp;""</f>
        <v>SRC_DC_003</v>
      </c>
      <c r="B825" s="65" t="str">
        <f aca="false">IF(A825="","（哨兵：Gov_Map 該列無 SRC_ID）",IF(COUNTIF($A$5:$A$794,A825)&gt;0,"（哨兵：此 SRC_ID 已在上方 SRC 頁，查詢不會命中本列）","（哨兵：SRC 頁查無此 ID）"))</f>
        <v>（哨兵：此 SRC_ID 已在上方 SRC 頁，查詢不會命中本列）</v>
      </c>
      <c r="C825" s="61" t="n">
        <v>35</v>
      </c>
      <c r="D825" s="61" t="s">
        <v>10703</v>
      </c>
      <c r="E825" s="61" t="s">
        <v>10703</v>
      </c>
      <c r="F825" s="62" t="s">
        <v>814</v>
      </c>
    </row>
    <row r="826" customFormat="false" ht="15" hidden="false" customHeight="false" outlineLevel="0" collapsed="false">
      <c r="A826" s="92" t="str">
        <f aca="false">Gov_Map!$H36&amp;""</f>
        <v>SRC_DC_003</v>
      </c>
      <c r="B826" s="65" t="str">
        <f aca="false">IF(A826="","（哨兵：Gov_Map 該列無 SRC_ID）",IF(COUNTIF($A$5:$A$794,A826)&gt;0,"（哨兵：此 SRC_ID 已在上方 SRC 頁，查詢不會命中本列）","（哨兵：SRC 頁查無此 ID）"))</f>
        <v>（哨兵：此 SRC_ID 已在上方 SRC 頁，查詢不會命中本列）</v>
      </c>
      <c r="C826" s="61" t="n">
        <v>36</v>
      </c>
      <c r="D826" s="61" t="s">
        <v>10703</v>
      </c>
      <c r="E826" s="61" t="s">
        <v>10703</v>
      </c>
      <c r="F826" s="62" t="s">
        <v>814</v>
      </c>
    </row>
    <row r="827" customFormat="false" ht="15" hidden="false" customHeight="false" outlineLevel="0" collapsed="false">
      <c r="A827" s="92" t="str">
        <f aca="false">Gov_Map!$H37&amp;""</f>
        <v>SRC_DC_003</v>
      </c>
      <c r="B827" s="65" t="str">
        <f aca="false">IF(A827="","（哨兵：Gov_Map 該列無 SRC_ID）",IF(COUNTIF($A$5:$A$794,A827)&gt;0,"（哨兵：此 SRC_ID 已在上方 SRC 頁，查詢不會命中本列）","（哨兵：SRC 頁查無此 ID）"))</f>
        <v>（哨兵：此 SRC_ID 已在上方 SRC 頁，查詢不會命中本列）</v>
      </c>
      <c r="C827" s="61" t="n">
        <v>37</v>
      </c>
      <c r="D827" s="61" t="s">
        <v>10703</v>
      </c>
      <c r="E827" s="61" t="s">
        <v>10703</v>
      </c>
      <c r="F827" s="62" t="s">
        <v>814</v>
      </c>
    </row>
    <row r="828" customFormat="false" ht="15" hidden="false" customHeight="false" outlineLevel="0" collapsed="false">
      <c r="A828" s="92" t="str">
        <f aca="false">Gov_Map!$H38&amp;""</f>
        <v>SRC_DC_003</v>
      </c>
      <c r="B828" s="65" t="str">
        <f aca="false">IF(A828="","（哨兵：Gov_Map 該列無 SRC_ID）",IF(COUNTIF($A$5:$A$794,A828)&gt;0,"（哨兵：此 SRC_ID 已在上方 SRC 頁，查詢不會命中本列）","（哨兵：SRC 頁查無此 ID）"))</f>
        <v>（哨兵：此 SRC_ID 已在上方 SRC 頁，查詢不會命中本列）</v>
      </c>
      <c r="C828" s="61" t="n">
        <v>38</v>
      </c>
      <c r="D828" s="61" t="s">
        <v>10703</v>
      </c>
      <c r="E828" s="61" t="s">
        <v>10703</v>
      </c>
      <c r="F828" s="62" t="s">
        <v>814</v>
      </c>
    </row>
    <row r="829" customFormat="false" ht="15" hidden="false" customHeight="false" outlineLevel="0" collapsed="false">
      <c r="A829" s="92" t="str">
        <f aca="false">Gov_Map!$H39&amp;""</f>
        <v>SRC_DC_003</v>
      </c>
      <c r="B829" s="65" t="str">
        <f aca="false">IF(A829="","（哨兵：Gov_Map 該列無 SRC_ID）",IF(COUNTIF($A$5:$A$794,A829)&gt;0,"（哨兵：此 SRC_ID 已在上方 SRC 頁，查詢不會命中本列）","（哨兵：SRC 頁查無此 ID）"))</f>
        <v>（哨兵：此 SRC_ID 已在上方 SRC 頁，查詢不會命中本列）</v>
      </c>
      <c r="C829" s="61" t="n">
        <v>39</v>
      </c>
      <c r="D829" s="61" t="s">
        <v>10703</v>
      </c>
      <c r="E829" s="61" t="s">
        <v>10703</v>
      </c>
      <c r="F829" s="62" t="s">
        <v>814</v>
      </c>
    </row>
    <row r="830" customFormat="false" ht="15" hidden="false" customHeight="false" outlineLevel="0" collapsed="false">
      <c r="A830" s="92" t="str">
        <f aca="false">Gov_Map!$H40&amp;""</f>
        <v>SRC_DC_003</v>
      </c>
      <c r="B830" s="65" t="str">
        <f aca="false">IF(A830="","（哨兵：Gov_Map 該列無 SRC_ID）",IF(COUNTIF($A$5:$A$794,A830)&gt;0,"（哨兵：此 SRC_ID 已在上方 SRC 頁，查詢不會命中本列）","（哨兵：SRC 頁查無此 ID）"))</f>
        <v>（哨兵：此 SRC_ID 已在上方 SRC 頁，查詢不會命中本列）</v>
      </c>
      <c r="C830" s="61" t="n">
        <v>40</v>
      </c>
      <c r="D830" s="61" t="s">
        <v>10703</v>
      </c>
      <c r="E830" s="61" t="s">
        <v>10703</v>
      </c>
      <c r="F830" s="62" t="s">
        <v>814</v>
      </c>
    </row>
    <row r="831" customFormat="false" ht="15" hidden="false" customHeight="false" outlineLevel="0" collapsed="false">
      <c r="A831" s="92" t="str">
        <f aca="false">Gov_Map!$H41&amp;""</f>
        <v>—</v>
      </c>
      <c r="B831" s="65" t="str">
        <f aca="false">IF(A831="","（哨兵：Gov_Map 該列無 SRC_ID）",IF(COUNTIF($A$5:$A$794,A831)&gt;0,"（哨兵：此 SRC_ID 已在上方 SRC 頁，查詢不會命中本列）","（哨兵：SRC 頁查無此 ID）"))</f>
        <v>（哨兵：SRC 頁查無此 ID）</v>
      </c>
      <c r="C831" s="61" t="n">
        <v>41</v>
      </c>
      <c r="D831" s="61" t="s">
        <v>10703</v>
      </c>
      <c r="E831" s="61" t="s">
        <v>10703</v>
      </c>
      <c r="F831" s="62" t="s">
        <v>814</v>
      </c>
    </row>
    <row r="832" customFormat="false" ht="15" hidden="false" customHeight="false" outlineLevel="0" collapsed="false">
      <c r="A832" s="92" t="str">
        <f aca="false">Gov_Map!$H42&amp;""</f>
        <v>—</v>
      </c>
      <c r="B832" s="65" t="str">
        <f aca="false">IF(A832="","（哨兵：Gov_Map 該列無 SRC_ID）",IF(COUNTIF($A$5:$A$794,A832)&gt;0,"（哨兵：此 SRC_ID 已在上方 SRC 頁，查詢不會命中本列）","（哨兵：SRC 頁查無此 ID）"))</f>
        <v>（哨兵：SRC 頁查無此 ID）</v>
      </c>
      <c r="C832" s="61" t="n">
        <v>42</v>
      </c>
      <c r="D832" s="61" t="s">
        <v>10703</v>
      </c>
      <c r="E832" s="61" t="s">
        <v>10703</v>
      </c>
      <c r="F832" s="62" t="s">
        <v>814</v>
      </c>
    </row>
    <row r="833" customFormat="false" ht="15" hidden="false" customHeight="false" outlineLevel="0" collapsed="false">
      <c r="A833" s="92" t="str">
        <f aca="false">Gov_Map!$H43&amp;""</f>
        <v>—</v>
      </c>
      <c r="B833" s="65" t="str">
        <f aca="false">IF(A833="","（哨兵：Gov_Map 該列無 SRC_ID）",IF(COUNTIF($A$5:$A$794,A833)&gt;0,"（哨兵：此 SRC_ID 已在上方 SRC 頁，查詢不會命中本列）","（哨兵：SRC 頁查無此 ID）"))</f>
        <v>（哨兵：SRC 頁查無此 ID）</v>
      </c>
      <c r="C833" s="61" t="n">
        <v>43</v>
      </c>
      <c r="D833" s="61" t="s">
        <v>10703</v>
      </c>
      <c r="E833" s="61" t="s">
        <v>10703</v>
      </c>
      <c r="F833" s="62" t="s">
        <v>814</v>
      </c>
    </row>
    <row r="834" customFormat="false" ht="15" hidden="false" customHeight="false" outlineLevel="0" collapsed="false">
      <c r="A834" s="92" t="str">
        <f aca="false">Gov_Map!$H44&amp;""</f>
        <v>—</v>
      </c>
      <c r="B834" s="65" t="str">
        <f aca="false">IF(A834="","（哨兵：Gov_Map 該列無 SRC_ID）",IF(COUNTIF($A$5:$A$794,A834)&gt;0,"（哨兵：此 SRC_ID 已在上方 SRC 頁，查詢不會命中本列）","（哨兵：SRC 頁查無此 ID）"))</f>
        <v>（哨兵：SRC 頁查無此 ID）</v>
      </c>
      <c r="C834" s="61" t="n">
        <v>44</v>
      </c>
      <c r="D834" s="61" t="s">
        <v>10703</v>
      </c>
      <c r="E834" s="61" t="s">
        <v>10703</v>
      </c>
      <c r="F834" s="62" t="s">
        <v>814</v>
      </c>
    </row>
    <row r="835" customFormat="false" ht="15" hidden="false" customHeight="false" outlineLevel="0" collapsed="false">
      <c r="A835" s="92" t="str">
        <f aca="false">Gov_Map!$H45&amp;""</f>
        <v>—</v>
      </c>
      <c r="B835" s="65" t="str">
        <f aca="false">IF(A835="","（哨兵：Gov_Map 該列無 SRC_ID）",IF(COUNTIF($A$5:$A$794,A835)&gt;0,"（哨兵：此 SRC_ID 已在上方 SRC 頁，查詢不會命中本列）","（哨兵：SRC 頁查無此 ID）"))</f>
        <v>（哨兵：SRC 頁查無此 ID）</v>
      </c>
      <c r="C835" s="61" t="n">
        <v>45</v>
      </c>
      <c r="D835" s="61" t="s">
        <v>10703</v>
      </c>
      <c r="E835" s="61" t="s">
        <v>10703</v>
      </c>
      <c r="F835" s="62" t="s">
        <v>814</v>
      </c>
    </row>
    <row r="836" customFormat="false" ht="15" hidden="false" customHeight="false" outlineLevel="0" collapsed="false">
      <c r="A836" s="92" t="str">
        <f aca="false">Gov_Map!$H46&amp;""</f>
        <v>—</v>
      </c>
      <c r="B836" s="65" t="str">
        <f aca="false">IF(A836="","（哨兵：Gov_Map 該列無 SRC_ID）",IF(COUNTIF($A$5:$A$794,A836)&gt;0,"（哨兵：此 SRC_ID 已在上方 SRC 頁，查詢不會命中本列）","（哨兵：SRC 頁查無此 ID）"))</f>
        <v>（哨兵：SRC 頁查無此 ID）</v>
      </c>
      <c r="C836" s="61" t="n">
        <v>46</v>
      </c>
      <c r="D836" s="61" t="s">
        <v>10703</v>
      </c>
      <c r="E836" s="61" t="s">
        <v>10703</v>
      </c>
      <c r="F836" s="62" t="s">
        <v>814</v>
      </c>
    </row>
    <row r="837" customFormat="false" ht="15" hidden="false" customHeight="false" outlineLevel="0" collapsed="false">
      <c r="A837" s="92" t="str">
        <f aca="false">Gov_Map!$H47&amp;""</f>
        <v>—</v>
      </c>
      <c r="B837" s="65" t="str">
        <f aca="false">IF(A837="","（哨兵：Gov_Map 該列無 SRC_ID）",IF(COUNTIF($A$5:$A$794,A837)&gt;0,"（哨兵：此 SRC_ID 已在上方 SRC 頁，查詢不會命中本列）","（哨兵：SRC 頁查無此 ID）"))</f>
        <v>（哨兵：SRC 頁查無此 ID）</v>
      </c>
      <c r="C837" s="61" t="n">
        <v>47</v>
      </c>
      <c r="D837" s="61" t="s">
        <v>10703</v>
      </c>
      <c r="E837" s="61" t="s">
        <v>10703</v>
      </c>
      <c r="F837" s="62" t="s">
        <v>814</v>
      </c>
    </row>
    <row r="838" customFormat="false" ht="15" hidden="false" customHeight="false" outlineLevel="0" collapsed="false">
      <c r="A838" s="92" t="str">
        <f aca="false">Gov_Map!$H48&amp;""</f>
        <v>—</v>
      </c>
      <c r="B838" s="65" t="str">
        <f aca="false">IF(A838="","（哨兵：Gov_Map 該列無 SRC_ID）",IF(COUNTIF($A$5:$A$794,A838)&gt;0,"（哨兵：此 SRC_ID 已在上方 SRC 頁，查詢不會命中本列）","（哨兵：SRC 頁查無此 ID）"))</f>
        <v>（哨兵：SRC 頁查無此 ID）</v>
      </c>
      <c r="C838" s="61" t="n">
        <v>48</v>
      </c>
      <c r="D838" s="61" t="s">
        <v>10703</v>
      </c>
      <c r="E838" s="61" t="s">
        <v>10703</v>
      </c>
      <c r="F838" s="62" t="s">
        <v>814</v>
      </c>
    </row>
    <row r="839" customFormat="false" ht="15" hidden="false" customHeight="false" outlineLevel="0" collapsed="false">
      <c r="A839" s="92" t="str">
        <f aca="false">Gov_Map!$H49&amp;""</f>
        <v>—</v>
      </c>
      <c r="B839" s="65" t="str">
        <f aca="false">IF(A839="","（哨兵：Gov_Map 該列無 SRC_ID）",IF(COUNTIF($A$5:$A$794,A839)&gt;0,"（哨兵：此 SRC_ID 已在上方 SRC 頁，查詢不會命中本列）","（哨兵：SRC 頁查無此 ID）"))</f>
        <v>（哨兵：SRC 頁查無此 ID）</v>
      </c>
      <c r="C839" s="61" t="n">
        <v>49</v>
      </c>
      <c r="D839" s="61" t="s">
        <v>10703</v>
      </c>
      <c r="E839" s="61" t="s">
        <v>10703</v>
      </c>
      <c r="F839" s="62" t="s">
        <v>814</v>
      </c>
    </row>
    <row r="840" customFormat="false" ht="15" hidden="false" customHeight="false" outlineLevel="0" collapsed="false">
      <c r="A840" s="92" t="str">
        <f aca="false">Gov_Map!$H50&amp;""</f>
        <v>—</v>
      </c>
      <c r="B840" s="65" t="str">
        <f aca="false">IF(A840="","（哨兵：Gov_Map 該列無 SRC_ID）",IF(COUNTIF($A$5:$A$794,A840)&gt;0,"（哨兵：此 SRC_ID 已在上方 SRC 頁，查詢不會命中本列）","（哨兵：SRC 頁查無此 ID）"))</f>
        <v>（哨兵：SRC 頁查無此 ID）</v>
      </c>
      <c r="C840" s="61" t="n">
        <v>50</v>
      </c>
      <c r="D840" s="61" t="s">
        <v>10703</v>
      </c>
      <c r="E840" s="61" t="s">
        <v>10703</v>
      </c>
      <c r="F840" s="62" t="s">
        <v>814</v>
      </c>
    </row>
    <row r="841" customFormat="false" ht="15" hidden="false" customHeight="false" outlineLevel="0" collapsed="false">
      <c r="A841" s="92" t="str">
        <f aca="false">Gov_Map!$H51&amp;""</f>
        <v>—</v>
      </c>
      <c r="B841" s="65" t="str">
        <f aca="false">IF(A841="","（哨兵：Gov_Map 該列無 SRC_ID）",IF(COUNTIF($A$5:$A$794,A841)&gt;0,"（哨兵：此 SRC_ID 已在上方 SRC 頁，查詢不會命中本列）","（哨兵：SRC 頁查無此 ID）"))</f>
        <v>（哨兵：SRC 頁查無此 ID）</v>
      </c>
      <c r="C841" s="61" t="n">
        <v>51</v>
      </c>
      <c r="D841" s="61" t="s">
        <v>10703</v>
      </c>
      <c r="E841" s="61" t="s">
        <v>10703</v>
      </c>
      <c r="F841" s="62" t="s">
        <v>814</v>
      </c>
    </row>
    <row r="842" customFormat="false" ht="15" hidden="false" customHeight="false" outlineLevel="0" collapsed="false">
      <c r="A842" s="92" t="str">
        <f aca="false">Gov_Map!$H52&amp;""</f>
        <v>—</v>
      </c>
      <c r="B842" s="65" t="str">
        <f aca="false">IF(A842="","（哨兵：Gov_Map 該列無 SRC_ID）",IF(COUNTIF($A$5:$A$794,A842)&gt;0,"（哨兵：此 SRC_ID 已在上方 SRC 頁，查詢不會命中本列）","（哨兵：SRC 頁查無此 ID）"))</f>
        <v>（哨兵：SRC 頁查無此 ID）</v>
      </c>
      <c r="C842" s="61" t="n">
        <v>52</v>
      </c>
      <c r="D842" s="61" t="s">
        <v>10703</v>
      </c>
      <c r="E842" s="61" t="s">
        <v>10703</v>
      </c>
      <c r="F842" s="62" t="s">
        <v>814</v>
      </c>
    </row>
    <row r="843" customFormat="false" ht="15" hidden="false" customHeight="false" outlineLevel="0" collapsed="false">
      <c r="A843" s="92" t="str">
        <f aca="false">Gov_Map!$H53&amp;""</f>
        <v>—</v>
      </c>
      <c r="B843" s="65" t="str">
        <f aca="false">IF(A843="","（哨兵：Gov_Map 該列無 SRC_ID）",IF(COUNTIF($A$5:$A$794,A843)&gt;0,"（哨兵：此 SRC_ID 已在上方 SRC 頁，查詢不會命中本列）","（哨兵：SRC 頁查無此 ID）"))</f>
        <v>（哨兵：SRC 頁查無此 ID）</v>
      </c>
      <c r="C843" s="61" t="n">
        <v>53</v>
      </c>
      <c r="D843" s="61" t="s">
        <v>10703</v>
      </c>
      <c r="E843" s="61" t="s">
        <v>10703</v>
      </c>
      <c r="F843" s="62" t="s">
        <v>814</v>
      </c>
    </row>
    <row r="844" customFormat="false" ht="15" hidden="false" customHeight="false" outlineLevel="0" collapsed="false">
      <c r="A844" s="92" t="str">
        <f aca="false">Gov_Map!$H54&amp;""</f>
        <v>—</v>
      </c>
      <c r="B844" s="65" t="str">
        <f aca="false">IF(A844="","（哨兵：Gov_Map 該列無 SRC_ID）",IF(COUNTIF($A$5:$A$794,A844)&gt;0,"（哨兵：此 SRC_ID 已在上方 SRC 頁，查詢不會命中本列）","（哨兵：SRC 頁查無此 ID）"))</f>
        <v>（哨兵：SRC 頁查無此 ID）</v>
      </c>
      <c r="C844" s="61" t="n">
        <v>54</v>
      </c>
      <c r="D844" s="61" t="s">
        <v>10703</v>
      </c>
      <c r="E844" s="61" t="s">
        <v>10703</v>
      </c>
      <c r="F844" s="62" t="s">
        <v>814</v>
      </c>
    </row>
    <row r="845" customFormat="false" ht="15" hidden="false" customHeight="false" outlineLevel="0" collapsed="false">
      <c r="A845" s="92" t="str">
        <f aca="false">Gov_Map!$H55&amp;""</f>
        <v>—</v>
      </c>
      <c r="B845" s="65" t="str">
        <f aca="false">IF(A845="","（哨兵：Gov_Map 該列無 SRC_ID）",IF(COUNTIF($A$5:$A$794,A845)&gt;0,"（哨兵：此 SRC_ID 已在上方 SRC 頁，查詢不會命中本列）","（哨兵：SRC 頁查無此 ID）"))</f>
        <v>（哨兵：SRC 頁查無此 ID）</v>
      </c>
      <c r="C845" s="61" t="n">
        <v>55</v>
      </c>
      <c r="D845" s="61" t="s">
        <v>10703</v>
      </c>
      <c r="E845" s="61" t="s">
        <v>10703</v>
      </c>
      <c r="F845" s="62" t="s">
        <v>814</v>
      </c>
    </row>
    <row r="846" customFormat="false" ht="15" hidden="false" customHeight="false" outlineLevel="0" collapsed="false">
      <c r="A846" s="92" t="str">
        <f aca="false">Gov_Map!$H56&amp;""</f>
        <v>—</v>
      </c>
      <c r="B846" s="65" t="str">
        <f aca="false">IF(A846="","（哨兵：Gov_Map 該列無 SRC_ID）",IF(COUNTIF($A$5:$A$794,A846)&gt;0,"（哨兵：此 SRC_ID 已在上方 SRC 頁，查詢不會命中本列）","（哨兵：SRC 頁查無此 ID）"))</f>
        <v>（哨兵：SRC 頁查無此 ID）</v>
      </c>
      <c r="C846" s="61" t="n">
        <v>56</v>
      </c>
      <c r="D846" s="61" t="s">
        <v>10703</v>
      </c>
      <c r="E846" s="61" t="s">
        <v>10703</v>
      </c>
      <c r="F846" s="62" t="s">
        <v>814</v>
      </c>
    </row>
    <row r="847" customFormat="false" ht="15" hidden="false" customHeight="false" outlineLevel="0" collapsed="false">
      <c r="A847" s="92" t="str">
        <f aca="false">Gov_Map!$H57&amp;""</f>
        <v>—</v>
      </c>
      <c r="B847" s="65" t="str">
        <f aca="false">IF(A847="","（哨兵：Gov_Map 該列無 SRC_ID）",IF(COUNTIF($A$5:$A$794,A847)&gt;0,"（哨兵：此 SRC_ID 已在上方 SRC 頁，查詢不會命中本列）","（哨兵：SRC 頁查無此 ID）"))</f>
        <v>（哨兵：SRC 頁查無此 ID）</v>
      </c>
      <c r="C847" s="61" t="n">
        <v>57</v>
      </c>
      <c r="D847" s="61" t="s">
        <v>10703</v>
      </c>
      <c r="E847" s="61" t="s">
        <v>10703</v>
      </c>
      <c r="F847" s="62" t="s">
        <v>814</v>
      </c>
    </row>
    <row r="848" customFormat="false" ht="15" hidden="false" customHeight="false" outlineLevel="0" collapsed="false">
      <c r="A848" s="92" t="str">
        <f aca="false">Gov_Map!$H58&amp;""</f>
        <v>—</v>
      </c>
      <c r="B848" s="65" t="str">
        <f aca="false">IF(A848="","（哨兵：Gov_Map 該列無 SRC_ID）",IF(COUNTIF($A$5:$A$794,A848)&gt;0,"（哨兵：此 SRC_ID 已在上方 SRC 頁，查詢不會命中本列）","（哨兵：SRC 頁查無此 ID）"))</f>
        <v>（哨兵：SRC 頁查無此 ID）</v>
      </c>
      <c r="C848" s="61" t="n">
        <v>58</v>
      </c>
      <c r="D848" s="61" t="s">
        <v>10703</v>
      </c>
      <c r="E848" s="61" t="s">
        <v>10703</v>
      </c>
      <c r="F848" s="62" t="s">
        <v>814</v>
      </c>
    </row>
    <row r="849" customFormat="false" ht="15" hidden="false" customHeight="false" outlineLevel="0" collapsed="false">
      <c r="A849" s="92" t="str">
        <f aca="false">Gov_Map!$H59&amp;""</f>
        <v>—</v>
      </c>
      <c r="B849" s="65" t="str">
        <f aca="false">IF(A849="","（哨兵：Gov_Map 該列無 SRC_ID）",IF(COUNTIF($A$5:$A$794,A849)&gt;0,"（哨兵：此 SRC_ID 已在上方 SRC 頁，查詢不會命中本列）","（哨兵：SRC 頁查無此 ID）"))</f>
        <v>（哨兵：SRC 頁查無此 ID）</v>
      </c>
      <c r="C849" s="61" t="n">
        <v>59</v>
      </c>
      <c r="D849" s="61" t="s">
        <v>10703</v>
      </c>
      <c r="E849" s="61" t="s">
        <v>10703</v>
      </c>
      <c r="F849" s="62" t="s">
        <v>814</v>
      </c>
    </row>
    <row r="850" customFormat="false" ht="15" hidden="false" customHeight="false" outlineLevel="0" collapsed="false">
      <c r="A850" s="92" t="str">
        <f aca="false">Gov_Map!$H60&amp;""</f>
        <v>—</v>
      </c>
      <c r="B850" s="65" t="str">
        <f aca="false">IF(A850="","（哨兵：Gov_Map 該列無 SRC_ID）",IF(COUNTIF($A$5:$A$794,A850)&gt;0,"（哨兵：此 SRC_ID 已在上方 SRC 頁，查詢不會命中本列）","（哨兵：SRC 頁查無此 ID）"))</f>
        <v>（哨兵：SRC 頁查無此 ID）</v>
      </c>
      <c r="C850" s="61" t="n">
        <v>60</v>
      </c>
      <c r="D850" s="61" t="s">
        <v>10703</v>
      </c>
      <c r="E850" s="61" t="s">
        <v>10703</v>
      </c>
      <c r="F850" s="62" t="s">
        <v>814</v>
      </c>
    </row>
    <row r="851" customFormat="false" ht="15" hidden="false" customHeight="false" outlineLevel="0" collapsed="false">
      <c r="A851" s="92" t="str">
        <f aca="false">Gov_Map!$H61&amp;""</f>
        <v>—</v>
      </c>
      <c r="B851" s="65" t="str">
        <f aca="false">IF(A851="","（哨兵：Gov_Map 該列無 SRC_ID）",IF(COUNTIF($A$5:$A$794,A851)&gt;0,"（哨兵：此 SRC_ID 已在上方 SRC 頁，查詢不會命中本列）","（哨兵：SRC 頁查無此 ID）"))</f>
        <v>（哨兵：SRC 頁查無此 ID）</v>
      </c>
      <c r="C851" s="61" t="n">
        <v>61</v>
      </c>
      <c r="D851" s="61" t="s">
        <v>10703</v>
      </c>
      <c r="E851" s="61" t="s">
        <v>10703</v>
      </c>
      <c r="F851" s="62" t="s">
        <v>814</v>
      </c>
    </row>
    <row r="852" customFormat="false" ht="15" hidden="false" customHeight="false" outlineLevel="0" collapsed="false">
      <c r="A852" s="92" t="str">
        <f aca="false">Gov_Map!$H62&amp;""</f>
        <v>SRC_DC_007</v>
      </c>
      <c r="B852" s="65" t="str">
        <f aca="false">IF(A852="","（哨兵：Gov_Map 該列無 SRC_ID）",IF(COUNTIF($A$5:$A$794,A852)&gt;0,"（哨兵：此 SRC_ID 已在上方 SRC 頁，查詢不會命中本列）","（哨兵：SRC 頁查無此 ID）"))</f>
        <v>（哨兵：此 SRC_ID 已在上方 SRC 頁，查詢不會命中本列）</v>
      </c>
      <c r="C852" s="61" t="n">
        <v>62</v>
      </c>
      <c r="D852" s="61" t="s">
        <v>10703</v>
      </c>
      <c r="E852" s="61" t="s">
        <v>10703</v>
      </c>
      <c r="F852" s="62" t="s">
        <v>814</v>
      </c>
    </row>
    <row r="853" customFormat="false" ht="15" hidden="false" customHeight="false" outlineLevel="0" collapsed="false">
      <c r="A853" s="92" t="str">
        <f aca="false">Gov_Map!$H63&amp;""</f>
        <v>SRC_DC_007</v>
      </c>
      <c r="B853" s="65" t="str">
        <f aca="false">IF(A853="","（哨兵：Gov_Map 該列無 SRC_ID）",IF(COUNTIF($A$5:$A$794,A853)&gt;0,"（哨兵：此 SRC_ID 已在上方 SRC 頁，查詢不會命中本列）","（哨兵：SRC 頁查無此 ID）"))</f>
        <v>（哨兵：此 SRC_ID 已在上方 SRC 頁，查詢不會命中本列）</v>
      </c>
      <c r="C853" s="61" t="n">
        <v>63</v>
      </c>
      <c r="D853" s="61" t="s">
        <v>10703</v>
      </c>
      <c r="E853" s="61" t="s">
        <v>10703</v>
      </c>
      <c r="F853" s="62" t="s">
        <v>814</v>
      </c>
    </row>
    <row r="854" customFormat="false" ht="15" hidden="false" customHeight="false" outlineLevel="0" collapsed="false">
      <c r="A854" s="92" t="str">
        <f aca="false">Gov_Map!$H64&amp;""</f>
        <v>SRC_DC_008</v>
      </c>
      <c r="B854" s="65" t="str">
        <f aca="false">IF(A854="","（哨兵：Gov_Map 該列無 SRC_ID）",IF(COUNTIF($A$5:$A$794,A854)&gt;0,"（哨兵：此 SRC_ID 已在上方 SRC 頁，查詢不會命中本列）","（哨兵：SRC 頁查無此 ID）"))</f>
        <v>（哨兵：此 SRC_ID 已在上方 SRC 頁，查詢不會命中本列）</v>
      </c>
      <c r="C854" s="61" t="n">
        <v>64</v>
      </c>
      <c r="D854" s="61" t="s">
        <v>10703</v>
      </c>
      <c r="E854" s="61" t="s">
        <v>10703</v>
      </c>
      <c r="F854" s="62" t="s">
        <v>814</v>
      </c>
    </row>
    <row r="855" customFormat="false" ht="15" hidden="false" customHeight="false" outlineLevel="0" collapsed="false">
      <c r="A855" s="92" t="str">
        <f aca="false">Gov_Map!$H65&amp;""</f>
        <v>—</v>
      </c>
      <c r="B855" s="65" t="str">
        <f aca="false">IF(A855="","（哨兵：Gov_Map 該列無 SRC_ID）",IF(COUNTIF($A$5:$A$794,A855)&gt;0,"（哨兵：此 SRC_ID 已在上方 SRC 頁，查詢不會命中本列）","（哨兵：SRC 頁查無此 ID）"))</f>
        <v>（哨兵：SRC 頁查無此 ID）</v>
      </c>
      <c r="C855" s="61" t="n">
        <v>65</v>
      </c>
      <c r="D855" s="61" t="s">
        <v>10703</v>
      </c>
      <c r="E855" s="61" t="s">
        <v>10703</v>
      </c>
      <c r="F855" s="62" t="s">
        <v>814</v>
      </c>
    </row>
    <row r="856" customFormat="false" ht="15" hidden="false" customHeight="false" outlineLevel="0" collapsed="false">
      <c r="A856" s="92" t="str">
        <f aca="false">Gov_Map!$H66&amp;""</f>
        <v>—</v>
      </c>
      <c r="B856" s="65" t="str">
        <f aca="false">IF(A856="","（哨兵：Gov_Map 該列無 SRC_ID）",IF(COUNTIF($A$5:$A$794,A856)&gt;0,"（哨兵：此 SRC_ID 已在上方 SRC 頁，查詢不會命中本列）","（哨兵：SRC 頁查無此 ID）"))</f>
        <v>（哨兵：SRC 頁查無此 ID）</v>
      </c>
      <c r="C856" s="61" t="n">
        <v>66</v>
      </c>
      <c r="D856" s="61" t="s">
        <v>10703</v>
      </c>
      <c r="E856" s="61" t="s">
        <v>10703</v>
      </c>
      <c r="F856" s="62" t="s">
        <v>814</v>
      </c>
    </row>
    <row r="857" customFormat="false" ht="15" hidden="false" customHeight="false" outlineLevel="0" collapsed="false">
      <c r="A857" s="92" t="str">
        <f aca="false">Gov_Map!$H67&amp;""</f>
        <v>—</v>
      </c>
      <c r="B857" s="65" t="str">
        <f aca="false">IF(A857="","（哨兵：Gov_Map 該列無 SRC_ID）",IF(COUNTIF($A$5:$A$794,A857)&gt;0,"（哨兵：此 SRC_ID 已在上方 SRC 頁，查詢不會命中本列）","（哨兵：SRC 頁查無此 ID）"))</f>
        <v>（哨兵：SRC 頁查無此 ID）</v>
      </c>
      <c r="C857" s="61" t="n">
        <v>67</v>
      </c>
      <c r="D857" s="61" t="s">
        <v>10703</v>
      </c>
      <c r="E857" s="61" t="s">
        <v>10703</v>
      </c>
      <c r="F857" s="62" t="s">
        <v>814</v>
      </c>
    </row>
    <row r="858" customFormat="false" ht="15" hidden="false" customHeight="false" outlineLevel="0" collapsed="false">
      <c r="A858" s="92" t="str">
        <f aca="false">Gov_Map!$H68&amp;""</f>
        <v>—</v>
      </c>
      <c r="B858" s="65" t="str">
        <f aca="false">IF(A858="","（哨兵：Gov_Map 該列無 SRC_ID）",IF(COUNTIF($A$5:$A$794,A858)&gt;0,"（哨兵：此 SRC_ID 已在上方 SRC 頁，查詢不會命中本列）","（哨兵：SRC 頁查無此 ID）"))</f>
        <v>（哨兵：SRC 頁查無此 ID）</v>
      </c>
      <c r="C858" s="61" t="n">
        <v>68</v>
      </c>
      <c r="D858" s="61" t="s">
        <v>10703</v>
      </c>
      <c r="E858" s="61" t="s">
        <v>10703</v>
      </c>
      <c r="F858" s="62" t="s">
        <v>814</v>
      </c>
    </row>
    <row r="859" customFormat="false" ht="15" hidden="false" customHeight="false" outlineLevel="0" collapsed="false">
      <c r="A859" s="92" t="str">
        <f aca="false">Gov_Map!$H69&amp;""</f>
        <v>—</v>
      </c>
      <c r="B859" s="65" t="str">
        <f aca="false">IF(A859="","（哨兵：Gov_Map 該列無 SRC_ID）",IF(COUNTIF($A$5:$A$794,A859)&gt;0,"（哨兵：此 SRC_ID 已在上方 SRC 頁，查詢不會命中本列）","（哨兵：SRC 頁查無此 ID）"))</f>
        <v>（哨兵：SRC 頁查無此 ID）</v>
      </c>
      <c r="C859" s="61" t="n">
        <v>69</v>
      </c>
      <c r="D859" s="61" t="s">
        <v>10703</v>
      </c>
      <c r="E859" s="61" t="s">
        <v>10703</v>
      </c>
      <c r="F859" s="62" t="s">
        <v>814</v>
      </c>
    </row>
    <row r="860" customFormat="false" ht="15" hidden="false" customHeight="false" outlineLevel="0" collapsed="false">
      <c r="A860" s="92" t="str">
        <f aca="false">Gov_Map!$H70&amp;""</f>
        <v>SRC_HW_047</v>
      </c>
      <c r="B860" s="65" t="str">
        <f aca="false">IF(A860="","（哨兵：Gov_Map 該列無 SRC_ID）",IF(COUNTIF($A$5:$A$794,A860)&gt;0,"（哨兵：此 SRC_ID 已在上方 SRC 頁，查詢不會命中本列）","（哨兵：SRC 頁查無此 ID）"))</f>
        <v>（哨兵：此 SRC_ID 已在上方 SRC 頁，查詢不會命中本列）</v>
      </c>
      <c r="C860" s="61" t="n">
        <v>70</v>
      </c>
      <c r="D860" s="61" t="s">
        <v>10703</v>
      </c>
      <c r="E860" s="61" t="s">
        <v>10703</v>
      </c>
      <c r="F860" s="62" t="s">
        <v>814</v>
      </c>
    </row>
    <row r="861" customFormat="false" ht="15" hidden="false" customHeight="false" outlineLevel="0" collapsed="false">
      <c r="A861" s="92" t="str">
        <f aca="false">Gov_Map!$H71&amp;""</f>
        <v>SRC_HW_047</v>
      </c>
      <c r="B861" s="65" t="str">
        <f aca="false">IF(A861="","（哨兵：Gov_Map 該列無 SRC_ID）",IF(COUNTIF($A$5:$A$794,A861)&gt;0,"（哨兵：此 SRC_ID 已在上方 SRC 頁，查詢不會命中本列）","（哨兵：SRC 頁查無此 ID）"))</f>
        <v>（哨兵：此 SRC_ID 已在上方 SRC 頁，查詢不會命中本列）</v>
      </c>
      <c r="C861" s="61" t="n">
        <v>71</v>
      </c>
      <c r="D861" s="61" t="s">
        <v>10703</v>
      </c>
      <c r="E861" s="61" t="s">
        <v>10703</v>
      </c>
      <c r="F861" s="62" t="s">
        <v>814</v>
      </c>
    </row>
    <row r="862" customFormat="false" ht="15" hidden="false" customHeight="false" outlineLevel="0" collapsed="false">
      <c r="A862" s="92" t="str">
        <f aca="false">Gov_Map!$H72&amp;""</f>
        <v>SRC_HW_047</v>
      </c>
      <c r="B862" s="65" t="str">
        <f aca="false">IF(A862="","（哨兵：Gov_Map 該列無 SRC_ID）",IF(COUNTIF($A$5:$A$794,A862)&gt;0,"（哨兵：此 SRC_ID 已在上方 SRC 頁，查詢不會命中本列）","（哨兵：SRC 頁查無此 ID）"))</f>
        <v>（哨兵：此 SRC_ID 已在上方 SRC 頁，查詢不會命中本列）</v>
      </c>
      <c r="C862" s="61" t="n">
        <v>72</v>
      </c>
      <c r="D862" s="61" t="s">
        <v>10703</v>
      </c>
      <c r="E862" s="61" t="s">
        <v>10703</v>
      </c>
      <c r="F862" s="62" t="s">
        <v>814</v>
      </c>
    </row>
    <row r="863" customFormat="false" ht="15" hidden="false" customHeight="false" outlineLevel="0" collapsed="false">
      <c r="A863" s="92" t="str">
        <f aca="false">Gov_Map!$H73&amp;""</f>
        <v>SRC_HW_061</v>
      </c>
      <c r="B863" s="65" t="str">
        <f aca="false">IF(A863="","（哨兵：Gov_Map 該列無 SRC_ID）",IF(COUNTIF($A$5:$A$794,A863)&gt;0,"（哨兵：此 SRC_ID 已在上方 SRC 頁，查詢不會命中本列）","（哨兵：SRC 頁查無此 ID）"))</f>
        <v>（哨兵：此 SRC_ID 已在上方 SRC 頁，查詢不會命中本列）</v>
      </c>
      <c r="C863" s="61" t="n">
        <v>73</v>
      </c>
      <c r="D863" s="61" t="s">
        <v>10703</v>
      </c>
      <c r="E863" s="61" t="s">
        <v>10703</v>
      </c>
      <c r="F863" s="62" t="s">
        <v>814</v>
      </c>
    </row>
    <row r="864" customFormat="false" ht="15" hidden="false" customHeight="false" outlineLevel="0" collapsed="false">
      <c r="A864" s="92" t="str">
        <f aca="false">Gov_Map!$H74&amp;""</f>
        <v>—</v>
      </c>
      <c r="B864" s="65" t="str">
        <f aca="false">IF(A864="","（哨兵：Gov_Map 該列無 SRC_ID）",IF(COUNTIF($A$5:$A$794,A864)&gt;0,"（哨兵：此 SRC_ID 已在上方 SRC 頁，查詢不會命中本列）","（哨兵：SRC 頁查無此 ID）"))</f>
        <v>（哨兵：SRC 頁查無此 ID）</v>
      </c>
      <c r="C864" s="61" t="n">
        <v>74</v>
      </c>
      <c r="D864" s="61" t="s">
        <v>10703</v>
      </c>
      <c r="E864" s="61" t="s">
        <v>10703</v>
      </c>
      <c r="F864" s="62" t="s">
        <v>814</v>
      </c>
    </row>
    <row r="865" customFormat="false" ht="15" hidden="false" customHeight="false" outlineLevel="0" collapsed="false">
      <c r="A865" s="92" t="str">
        <f aca="false">Gov_Map!$H75&amp;""</f>
        <v>SRC_HW_004</v>
      </c>
      <c r="B865" s="65" t="str">
        <f aca="false">IF(A865="","（哨兵：Gov_Map 該列無 SRC_ID）",IF(COUNTIF($A$5:$A$794,A865)&gt;0,"（哨兵：此 SRC_ID 已在上方 SRC 頁，查詢不會命中本列）","（哨兵：SRC 頁查無此 ID）"))</f>
        <v>（哨兵：此 SRC_ID 已在上方 SRC 頁，查詢不會命中本列）</v>
      </c>
      <c r="C865" s="61" t="n">
        <v>75</v>
      </c>
      <c r="D865" s="61" t="s">
        <v>10703</v>
      </c>
      <c r="E865" s="61" t="s">
        <v>10703</v>
      </c>
      <c r="F865" s="62" t="s">
        <v>814</v>
      </c>
    </row>
    <row r="866" customFormat="false" ht="15" hidden="false" customHeight="false" outlineLevel="0" collapsed="false">
      <c r="A866" s="92" t="str">
        <f aca="false">Gov_Map!$H76&amp;""</f>
        <v>SRC_HW_005</v>
      </c>
      <c r="B866" s="65" t="str">
        <f aca="false">IF(A866="","（哨兵：Gov_Map 該列無 SRC_ID）",IF(COUNTIF($A$5:$A$794,A866)&gt;0,"（哨兵：此 SRC_ID 已在上方 SRC 頁，查詢不會命中本列）","（哨兵：SRC 頁查無此 ID）"))</f>
        <v>（哨兵：此 SRC_ID 已在上方 SRC 頁，查詢不會命中本列）</v>
      </c>
      <c r="C866" s="61" t="n">
        <v>76</v>
      </c>
      <c r="D866" s="61" t="s">
        <v>10703</v>
      </c>
      <c r="E866" s="61" t="s">
        <v>10703</v>
      </c>
      <c r="F866" s="62" t="s">
        <v>814</v>
      </c>
    </row>
    <row r="867" customFormat="false" ht="15" hidden="false" customHeight="false" outlineLevel="0" collapsed="false">
      <c r="A867" s="92" t="str">
        <f aca="false">Gov_Map!$H77&amp;""</f>
        <v>SRC_HW_011</v>
      </c>
      <c r="B867" s="65" t="str">
        <f aca="false">IF(A867="","（哨兵：Gov_Map 該列無 SRC_ID）",IF(COUNTIF($A$5:$A$794,A867)&gt;0,"（哨兵：此 SRC_ID 已在上方 SRC 頁，查詢不會命中本列）","（哨兵：SRC 頁查無此 ID）"))</f>
        <v>（哨兵：此 SRC_ID 已在上方 SRC 頁，查詢不會命中本列）</v>
      </c>
      <c r="C867" s="61" t="n">
        <v>77</v>
      </c>
      <c r="D867" s="61" t="s">
        <v>10703</v>
      </c>
      <c r="E867" s="61" t="s">
        <v>10703</v>
      </c>
      <c r="F867" s="62" t="s">
        <v>814</v>
      </c>
    </row>
    <row r="868" customFormat="false" ht="15" hidden="false" customHeight="false" outlineLevel="0" collapsed="false">
      <c r="A868" s="92" t="str">
        <f aca="false">Gov_Map!$H78&amp;""</f>
        <v>—</v>
      </c>
      <c r="B868" s="65" t="str">
        <f aca="false">IF(A868="","（哨兵：Gov_Map 該列無 SRC_ID）",IF(COUNTIF($A$5:$A$794,A868)&gt;0,"（哨兵：此 SRC_ID 已在上方 SRC 頁，查詢不會命中本列）","（哨兵：SRC 頁查無此 ID）"))</f>
        <v>（哨兵：SRC 頁查無此 ID）</v>
      </c>
      <c r="C868" s="61" t="n">
        <v>78</v>
      </c>
      <c r="D868" s="61" t="s">
        <v>10703</v>
      </c>
      <c r="E868" s="61" t="s">
        <v>10703</v>
      </c>
      <c r="F868" s="62" t="s">
        <v>814</v>
      </c>
    </row>
    <row r="869" customFormat="false" ht="15" hidden="false" customHeight="false" outlineLevel="0" collapsed="false">
      <c r="A869" s="92" t="str">
        <f aca="false">Gov_Map!$H79&amp;""</f>
        <v>SRC_HW_001</v>
      </c>
      <c r="B869" s="65" t="str">
        <f aca="false">IF(A869="","（哨兵：Gov_Map 該列無 SRC_ID）",IF(COUNTIF($A$5:$A$794,A869)&gt;0,"（哨兵：此 SRC_ID 已在上方 SRC 頁，查詢不會命中本列）","（哨兵：SRC 頁查無此 ID）"))</f>
        <v>（哨兵：此 SRC_ID 已在上方 SRC 頁，查詢不會命中本列）</v>
      </c>
      <c r="C869" s="61" t="n">
        <v>79</v>
      </c>
      <c r="D869" s="61" t="s">
        <v>10703</v>
      </c>
      <c r="E869" s="61" t="s">
        <v>10703</v>
      </c>
      <c r="F869" s="62" t="s">
        <v>814</v>
      </c>
    </row>
    <row r="870" customFormat="false" ht="15" hidden="false" customHeight="false" outlineLevel="0" collapsed="false">
      <c r="A870" s="92" t="str">
        <f aca="false">Gov_Map!$H80&amp;""</f>
        <v>SRC_HW_004</v>
      </c>
      <c r="B870" s="65" t="str">
        <f aca="false">IF(A870="","（哨兵：Gov_Map 該列無 SRC_ID）",IF(COUNTIF($A$5:$A$794,A870)&gt;0,"（哨兵：此 SRC_ID 已在上方 SRC 頁，查詢不會命中本列）","（哨兵：SRC 頁查無此 ID）"))</f>
        <v>（哨兵：此 SRC_ID 已在上方 SRC 頁，查詢不會命中本列）</v>
      </c>
      <c r="C870" s="61" t="n">
        <v>80</v>
      </c>
      <c r="D870" s="61" t="s">
        <v>10703</v>
      </c>
      <c r="E870" s="61" t="s">
        <v>10703</v>
      </c>
      <c r="F870" s="62" t="s">
        <v>814</v>
      </c>
    </row>
    <row r="871" customFormat="false" ht="15" hidden="false" customHeight="false" outlineLevel="0" collapsed="false">
      <c r="A871" s="92" t="str">
        <f aca="false">Gov_Map!$H81&amp;""</f>
        <v>SRC_HW_005</v>
      </c>
      <c r="B871" s="65" t="str">
        <f aca="false">IF(A871="","（哨兵：Gov_Map 該列無 SRC_ID）",IF(COUNTIF($A$5:$A$794,A871)&gt;0,"（哨兵：此 SRC_ID 已在上方 SRC 頁，查詢不會命中本列）","（哨兵：SRC 頁查無此 ID）"))</f>
        <v>（哨兵：此 SRC_ID 已在上方 SRC 頁，查詢不會命中本列）</v>
      </c>
      <c r="C871" s="61" t="n">
        <v>81</v>
      </c>
      <c r="D871" s="61" t="s">
        <v>10703</v>
      </c>
      <c r="E871" s="61" t="s">
        <v>10703</v>
      </c>
      <c r="F871" s="62" t="s">
        <v>814</v>
      </c>
    </row>
    <row r="872" customFormat="false" ht="15" hidden="false" customHeight="false" outlineLevel="0" collapsed="false">
      <c r="A872" s="92" t="str">
        <f aca="false">Gov_Map!$H82&amp;""</f>
        <v>SRC_HW_014</v>
      </c>
      <c r="B872" s="65" t="str">
        <f aca="false">IF(A872="","（哨兵：Gov_Map 該列無 SRC_ID）",IF(COUNTIF($A$5:$A$794,A872)&gt;0,"（哨兵：此 SRC_ID 已在上方 SRC 頁，查詢不會命中本列）","（哨兵：SRC 頁查無此 ID）"))</f>
        <v>（哨兵：此 SRC_ID 已在上方 SRC 頁，查詢不會命中本列）</v>
      </c>
      <c r="C872" s="61" t="n">
        <v>82</v>
      </c>
      <c r="D872" s="61" t="s">
        <v>10703</v>
      </c>
      <c r="E872" s="61" t="s">
        <v>10703</v>
      </c>
      <c r="F872" s="62" t="s">
        <v>814</v>
      </c>
    </row>
    <row r="873" customFormat="false" ht="15" hidden="false" customHeight="false" outlineLevel="0" collapsed="false">
      <c r="A873" s="92" t="str">
        <f aca="false">Gov_Map!$H83&amp;""</f>
        <v>—</v>
      </c>
      <c r="B873" s="65" t="str">
        <f aca="false">IF(A873="","（哨兵：Gov_Map 該列無 SRC_ID）",IF(COUNTIF($A$5:$A$794,A873)&gt;0,"（哨兵：此 SRC_ID 已在上方 SRC 頁，查詢不會命中本列）","（哨兵：SRC 頁查無此 ID）"))</f>
        <v>（哨兵：SRC 頁查無此 ID）</v>
      </c>
      <c r="C873" s="61" t="n">
        <v>83</v>
      </c>
      <c r="D873" s="61" t="s">
        <v>10703</v>
      </c>
      <c r="E873" s="61" t="s">
        <v>10703</v>
      </c>
      <c r="F873" s="62" t="s">
        <v>814</v>
      </c>
    </row>
    <row r="874" customFormat="false" ht="15" hidden="false" customHeight="false" outlineLevel="0" collapsed="false">
      <c r="A874" s="92" t="str">
        <f aca="false">Gov_Map!$H84&amp;""</f>
        <v>—</v>
      </c>
      <c r="B874" s="65" t="str">
        <f aca="false">IF(A874="","（哨兵：Gov_Map 該列無 SRC_ID）",IF(COUNTIF($A$5:$A$794,A874)&gt;0,"（哨兵：此 SRC_ID 已在上方 SRC 頁，查詢不會命中本列）","（哨兵：SRC 頁查無此 ID）"))</f>
        <v>（哨兵：SRC 頁查無此 ID）</v>
      </c>
      <c r="C874" s="61" t="n">
        <v>84</v>
      </c>
      <c r="D874" s="61" t="s">
        <v>10703</v>
      </c>
      <c r="E874" s="61" t="s">
        <v>10703</v>
      </c>
      <c r="F874" s="62" t="s">
        <v>814</v>
      </c>
    </row>
    <row r="875" customFormat="false" ht="15" hidden="false" customHeight="false" outlineLevel="0" collapsed="false">
      <c r="A875" s="92" t="str">
        <f aca="false">Gov_Map!$H85&amp;""</f>
        <v>—</v>
      </c>
      <c r="B875" s="65" t="str">
        <f aca="false">IF(A875="","（哨兵：Gov_Map 該列無 SRC_ID）",IF(COUNTIF($A$5:$A$794,A875)&gt;0,"（哨兵：此 SRC_ID 已在上方 SRC 頁，查詢不會命中本列）","（哨兵：SRC 頁查無此 ID）"))</f>
        <v>（哨兵：SRC 頁查無此 ID）</v>
      </c>
      <c r="C875" s="61" t="n">
        <v>85</v>
      </c>
      <c r="D875" s="61" t="s">
        <v>10703</v>
      </c>
      <c r="E875" s="61" t="s">
        <v>10703</v>
      </c>
      <c r="F875" s="62" t="s">
        <v>814</v>
      </c>
    </row>
    <row r="876" customFormat="false" ht="15" hidden="false" customHeight="false" outlineLevel="0" collapsed="false">
      <c r="A876" s="92" t="str">
        <f aca="false">Gov_Map!$H86&amp;""</f>
        <v>SRC_HW_005</v>
      </c>
      <c r="B876" s="65" t="str">
        <f aca="false">IF(A876="","（哨兵：Gov_Map 該列無 SRC_ID）",IF(COUNTIF($A$5:$A$794,A876)&gt;0,"（哨兵：此 SRC_ID 已在上方 SRC 頁，查詢不會命中本列）","（哨兵：SRC 頁查無此 ID）"))</f>
        <v>（哨兵：此 SRC_ID 已在上方 SRC 頁，查詢不會命中本列）</v>
      </c>
      <c r="C876" s="61" t="n">
        <v>86</v>
      </c>
      <c r="D876" s="61" t="s">
        <v>10703</v>
      </c>
      <c r="E876" s="61" t="s">
        <v>10703</v>
      </c>
      <c r="F876" s="62" t="s">
        <v>814</v>
      </c>
    </row>
    <row r="877" customFormat="false" ht="15" hidden="false" customHeight="false" outlineLevel="0" collapsed="false">
      <c r="A877" s="92" t="str">
        <f aca="false">Gov_Map!$H87&amp;""</f>
        <v>SRC_HW_012</v>
      </c>
      <c r="B877" s="65" t="str">
        <f aca="false">IF(A877="","（哨兵：Gov_Map 該列無 SRC_ID）",IF(COUNTIF($A$5:$A$794,A877)&gt;0,"（哨兵：此 SRC_ID 已在上方 SRC 頁，查詢不會命中本列）","（哨兵：SRC 頁查無此 ID）"))</f>
        <v>（哨兵：此 SRC_ID 已在上方 SRC 頁，查詢不會命中本列）</v>
      </c>
      <c r="C877" s="61" t="n">
        <v>87</v>
      </c>
      <c r="D877" s="61" t="s">
        <v>10703</v>
      </c>
      <c r="E877" s="61" t="s">
        <v>10703</v>
      </c>
      <c r="F877" s="62" t="s">
        <v>814</v>
      </c>
    </row>
    <row r="878" customFormat="false" ht="15" hidden="false" customHeight="false" outlineLevel="0" collapsed="false">
      <c r="A878" s="92" t="str">
        <f aca="false">Gov_Map!$H88&amp;""</f>
        <v>—</v>
      </c>
      <c r="B878" s="65" t="str">
        <f aca="false">IF(A878="","（哨兵：Gov_Map 該列無 SRC_ID）",IF(COUNTIF($A$5:$A$794,A878)&gt;0,"（哨兵：此 SRC_ID 已在上方 SRC 頁，查詢不會命中本列）","（哨兵：SRC 頁查無此 ID）"))</f>
        <v>（哨兵：SRC 頁查無此 ID）</v>
      </c>
      <c r="C878" s="61" t="n">
        <v>88</v>
      </c>
      <c r="D878" s="61" t="s">
        <v>10703</v>
      </c>
      <c r="E878" s="61" t="s">
        <v>10703</v>
      </c>
      <c r="F878" s="62" t="s">
        <v>814</v>
      </c>
    </row>
    <row r="879" customFormat="false" ht="15" hidden="false" customHeight="false" outlineLevel="0" collapsed="false">
      <c r="A879" s="92" t="str">
        <f aca="false">Gov_Map!$H89&amp;""</f>
        <v>SRC_HW_003</v>
      </c>
      <c r="B879" s="65" t="str">
        <f aca="false">IF(A879="","（哨兵：Gov_Map 該列無 SRC_ID）",IF(COUNTIF($A$5:$A$794,A879)&gt;0,"（哨兵：此 SRC_ID 已在上方 SRC 頁，查詢不會命中本列）","（哨兵：SRC 頁查無此 ID）"))</f>
        <v>（哨兵：此 SRC_ID 已在上方 SRC 頁，查詢不會命中本列）</v>
      </c>
      <c r="C879" s="61" t="n">
        <v>89</v>
      </c>
      <c r="D879" s="61" t="s">
        <v>10703</v>
      </c>
      <c r="E879" s="61" t="s">
        <v>10703</v>
      </c>
      <c r="F879" s="62" t="s">
        <v>814</v>
      </c>
    </row>
    <row r="880" customFormat="false" ht="15" hidden="false" customHeight="false" outlineLevel="0" collapsed="false">
      <c r="A880" s="92" t="str">
        <f aca="false">Gov_Map!$H90&amp;""</f>
        <v>SRC_HW_006</v>
      </c>
      <c r="B880" s="65" t="str">
        <f aca="false">IF(A880="","（哨兵：Gov_Map 該列無 SRC_ID）",IF(COUNTIF($A$5:$A$794,A880)&gt;0,"（哨兵：此 SRC_ID 已在上方 SRC 頁，查詢不會命中本列）","（哨兵：SRC 頁查無此 ID）"))</f>
        <v>（哨兵：此 SRC_ID 已在上方 SRC 頁，查詢不會命中本列）</v>
      </c>
      <c r="C880" s="61" t="n">
        <v>90</v>
      </c>
      <c r="D880" s="61" t="s">
        <v>10703</v>
      </c>
      <c r="E880" s="61" t="s">
        <v>10703</v>
      </c>
      <c r="F880" s="62" t="s">
        <v>814</v>
      </c>
    </row>
    <row r="881" customFormat="false" ht="15" hidden="false" customHeight="false" outlineLevel="0" collapsed="false">
      <c r="A881" s="92" t="str">
        <f aca="false">Gov_Map!$H91&amp;""</f>
        <v>SRC_HW_052</v>
      </c>
      <c r="B881" s="65" t="str">
        <f aca="false">IF(A881="","（哨兵：Gov_Map 該列無 SRC_ID）",IF(COUNTIF($A$5:$A$794,A881)&gt;0,"（哨兵：此 SRC_ID 已在上方 SRC 頁，查詢不會命中本列）","（哨兵：SRC 頁查無此 ID）"))</f>
        <v>（哨兵：此 SRC_ID 已在上方 SRC 頁，查詢不會命中本列）</v>
      </c>
      <c r="C881" s="61" t="n">
        <v>91</v>
      </c>
      <c r="D881" s="61" t="s">
        <v>10703</v>
      </c>
      <c r="E881" s="61" t="s">
        <v>10703</v>
      </c>
      <c r="F881" s="62" t="s">
        <v>814</v>
      </c>
    </row>
    <row r="882" customFormat="false" ht="15" hidden="false" customHeight="false" outlineLevel="0" collapsed="false">
      <c r="A882" s="92" t="str">
        <f aca="false">Gov_Map!$H92&amp;""</f>
        <v>SRC_HW_015</v>
      </c>
      <c r="B882" s="65" t="str">
        <f aca="false">IF(A882="","（哨兵：Gov_Map 該列無 SRC_ID）",IF(COUNTIF($A$5:$A$794,A882)&gt;0,"（哨兵：此 SRC_ID 已在上方 SRC 頁，查詢不會命中本列）","（哨兵：SRC 頁查無此 ID）"))</f>
        <v>（哨兵：此 SRC_ID 已在上方 SRC 頁，查詢不會命中本列）</v>
      </c>
      <c r="C882" s="61" t="n">
        <v>92</v>
      </c>
      <c r="D882" s="61" t="s">
        <v>10703</v>
      </c>
      <c r="E882" s="61" t="s">
        <v>10703</v>
      </c>
      <c r="F882" s="62" t="s">
        <v>814</v>
      </c>
    </row>
    <row r="883" customFormat="false" ht="15" hidden="false" customHeight="false" outlineLevel="0" collapsed="false">
      <c r="A883" s="92" t="str">
        <f aca="false">Gov_Map!$H93&amp;""</f>
        <v>—</v>
      </c>
      <c r="B883" s="65" t="str">
        <f aca="false">IF(A883="","（哨兵：Gov_Map 該列無 SRC_ID）",IF(COUNTIF($A$5:$A$794,A883)&gt;0,"（哨兵：此 SRC_ID 已在上方 SRC 頁，查詢不會命中本列）","（哨兵：SRC 頁查無此 ID）"))</f>
        <v>（哨兵：SRC 頁查無此 ID）</v>
      </c>
      <c r="C883" s="61" t="n">
        <v>93</v>
      </c>
      <c r="D883" s="61" t="s">
        <v>10703</v>
      </c>
      <c r="E883" s="61" t="s">
        <v>10703</v>
      </c>
      <c r="F883" s="62" t="s">
        <v>814</v>
      </c>
    </row>
    <row r="884" customFormat="false" ht="15" hidden="false" customHeight="false" outlineLevel="0" collapsed="false">
      <c r="A884" s="92" t="str">
        <f aca="false">Gov_Map!$H94&amp;""</f>
        <v>SRC_HW_003</v>
      </c>
      <c r="B884" s="65" t="str">
        <f aca="false">IF(A884="","（哨兵：Gov_Map 該列無 SRC_ID）",IF(COUNTIF($A$5:$A$794,A884)&gt;0,"（哨兵：此 SRC_ID 已在上方 SRC 頁，查詢不會命中本列）","（哨兵：SRC 頁查無此 ID）"))</f>
        <v>（哨兵：此 SRC_ID 已在上方 SRC 頁，查詢不會命中本列）</v>
      </c>
      <c r="C884" s="61" t="n">
        <v>94</v>
      </c>
      <c r="D884" s="61" t="s">
        <v>10703</v>
      </c>
      <c r="E884" s="61" t="s">
        <v>10703</v>
      </c>
      <c r="F884" s="62" t="s">
        <v>814</v>
      </c>
    </row>
    <row r="885" customFormat="false" ht="15" hidden="false" customHeight="false" outlineLevel="0" collapsed="false">
      <c r="A885" s="92" t="str">
        <f aca="false">Gov_Map!$H95&amp;""</f>
        <v>SRC_HW_006</v>
      </c>
      <c r="B885" s="65" t="str">
        <f aca="false">IF(A885="","（哨兵：Gov_Map 該列無 SRC_ID）",IF(COUNTIF($A$5:$A$794,A885)&gt;0,"（哨兵：此 SRC_ID 已在上方 SRC 頁，查詢不會命中本列）","（哨兵：SRC 頁查無此 ID）"))</f>
        <v>（哨兵：此 SRC_ID 已在上方 SRC 頁，查詢不會命中本列）</v>
      </c>
      <c r="C885" s="61" t="n">
        <v>95</v>
      </c>
      <c r="D885" s="61" t="s">
        <v>10703</v>
      </c>
      <c r="E885" s="61" t="s">
        <v>10703</v>
      </c>
      <c r="F885" s="62" t="s">
        <v>814</v>
      </c>
    </row>
    <row r="886" customFormat="false" ht="15" hidden="false" customHeight="false" outlineLevel="0" collapsed="false">
      <c r="A886" s="92" t="str">
        <f aca="false">Gov_Map!$H96&amp;""</f>
        <v>SRC_HW_052</v>
      </c>
      <c r="B886" s="65" t="str">
        <f aca="false">IF(A886="","（哨兵：Gov_Map 該列無 SRC_ID）",IF(COUNTIF($A$5:$A$794,A886)&gt;0,"（哨兵：此 SRC_ID 已在上方 SRC 頁，查詢不會命中本列）","（哨兵：SRC 頁查無此 ID）"))</f>
        <v>（哨兵：此 SRC_ID 已在上方 SRC 頁，查詢不會命中本列）</v>
      </c>
      <c r="C886" s="61" t="n">
        <v>96</v>
      </c>
      <c r="D886" s="61" t="s">
        <v>10703</v>
      </c>
      <c r="E886" s="61" t="s">
        <v>10703</v>
      </c>
      <c r="F886" s="62" t="s">
        <v>814</v>
      </c>
    </row>
    <row r="887" customFormat="false" ht="15" hidden="false" customHeight="false" outlineLevel="0" collapsed="false">
      <c r="A887" s="92" t="str">
        <f aca="false">Gov_Map!$H97&amp;""</f>
        <v>SRC_HW_015</v>
      </c>
      <c r="B887" s="65" t="str">
        <f aca="false">IF(A887="","（哨兵：Gov_Map 該列無 SRC_ID）",IF(COUNTIF($A$5:$A$794,A887)&gt;0,"（哨兵：此 SRC_ID 已在上方 SRC 頁，查詢不會命中本列）","（哨兵：SRC 頁查無此 ID）"))</f>
        <v>（哨兵：此 SRC_ID 已在上方 SRC 頁，查詢不會命中本列）</v>
      </c>
      <c r="C887" s="61" t="n">
        <v>97</v>
      </c>
      <c r="D887" s="61" t="s">
        <v>10703</v>
      </c>
      <c r="E887" s="61" t="s">
        <v>10703</v>
      </c>
      <c r="F887" s="62" t="s">
        <v>814</v>
      </c>
    </row>
    <row r="888" customFormat="false" ht="15" hidden="false" customHeight="false" outlineLevel="0" collapsed="false">
      <c r="A888" s="92" t="str">
        <f aca="false">Gov_Map!$H98&amp;""</f>
        <v>—</v>
      </c>
      <c r="B888" s="65" t="str">
        <f aca="false">IF(A888="","（哨兵：Gov_Map 該列無 SRC_ID）",IF(COUNTIF($A$5:$A$794,A888)&gt;0,"（哨兵：此 SRC_ID 已在上方 SRC 頁，查詢不會命中本列）","（哨兵：SRC 頁查無此 ID）"))</f>
        <v>（哨兵：SRC 頁查無此 ID）</v>
      </c>
      <c r="C888" s="61" t="n">
        <v>98</v>
      </c>
      <c r="D888" s="61" t="s">
        <v>10703</v>
      </c>
      <c r="E888" s="61" t="s">
        <v>10703</v>
      </c>
      <c r="F888" s="62" t="s">
        <v>814</v>
      </c>
    </row>
    <row r="889" customFormat="false" ht="15" hidden="false" customHeight="false" outlineLevel="0" collapsed="false">
      <c r="A889" s="92" t="str">
        <f aca="false">Gov_Map!$H99&amp;""</f>
        <v>SRC_HW_003</v>
      </c>
      <c r="B889" s="65" t="str">
        <f aca="false">IF(A889="","（哨兵：Gov_Map 該列無 SRC_ID）",IF(COUNTIF($A$5:$A$794,A889)&gt;0,"（哨兵：此 SRC_ID 已在上方 SRC 頁，查詢不會命中本列）","（哨兵：SRC 頁查無此 ID）"))</f>
        <v>（哨兵：此 SRC_ID 已在上方 SRC 頁，查詢不會命中本列）</v>
      </c>
      <c r="C889" s="61" t="n">
        <v>99</v>
      </c>
      <c r="D889" s="61" t="s">
        <v>10703</v>
      </c>
      <c r="E889" s="61" t="s">
        <v>10703</v>
      </c>
      <c r="F889" s="62" t="s">
        <v>814</v>
      </c>
    </row>
    <row r="890" customFormat="false" ht="15" hidden="false" customHeight="false" outlineLevel="0" collapsed="false">
      <c r="A890" s="92" t="str">
        <f aca="false">Gov_Map!$H100&amp;""</f>
        <v>SRC_HW_006</v>
      </c>
      <c r="B890" s="65" t="str">
        <f aca="false">IF(A890="","（哨兵：Gov_Map 該列無 SRC_ID）",IF(COUNTIF($A$5:$A$794,A890)&gt;0,"（哨兵：此 SRC_ID 已在上方 SRC 頁，查詢不會命中本列）","（哨兵：SRC 頁查無此 ID）"))</f>
        <v>（哨兵：此 SRC_ID 已在上方 SRC 頁，查詢不會命中本列）</v>
      </c>
      <c r="C890" s="61" t="n">
        <v>100</v>
      </c>
      <c r="D890" s="61" t="s">
        <v>10703</v>
      </c>
      <c r="E890" s="61" t="s">
        <v>10703</v>
      </c>
      <c r="F890" s="62" t="s">
        <v>814</v>
      </c>
    </row>
    <row r="891" customFormat="false" ht="15" hidden="false" customHeight="false" outlineLevel="0" collapsed="false">
      <c r="A891" s="92" t="str">
        <f aca="false">Gov_Map!$H101&amp;""</f>
        <v>SRC_HW_010</v>
      </c>
      <c r="B891" s="65" t="str">
        <f aca="false">IF(A891="","（哨兵：Gov_Map 該列無 SRC_ID）",IF(COUNTIF($A$5:$A$794,A891)&gt;0,"（哨兵：此 SRC_ID 已在上方 SRC 頁，查詢不會命中本列）","（哨兵：SRC 頁查無此 ID）"))</f>
        <v>（哨兵：此 SRC_ID 已在上方 SRC 頁，查詢不會命中本列）</v>
      </c>
      <c r="C891" s="61" t="n">
        <v>101</v>
      </c>
      <c r="D891" s="61" t="s">
        <v>10703</v>
      </c>
      <c r="E891" s="61" t="s">
        <v>10703</v>
      </c>
      <c r="F891" s="62" t="s">
        <v>814</v>
      </c>
    </row>
    <row r="892" customFormat="false" ht="15" hidden="false" customHeight="false" outlineLevel="0" collapsed="false">
      <c r="A892" s="92" t="str">
        <f aca="false">Gov_Map!$H102&amp;""</f>
        <v>SRC_HW_017</v>
      </c>
      <c r="B892" s="65" t="str">
        <f aca="false">IF(A892="","（哨兵：Gov_Map 該列無 SRC_ID）",IF(COUNTIF($A$5:$A$794,A892)&gt;0,"（哨兵：此 SRC_ID 已在上方 SRC 頁，查詢不會命中本列）","（哨兵：SRC 頁查無此 ID）"))</f>
        <v>（哨兵：此 SRC_ID 已在上方 SRC 頁，查詢不會命中本列）</v>
      </c>
      <c r="C892" s="61" t="n">
        <v>102</v>
      </c>
      <c r="D892" s="61" t="s">
        <v>10703</v>
      </c>
      <c r="E892" s="61" t="s">
        <v>10703</v>
      </c>
      <c r="F892" s="62" t="s">
        <v>814</v>
      </c>
    </row>
    <row r="893" customFormat="false" ht="15" hidden="false" customHeight="false" outlineLevel="0" collapsed="false">
      <c r="A893" s="92" t="str">
        <f aca="false">Gov_Map!$H103&amp;""</f>
        <v>—</v>
      </c>
      <c r="B893" s="65" t="str">
        <f aca="false">IF(A893="","（哨兵：Gov_Map 該列無 SRC_ID）",IF(COUNTIF($A$5:$A$794,A893)&gt;0,"（哨兵：此 SRC_ID 已在上方 SRC 頁，查詢不會命中本列）","（哨兵：SRC 頁查無此 ID）"))</f>
        <v>（哨兵：SRC 頁查無此 ID）</v>
      </c>
      <c r="C893" s="61" t="n">
        <v>103</v>
      </c>
      <c r="D893" s="61" t="s">
        <v>10703</v>
      </c>
      <c r="E893" s="61" t="s">
        <v>10703</v>
      </c>
      <c r="F893" s="62" t="s">
        <v>814</v>
      </c>
    </row>
    <row r="894" customFormat="false" ht="15" hidden="false" customHeight="false" outlineLevel="0" collapsed="false">
      <c r="A894" s="92" t="str">
        <f aca="false">Gov_Map!$H104&amp;""</f>
        <v>SRC_HW_040</v>
      </c>
      <c r="B894" s="65" t="str">
        <f aca="false">IF(A894="","（哨兵：Gov_Map 該列無 SRC_ID）",IF(COUNTIF($A$5:$A$794,A894)&gt;0,"（哨兵：此 SRC_ID 已在上方 SRC 頁，查詢不會命中本列）","（哨兵：SRC 頁查無此 ID）"))</f>
        <v>（哨兵：此 SRC_ID 已在上方 SRC 頁，查詢不會命中本列）</v>
      </c>
      <c r="C894" s="61" t="n">
        <v>104</v>
      </c>
      <c r="D894" s="61" t="s">
        <v>10703</v>
      </c>
      <c r="E894" s="61" t="s">
        <v>10703</v>
      </c>
      <c r="F894" s="62" t="s">
        <v>814</v>
      </c>
    </row>
    <row r="895" customFormat="false" ht="15" hidden="false" customHeight="false" outlineLevel="0" collapsed="false">
      <c r="A895" s="92" t="str">
        <f aca="false">Gov_Map!$H105&amp;""</f>
        <v>SRC_HW_022</v>
      </c>
      <c r="B895" s="65" t="str">
        <f aca="false">IF(A895="","（哨兵：Gov_Map 該列無 SRC_ID）",IF(COUNTIF($A$5:$A$794,A895)&gt;0,"（哨兵：此 SRC_ID 已在上方 SRC 頁，查詢不會命中本列）","（哨兵：SRC 頁查無此 ID）"))</f>
        <v>（哨兵：此 SRC_ID 已在上方 SRC 頁，查詢不會命中本列）</v>
      </c>
      <c r="C895" s="61" t="n">
        <v>105</v>
      </c>
      <c r="D895" s="61" t="s">
        <v>10703</v>
      </c>
      <c r="E895" s="61" t="s">
        <v>10703</v>
      </c>
      <c r="F895" s="62" t="s">
        <v>814</v>
      </c>
    </row>
    <row r="896" customFormat="false" ht="15" hidden="false" customHeight="false" outlineLevel="0" collapsed="false">
      <c r="A896" s="92" t="str">
        <f aca="false">Gov_Map!$H106&amp;""</f>
        <v>SRC_HW_025</v>
      </c>
      <c r="B896" s="65" t="str">
        <f aca="false">IF(A896="","（哨兵：Gov_Map 該列無 SRC_ID）",IF(COUNTIF($A$5:$A$794,A896)&gt;0,"（哨兵：此 SRC_ID 已在上方 SRC 頁，查詢不會命中本列）","（哨兵：SRC 頁查無此 ID）"))</f>
        <v>（哨兵：此 SRC_ID 已在上方 SRC 頁，查詢不會命中本列）</v>
      </c>
      <c r="C896" s="61" t="n">
        <v>106</v>
      </c>
      <c r="D896" s="61" t="s">
        <v>10703</v>
      </c>
      <c r="E896" s="61" t="s">
        <v>10703</v>
      </c>
      <c r="F896" s="62" t="s">
        <v>814</v>
      </c>
    </row>
    <row r="897" customFormat="false" ht="15" hidden="false" customHeight="false" outlineLevel="0" collapsed="false">
      <c r="A897" s="92" t="str">
        <f aca="false">Gov_Map!$H107&amp;""</f>
        <v>SRC_HW_028</v>
      </c>
      <c r="B897" s="65" t="str">
        <f aca="false">IF(A897="","（哨兵：Gov_Map 該列無 SRC_ID）",IF(COUNTIF($A$5:$A$794,A897)&gt;0,"（哨兵：此 SRC_ID 已在上方 SRC 頁，查詢不會命中本列）","（哨兵：SRC 頁查無此 ID）"))</f>
        <v>（哨兵：此 SRC_ID 已在上方 SRC 頁，查詢不會命中本列）</v>
      </c>
      <c r="C897" s="61" t="n">
        <v>107</v>
      </c>
      <c r="D897" s="61" t="s">
        <v>10703</v>
      </c>
      <c r="E897" s="61" t="s">
        <v>10703</v>
      </c>
      <c r="F897" s="62" t="s">
        <v>814</v>
      </c>
    </row>
    <row r="898" customFormat="false" ht="15" hidden="false" customHeight="false" outlineLevel="0" collapsed="false">
      <c r="A898" s="92" t="str">
        <f aca="false">Gov_Map!$H108&amp;""</f>
        <v>SRC_HW_063</v>
      </c>
      <c r="B898" s="65" t="str">
        <f aca="false">IF(A898="","（哨兵：Gov_Map 該列無 SRC_ID）",IF(COUNTIF($A$5:$A$794,A898)&gt;0,"（哨兵：此 SRC_ID 已在上方 SRC 頁，查詢不會命中本列）","（哨兵：SRC 頁查無此 ID）"))</f>
        <v>（哨兵：此 SRC_ID 已在上方 SRC 頁，查詢不會命中本列）</v>
      </c>
      <c r="C898" s="61" t="n">
        <v>108</v>
      </c>
      <c r="D898" s="61" t="s">
        <v>10703</v>
      </c>
      <c r="E898" s="61" t="s">
        <v>10703</v>
      </c>
      <c r="F898" s="62" t="s">
        <v>814</v>
      </c>
    </row>
    <row r="899" customFormat="false" ht="15" hidden="false" customHeight="false" outlineLevel="0" collapsed="false">
      <c r="A899" s="92" t="str">
        <f aca="false">Gov_Map!$H109&amp;""</f>
        <v>—</v>
      </c>
      <c r="B899" s="65" t="str">
        <f aca="false">IF(A899="","（哨兵：Gov_Map 該列無 SRC_ID）",IF(COUNTIF($A$5:$A$794,A899)&gt;0,"（哨兵：此 SRC_ID 已在上方 SRC 頁，查詢不會命中本列）","（哨兵：SRC 頁查無此 ID）"))</f>
        <v>（哨兵：SRC 頁查無此 ID）</v>
      </c>
      <c r="C899" s="61" t="n">
        <v>109</v>
      </c>
      <c r="D899" s="61" t="s">
        <v>10703</v>
      </c>
      <c r="E899" s="61" t="s">
        <v>10703</v>
      </c>
      <c r="F899" s="62" t="s">
        <v>814</v>
      </c>
    </row>
    <row r="900" customFormat="false" ht="15" hidden="false" customHeight="false" outlineLevel="0" collapsed="false">
      <c r="A900" s="92" t="str">
        <f aca="false">Gov_Map!$H110&amp;""</f>
        <v>SRC_HW_022</v>
      </c>
      <c r="B900" s="65" t="str">
        <f aca="false">IF(A900="","（哨兵：Gov_Map 該列無 SRC_ID）",IF(COUNTIF($A$5:$A$794,A900)&gt;0,"（哨兵：此 SRC_ID 已在上方 SRC 頁，查詢不會命中本列）","（哨兵：SRC 頁查無此 ID）"))</f>
        <v>（哨兵：此 SRC_ID 已在上方 SRC 頁，查詢不會命中本列）</v>
      </c>
      <c r="C900" s="61" t="n">
        <v>110</v>
      </c>
      <c r="D900" s="61" t="s">
        <v>10703</v>
      </c>
      <c r="E900" s="61" t="s">
        <v>10703</v>
      </c>
      <c r="F900" s="62" t="s">
        <v>814</v>
      </c>
    </row>
    <row r="901" customFormat="false" ht="15" hidden="false" customHeight="false" outlineLevel="0" collapsed="false">
      <c r="A901" s="92" t="str">
        <f aca="false">Gov_Map!$H111&amp;""</f>
        <v>SRC_HW_025</v>
      </c>
      <c r="B901" s="65" t="str">
        <f aca="false">IF(A901="","（哨兵：Gov_Map 該列無 SRC_ID）",IF(COUNTIF($A$5:$A$794,A901)&gt;0,"（哨兵：此 SRC_ID 已在上方 SRC 頁，查詢不會命中本列）","（哨兵：SRC 頁查無此 ID）"))</f>
        <v>（哨兵：此 SRC_ID 已在上方 SRC 頁，查詢不會命中本列）</v>
      </c>
      <c r="C901" s="61" t="n">
        <v>111</v>
      </c>
      <c r="D901" s="61" t="s">
        <v>10703</v>
      </c>
      <c r="E901" s="61" t="s">
        <v>10703</v>
      </c>
      <c r="F901" s="62" t="s">
        <v>814</v>
      </c>
    </row>
    <row r="902" customFormat="false" ht="15" hidden="false" customHeight="false" outlineLevel="0" collapsed="false">
      <c r="A902" s="92" t="str">
        <f aca="false">Gov_Map!$H112&amp;""</f>
        <v>SRC_HW_027</v>
      </c>
      <c r="B902" s="65" t="str">
        <f aca="false">IF(A902="","（哨兵：Gov_Map 該列無 SRC_ID）",IF(COUNTIF($A$5:$A$794,A902)&gt;0,"（哨兵：此 SRC_ID 已在上方 SRC 頁，查詢不會命中本列）","（哨兵：SRC 頁查無此 ID）"))</f>
        <v>（哨兵：此 SRC_ID 已在上方 SRC 頁，查詢不會命中本列）</v>
      </c>
      <c r="C902" s="61" t="n">
        <v>112</v>
      </c>
      <c r="D902" s="61" t="s">
        <v>10703</v>
      </c>
      <c r="E902" s="61" t="s">
        <v>10703</v>
      </c>
      <c r="F902" s="62" t="s">
        <v>814</v>
      </c>
    </row>
    <row r="903" customFormat="false" ht="15" hidden="false" customHeight="false" outlineLevel="0" collapsed="false">
      <c r="A903" s="92" t="str">
        <f aca="false">Gov_Map!$H113&amp;""</f>
        <v>SRC_HW_063</v>
      </c>
      <c r="B903" s="65" t="str">
        <f aca="false">IF(A903="","（哨兵：Gov_Map 該列無 SRC_ID）",IF(COUNTIF($A$5:$A$794,A903)&gt;0,"（哨兵：此 SRC_ID 已在上方 SRC 頁，查詢不會命中本列）","（哨兵：SRC 頁查無此 ID）"))</f>
        <v>（哨兵：此 SRC_ID 已在上方 SRC 頁，查詢不會命中本列）</v>
      </c>
      <c r="C903" s="61" t="n">
        <v>113</v>
      </c>
      <c r="D903" s="61" t="s">
        <v>10703</v>
      </c>
      <c r="E903" s="61" t="s">
        <v>10703</v>
      </c>
      <c r="F903" s="62" t="s">
        <v>814</v>
      </c>
    </row>
    <row r="904" customFormat="false" ht="15" hidden="false" customHeight="false" outlineLevel="0" collapsed="false">
      <c r="A904" s="92" t="str">
        <f aca="false">Gov_Map!$H114&amp;""</f>
        <v>SRC_HW_020</v>
      </c>
      <c r="B904" s="65" t="str">
        <f aca="false">IF(A904="","（哨兵：Gov_Map 該列無 SRC_ID）",IF(COUNTIF($A$5:$A$794,A904)&gt;0,"（哨兵：此 SRC_ID 已在上方 SRC 頁，查詢不會命中本列）","（哨兵：SRC 頁查無此 ID）"))</f>
        <v>（哨兵：此 SRC_ID 已在上方 SRC 頁，查詢不會命中本列）</v>
      </c>
      <c r="C904" s="61" t="n">
        <v>114</v>
      </c>
      <c r="D904" s="61" t="s">
        <v>10703</v>
      </c>
      <c r="E904" s="61" t="s">
        <v>10703</v>
      </c>
      <c r="F904" s="62" t="s">
        <v>814</v>
      </c>
    </row>
    <row r="905" customFormat="false" ht="15" hidden="false" customHeight="false" outlineLevel="0" collapsed="false">
      <c r="A905" s="92" t="str">
        <f aca="false">Gov_Map!$H115&amp;""</f>
        <v>SRC_HW_041</v>
      </c>
      <c r="B905" s="65" t="str">
        <f aca="false">IF(A905="","（哨兵：Gov_Map 該列無 SRC_ID）",IF(COUNTIF($A$5:$A$794,A905)&gt;0,"（哨兵：此 SRC_ID 已在上方 SRC 頁，查詢不會命中本列）","（哨兵：SRC 頁查無此 ID）"))</f>
        <v>（哨兵：此 SRC_ID 已在上方 SRC 頁，查詢不會命中本列）</v>
      </c>
      <c r="C905" s="61" t="n">
        <v>115</v>
      </c>
      <c r="D905" s="61" t="s">
        <v>10703</v>
      </c>
      <c r="E905" s="61" t="s">
        <v>10703</v>
      </c>
      <c r="F905" s="62" t="s">
        <v>814</v>
      </c>
    </row>
    <row r="906" customFormat="false" ht="15" hidden="false" customHeight="false" outlineLevel="0" collapsed="false">
      <c r="A906" s="92" t="str">
        <f aca="false">Gov_Map!$H116&amp;""</f>
        <v>SRC_HW_026</v>
      </c>
      <c r="B906" s="65" t="str">
        <f aca="false">IF(A906="","（哨兵：Gov_Map 該列無 SRC_ID）",IF(COUNTIF($A$5:$A$794,A906)&gt;0,"（哨兵：此 SRC_ID 已在上方 SRC 頁，查詢不會命中本列）","（哨兵：SRC 頁查無此 ID）"))</f>
        <v>（哨兵：此 SRC_ID 已在上方 SRC 頁，查詢不會命中本列）</v>
      </c>
      <c r="C906" s="61" t="n">
        <v>116</v>
      </c>
      <c r="D906" s="61" t="s">
        <v>10703</v>
      </c>
      <c r="E906" s="61" t="s">
        <v>10703</v>
      </c>
      <c r="F906" s="62" t="s">
        <v>814</v>
      </c>
    </row>
    <row r="907" customFormat="false" ht="15" hidden="false" customHeight="false" outlineLevel="0" collapsed="false">
      <c r="A907" s="92" t="str">
        <f aca="false">Gov_Map!$H117&amp;""</f>
        <v>SRC_HW_029</v>
      </c>
      <c r="B907" s="65" t="str">
        <f aca="false">IF(A907="","（哨兵：Gov_Map 該列無 SRC_ID）",IF(COUNTIF($A$5:$A$794,A907)&gt;0,"（哨兵：此 SRC_ID 已在上方 SRC 頁，查詢不會命中本列）","（哨兵：SRC 頁查無此 ID）"))</f>
        <v>（哨兵：此 SRC_ID 已在上方 SRC 頁，查詢不會命中本列）</v>
      </c>
      <c r="C907" s="61" t="n">
        <v>117</v>
      </c>
      <c r="D907" s="61" t="s">
        <v>10703</v>
      </c>
      <c r="E907" s="61" t="s">
        <v>10703</v>
      </c>
      <c r="F907" s="62" t="s">
        <v>814</v>
      </c>
    </row>
    <row r="908" customFormat="false" ht="15" hidden="false" customHeight="false" outlineLevel="0" collapsed="false">
      <c r="A908" s="92" t="str">
        <f aca="false">Gov_Map!$H118&amp;""</f>
        <v>—</v>
      </c>
      <c r="B908" s="65" t="str">
        <f aca="false">IF(A908="","（哨兵：Gov_Map 該列無 SRC_ID）",IF(COUNTIF($A$5:$A$794,A908)&gt;0,"（哨兵：此 SRC_ID 已在上方 SRC 頁，查詢不會命中本列）","（哨兵：SRC 頁查無此 ID）"))</f>
        <v>（哨兵：SRC 頁查無此 ID）</v>
      </c>
      <c r="C908" s="61" t="n">
        <v>118</v>
      </c>
      <c r="D908" s="61" t="s">
        <v>10703</v>
      </c>
      <c r="E908" s="61" t="s">
        <v>10703</v>
      </c>
      <c r="F908" s="62" t="s">
        <v>814</v>
      </c>
    </row>
    <row r="909" customFormat="false" ht="15" hidden="false" customHeight="false" outlineLevel="0" collapsed="false">
      <c r="A909" s="92" t="str">
        <f aca="false">Gov_Map!$H119&amp;""</f>
        <v>SRC_HW_021</v>
      </c>
      <c r="B909" s="65" t="str">
        <f aca="false">IF(A909="","（哨兵：Gov_Map 該列無 SRC_ID）",IF(COUNTIF($A$5:$A$794,A909)&gt;0,"（哨兵：此 SRC_ID 已在上方 SRC 頁，查詢不會命中本列）","（哨兵：SRC 頁查無此 ID）"))</f>
        <v>（哨兵：此 SRC_ID 已在上方 SRC 頁，查詢不會命中本列）</v>
      </c>
      <c r="C909" s="61" t="n">
        <v>119</v>
      </c>
      <c r="D909" s="61" t="s">
        <v>10703</v>
      </c>
      <c r="E909" s="61" t="s">
        <v>10703</v>
      </c>
      <c r="F909" s="62" t="s">
        <v>814</v>
      </c>
    </row>
    <row r="910" customFormat="false" ht="15" hidden="false" customHeight="false" outlineLevel="0" collapsed="false">
      <c r="A910" s="92" t="str">
        <f aca="false">Gov_Map!$H120&amp;""</f>
        <v>SRC_HW_023</v>
      </c>
      <c r="B910" s="65" t="str">
        <f aca="false">IF(A910="","（哨兵：Gov_Map 該列無 SRC_ID）",IF(COUNTIF($A$5:$A$794,A910)&gt;0,"（哨兵：此 SRC_ID 已在上方 SRC 頁，查詢不會命中本列）","（哨兵：SRC 頁查無此 ID）"))</f>
        <v>（哨兵：此 SRC_ID 已在上方 SRC 頁，查詢不會命中本列）</v>
      </c>
      <c r="C910" s="61" t="n">
        <v>120</v>
      </c>
      <c r="D910" s="61" t="s">
        <v>10703</v>
      </c>
      <c r="E910" s="61" t="s">
        <v>10703</v>
      </c>
      <c r="F910" s="62" t="s">
        <v>814</v>
      </c>
    </row>
    <row r="911" customFormat="false" ht="15" hidden="false" customHeight="false" outlineLevel="0" collapsed="false">
      <c r="A911" s="92" t="str">
        <f aca="false">Gov_Map!$H121&amp;""</f>
        <v>SRC_HW_059</v>
      </c>
      <c r="B911" s="65" t="str">
        <f aca="false">IF(A911="","（哨兵：Gov_Map 該列無 SRC_ID）",IF(COUNTIF($A$5:$A$794,A911)&gt;0,"（哨兵：此 SRC_ID 已在上方 SRC 頁，查詢不會命中本列）","（哨兵：SRC 頁查無此 ID）"))</f>
        <v>（哨兵：此 SRC_ID 已在上方 SRC 頁，查詢不會命中本列）</v>
      </c>
      <c r="C911" s="61" t="n">
        <v>121</v>
      </c>
      <c r="D911" s="61" t="s">
        <v>10703</v>
      </c>
      <c r="E911" s="61" t="s">
        <v>10703</v>
      </c>
      <c r="F911" s="62" t="s">
        <v>814</v>
      </c>
    </row>
    <row r="912" customFormat="false" ht="15" hidden="false" customHeight="false" outlineLevel="0" collapsed="false">
      <c r="A912" s="92" t="str">
        <f aca="false">Gov_Map!$H122&amp;""</f>
        <v>SRC_HW_030</v>
      </c>
      <c r="B912" s="65" t="str">
        <f aca="false">IF(A912="","（哨兵：Gov_Map 該列無 SRC_ID）",IF(COUNTIF($A$5:$A$794,A912)&gt;0,"（哨兵：此 SRC_ID 已在上方 SRC 頁，查詢不會命中本列）","（哨兵：SRC 頁查無此 ID）"))</f>
        <v>（哨兵：此 SRC_ID 已在上方 SRC 頁，查詢不會命中本列）</v>
      </c>
      <c r="C912" s="61" t="n">
        <v>122</v>
      </c>
      <c r="D912" s="61" t="s">
        <v>10703</v>
      </c>
      <c r="E912" s="61" t="s">
        <v>10703</v>
      </c>
      <c r="F912" s="62" t="s">
        <v>814</v>
      </c>
    </row>
    <row r="913" customFormat="false" ht="15" hidden="false" customHeight="false" outlineLevel="0" collapsed="false">
      <c r="A913" s="92" t="str">
        <f aca="false">Gov_Map!$H123&amp;""</f>
        <v>SRC_HW_044</v>
      </c>
      <c r="B913" s="65" t="str">
        <f aca="false">IF(A913="","（哨兵：Gov_Map 該列無 SRC_ID）",IF(COUNTIF($A$5:$A$794,A913)&gt;0,"（哨兵：此 SRC_ID 已在上方 SRC 頁，查詢不會命中本列）","（哨兵：SRC 頁查無此 ID）"))</f>
        <v>（哨兵：此 SRC_ID 已在上方 SRC 頁，查詢不會命中本列）</v>
      </c>
      <c r="C913" s="61" t="n">
        <v>123</v>
      </c>
      <c r="D913" s="61" t="s">
        <v>10703</v>
      </c>
      <c r="E913" s="61" t="s">
        <v>10703</v>
      </c>
      <c r="F913" s="62" t="s">
        <v>814</v>
      </c>
    </row>
    <row r="914" customFormat="false" ht="15" hidden="false" customHeight="false" outlineLevel="0" collapsed="false">
      <c r="A914" s="92" t="str">
        <f aca="false">Gov_Map!$H124&amp;""</f>
        <v>SRC_HW_060</v>
      </c>
      <c r="B914" s="65" t="str">
        <f aca="false">IF(A914="","（哨兵：Gov_Map 該列無 SRC_ID）",IF(COUNTIF($A$5:$A$794,A914)&gt;0,"（哨兵：此 SRC_ID 已在上方 SRC 頁，查詢不會命中本列）","（哨兵：SRC 頁查無此 ID）"))</f>
        <v>（哨兵：此 SRC_ID 已在上方 SRC 頁，查詢不會命中本列）</v>
      </c>
      <c r="C914" s="61" t="n">
        <v>124</v>
      </c>
      <c r="D914" s="61" t="s">
        <v>10703</v>
      </c>
      <c r="E914" s="61" t="s">
        <v>10703</v>
      </c>
      <c r="F914" s="62" t="s">
        <v>814</v>
      </c>
    </row>
    <row r="915" customFormat="false" ht="15" hidden="false" customHeight="false" outlineLevel="0" collapsed="false">
      <c r="A915" s="92" t="str">
        <f aca="false">Gov_Map!$H125&amp;""</f>
        <v>SRC_HW_048</v>
      </c>
      <c r="B915" s="65" t="str">
        <f aca="false">IF(A915="","（哨兵：Gov_Map 該列無 SRC_ID）",IF(COUNTIF($A$5:$A$794,A915)&gt;0,"（哨兵：此 SRC_ID 已在上方 SRC 頁，查詢不會命中本列）","（哨兵：SRC 頁查無此 ID）"))</f>
        <v>（哨兵：此 SRC_ID 已在上方 SRC 頁，查詢不會命中本列）</v>
      </c>
      <c r="C915" s="61" t="n">
        <v>125</v>
      </c>
      <c r="D915" s="61" t="s">
        <v>10703</v>
      </c>
      <c r="E915" s="61" t="s">
        <v>10703</v>
      </c>
      <c r="F915" s="62" t="s">
        <v>814</v>
      </c>
    </row>
    <row r="916" customFormat="false" ht="15" hidden="false" customHeight="false" outlineLevel="0" collapsed="false">
      <c r="A916" s="92" t="str">
        <f aca="false">Gov_Map!$H126&amp;""</f>
        <v>SRC_HW_048</v>
      </c>
      <c r="B916" s="65" t="str">
        <f aca="false">IF(A916="","（哨兵：Gov_Map 該列無 SRC_ID）",IF(COUNTIF($A$5:$A$794,A916)&gt;0,"（哨兵：此 SRC_ID 已在上方 SRC 頁，查詢不會命中本列）","（哨兵：SRC 頁查無此 ID）"))</f>
        <v>（哨兵：此 SRC_ID 已在上方 SRC 頁，查詢不會命中本列）</v>
      </c>
      <c r="C916" s="61" t="n">
        <v>126</v>
      </c>
      <c r="D916" s="61" t="s">
        <v>10703</v>
      </c>
      <c r="E916" s="61" t="s">
        <v>10703</v>
      </c>
      <c r="F916" s="62" t="s">
        <v>814</v>
      </c>
    </row>
    <row r="917" customFormat="false" ht="15" hidden="false" customHeight="false" outlineLevel="0" collapsed="false">
      <c r="A917" s="92" t="str">
        <f aca="false">Gov_Map!$H127&amp;""</f>
        <v>SRC_HW_049</v>
      </c>
      <c r="B917" s="65" t="str">
        <f aca="false">IF(A917="","（哨兵：Gov_Map 該列無 SRC_ID）",IF(COUNTIF($A$5:$A$794,A917)&gt;0,"（哨兵：此 SRC_ID 已在上方 SRC 頁，查詢不會命中本列）","（哨兵：SRC 頁查無此 ID）"))</f>
        <v>（哨兵：此 SRC_ID 已在上方 SRC 頁，查詢不會命中本列）</v>
      </c>
      <c r="C917" s="61" t="n">
        <v>127</v>
      </c>
      <c r="D917" s="61" t="s">
        <v>10703</v>
      </c>
      <c r="E917" s="61" t="s">
        <v>10703</v>
      </c>
      <c r="F917" s="62" t="s">
        <v>814</v>
      </c>
    </row>
    <row r="918" customFormat="false" ht="15" hidden="false" customHeight="false" outlineLevel="0" collapsed="false">
      <c r="A918" s="92" t="str">
        <f aca="false">Gov_Map!$H128&amp;""</f>
        <v>—</v>
      </c>
      <c r="B918" s="65" t="str">
        <f aca="false">IF(A918="","（哨兵：Gov_Map 該列無 SRC_ID）",IF(COUNTIF($A$5:$A$794,A918)&gt;0,"（哨兵：此 SRC_ID 已在上方 SRC 頁，查詢不會命中本列）","（哨兵：SRC 頁查無此 ID）"))</f>
        <v>（哨兵：SRC 頁查無此 ID）</v>
      </c>
      <c r="C918" s="61" t="n">
        <v>128</v>
      </c>
      <c r="D918" s="61" t="s">
        <v>10703</v>
      </c>
      <c r="E918" s="61" t="s">
        <v>10703</v>
      </c>
      <c r="F918" s="62" t="s">
        <v>814</v>
      </c>
    </row>
    <row r="919" customFormat="false" ht="15" hidden="false" customHeight="false" outlineLevel="0" collapsed="false">
      <c r="A919" s="92" t="str">
        <f aca="false">Gov_Map!$H129&amp;""</f>
        <v>SRC_HW_053</v>
      </c>
      <c r="B919" s="65" t="str">
        <f aca="false">IF(A919="","（哨兵：Gov_Map 該列無 SRC_ID）",IF(COUNTIF($A$5:$A$794,A919)&gt;0,"（哨兵：此 SRC_ID 已在上方 SRC 頁，查詢不會命中本列）","（哨兵：SRC 頁查無此 ID）"))</f>
        <v>（哨兵：此 SRC_ID 已在上方 SRC 頁，查詢不會命中本列）</v>
      </c>
      <c r="C919" s="61" t="n">
        <v>129</v>
      </c>
      <c r="D919" s="61" t="s">
        <v>10703</v>
      </c>
      <c r="E919" s="61" t="s">
        <v>10703</v>
      </c>
      <c r="F919" s="62" t="s">
        <v>814</v>
      </c>
    </row>
    <row r="920" customFormat="false" ht="15" hidden="false" customHeight="false" outlineLevel="0" collapsed="false">
      <c r="A920" s="92" t="str">
        <f aca="false">Gov_Map!$H130&amp;""</f>
        <v>SRC_HW_047</v>
      </c>
      <c r="B920" s="65" t="str">
        <f aca="false">IF(A920="","（哨兵：Gov_Map 該列無 SRC_ID）",IF(COUNTIF($A$5:$A$794,A920)&gt;0,"（哨兵：此 SRC_ID 已在上方 SRC 頁，查詢不會命中本列）","（哨兵：SRC 頁查無此 ID）"))</f>
        <v>（哨兵：此 SRC_ID 已在上方 SRC 頁，查詢不會命中本列）</v>
      </c>
      <c r="C920" s="61" t="n">
        <v>130</v>
      </c>
      <c r="D920" s="61" t="s">
        <v>10703</v>
      </c>
      <c r="E920" s="61" t="s">
        <v>10703</v>
      </c>
      <c r="F920" s="62" t="s">
        <v>814</v>
      </c>
    </row>
    <row r="921" customFormat="false" ht="15" hidden="false" customHeight="false" outlineLevel="0" collapsed="false">
      <c r="A921" s="92" t="str">
        <f aca="false">Gov_Map!$H131&amp;""</f>
        <v>SRC_HW_047</v>
      </c>
      <c r="B921" s="65" t="str">
        <f aca="false">IF(A921="","（哨兵：Gov_Map 該列無 SRC_ID）",IF(COUNTIF($A$5:$A$794,A921)&gt;0,"（哨兵：此 SRC_ID 已在上方 SRC 頁，查詢不會命中本列）","（哨兵：SRC 頁查無此 ID）"))</f>
        <v>（哨兵：此 SRC_ID 已在上方 SRC 頁，查詢不會命中本列）</v>
      </c>
      <c r="C921" s="61" t="n">
        <v>131</v>
      </c>
      <c r="D921" s="61" t="s">
        <v>10703</v>
      </c>
      <c r="E921" s="61" t="s">
        <v>10703</v>
      </c>
      <c r="F921" s="62" t="s">
        <v>814</v>
      </c>
    </row>
    <row r="922" customFormat="false" ht="15" hidden="false" customHeight="false" outlineLevel="0" collapsed="false">
      <c r="A922" s="92" t="str">
        <f aca="false">Gov_Map!$H132&amp;""</f>
        <v>SRC_HW_047</v>
      </c>
      <c r="B922" s="65" t="str">
        <f aca="false">IF(A922="","（哨兵：Gov_Map 該列無 SRC_ID）",IF(COUNTIF($A$5:$A$794,A922)&gt;0,"（哨兵：此 SRC_ID 已在上方 SRC 頁，查詢不會命中本列）","（哨兵：SRC 頁查無此 ID）"))</f>
        <v>（哨兵：此 SRC_ID 已在上方 SRC 頁，查詢不會命中本列）</v>
      </c>
      <c r="C922" s="61" t="n">
        <v>132</v>
      </c>
      <c r="D922" s="61" t="s">
        <v>10703</v>
      </c>
      <c r="E922" s="61" t="s">
        <v>10703</v>
      </c>
      <c r="F922" s="62" t="s">
        <v>814</v>
      </c>
    </row>
    <row r="923" customFormat="false" ht="15" hidden="false" customHeight="false" outlineLevel="0" collapsed="false">
      <c r="A923" s="92" t="str">
        <f aca="false">Gov_Map!$H133&amp;""</f>
        <v>SRC_HW_062</v>
      </c>
      <c r="B923" s="65" t="str">
        <f aca="false">IF(A923="","（哨兵：Gov_Map 該列無 SRC_ID）",IF(COUNTIF($A$5:$A$794,A923)&gt;0,"（哨兵：此 SRC_ID 已在上方 SRC 頁，查詢不會命中本列）","（哨兵：SRC 頁查無此 ID）"))</f>
        <v>（哨兵：此 SRC_ID 已在上方 SRC 頁，查詢不會命中本列）</v>
      </c>
      <c r="C923" s="61" t="n">
        <v>133</v>
      </c>
      <c r="D923" s="61" t="s">
        <v>10703</v>
      </c>
      <c r="E923" s="61" t="s">
        <v>10703</v>
      </c>
      <c r="F923" s="62" t="s">
        <v>814</v>
      </c>
    </row>
    <row r="924" customFormat="false" ht="15" hidden="false" customHeight="false" outlineLevel="0" collapsed="false">
      <c r="A924" s="92" t="str">
        <f aca="false">Gov_Map!$H134&amp;""</f>
        <v>SRC_PERF_051</v>
      </c>
      <c r="B924" s="65" t="str">
        <f aca="false">IF(A924="","（哨兵：Gov_Map 該列無 SRC_ID）",IF(COUNTIF($A$5:$A$794,A924)&gt;0,"（哨兵：此 SRC_ID 已在上方 SRC 頁，查詢不會命中本列）","（哨兵：SRC 頁查無此 ID）"))</f>
        <v>（哨兵：此 SRC_ID 已在上方 SRC 頁，查詢不會命中本列）</v>
      </c>
      <c r="C924" s="61" t="n">
        <v>134</v>
      </c>
      <c r="D924" s="61" t="s">
        <v>10703</v>
      </c>
      <c r="E924" s="61" t="s">
        <v>10703</v>
      </c>
      <c r="F924" s="62" t="s">
        <v>814</v>
      </c>
    </row>
    <row r="925" customFormat="false" ht="15" hidden="false" customHeight="false" outlineLevel="0" collapsed="false">
      <c r="A925" s="92" t="str">
        <f aca="false">Gov_Map!$H135&amp;""</f>
        <v>SRC_PERF_008</v>
      </c>
      <c r="B925" s="65" t="str">
        <f aca="false">IF(A925="","（哨兵：Gov_Map 該列無 SRC_ID）",IF(COUNTIF($A$5:$A$794,A925)&gt;0,"（哨兵：此 SRC_ID 已在上方 SRC 頁，查詢不會命中本列）","（哨兵：SRC 頁查無此 ID）"))</f>
        <v>（哨兵：此 SRC_ID 已在上方 SRC 頁，查詢不會命中本列）</v>
      </c>
      <c r="C925" s="61" t="n">
        <v>135</v>
      </c>
      <c r="D925" s="61" t="s">
        <v>10703</v>
      </c>
      <c r="E925" s="61" t="s">
        <v>10703</v>
      </c>
      <c r="F925" s="62" t="s">
        <v>814</v>
      </c>
    </row>
    <row r="926" customFormat="false" ht="15" hidden="false" customHeight="false" outlineLevel="0" collapsed="false">
      <c r="A926" s="92" t="str">
        <f aca="false">Gov_Map!$H136&amp;""</f>
        <v>SRC_PERF_008</v>
      </c>
      <c r="B926" s="65" t="str">
        <f aca="false">IF(A926="","（哨兵：Gov_Map 該列無 SRC_ID）",IF(COUNTIF($A$5:$A$794,A926)&gt;0,"（哨兵：此 SRC_ID 已在上方 SRC 頁，查詢不會命中本列）","（哨兵：SRC 頁查無此 ID）"))</f>
        <v>（哨兵：此 SRC_ID 已在上方 SRC 頁，查詢不會命中本列）</v>
      </c>
      <c r="C926" s="61" t="n">
        <v>136</v>
      </c>
      <c r="D926" s="61" t="s">
        <v>10703</v>
      </c>
      <c r="E926" s="61" t="s">
        <v>10703</v>
      </c>
      <c r="F926" s="62" t="s">
        <v>814</v>
      </c>
    </row>
    <row r="927" customFormat="false" ht="15" hidden="false" customHeight="false" outlineLevel="0" collapsed="false">
      <c r="A927" s="92" t="str">
        <f aca="false">Gov_Map!$H137&amp;""</f>
        <v>SRC_PERF_008</v>
      </c>
      <c r="B927" s="65" t="str">
        <f aca="false">IF(A927="","（哨兵：Gov_Map 該列無 SRC_ID）",IF(COUNTIF($A$5:$A$794,A927)&gt;0,"（哨兵：此 SRC_ID 已在上方 SRC 頁，查詢不會命中本列）","（哨兵：SRC 頁查無此 ID）"))</f>
        <v>（哨兵：此 SRC_ID 已在上方 SRC 頁，查詢不會命中本列）</v>
      </c>
      <c r="C927" s="61" t="n">
        <v>137</v>
      </c>
      <c r="D927" s="61" t="s">
        <v>10703</v>
      </c>
      <c r="E927" s="61" t="s">
        <v>10703</v>
      </c>
      <c r="F927" s="62" t="s">
        <v>814</v>
      </c>
    </row>
    <row r="928" customFormat="false" ht="15" hidden="false" customHeight="false" outlineLevel="0" collapsed="false">
      <c r="A928" s="92" t="str">
        <f aca="false">Gov_Map!$H138&amp;""</f>
        <v>—</v>
      </c>
      <c r="B928" s="65" t="str">
        <f aca="false">IF(A928="","（哨兵：Gov_Map 該列無 SRC_ID）",IF(COUNTIF($A$5:$A$794,A928)&gt;0,"（哨兵：此 SRC_ID 已在上方 SRC 頁，查詢不會命中本列）","（哨兵：SRC 頁查無此 ID）"))</f>
        <v>（哨兵：SRC 頁查無此 ID）</v>
      </c>
      <c r="C928" s="61" t="n">
        <v>138</v>
      </c>
      <c r="D928" s="61" t="s">
        <v>10703</v>
      </c>
      <c r="E928" s="61" t="s">
        <v>10703</v>
      </c>
      <c r="F928" s="62" t="s">
        <v>814</v>
      </c>
    </row>
    <row r="929" customFormat="false" ht="15" hidden="false" customHeight="false" outlineLevel="0" collapsed="false">
      <c r="A929" s="92" t="str">
        <f aca="false">Gov_Map!$H139&amp;""</f>
        <v>SRC_HW_055</v>
      </c>
      <c r="B929" s="65" t="str">
        <f aca="false">IF(A929="","（哨兵：Gov_Map 該列無 SRC_ID）",IF(COUNTIF($A$5:$A$794,A929)&gt;0,"（哨兵：此 SRC_ID 已在上方 SRC 頁，查詢不會命中本列）","（哨兵：SRC 頁查無此 ID）"))</f>
        <v>（哨兵：此 SRC_ID 已在上方 SRC 頁，查詢不會命中本列）</v>
      </c>
      <c r="C929" s="61" t="n">
        <v>139</v>
      </c>
      <c r="D929" s="61" t="s">
        <v>10703</v>
      </c>
      <c r="E929" s="61" t="s">
        <v>10703</v>
      </c>
      <c r="F929" s="62" t="s">
        <v>814</v>
      </c>
    </row>
    <row r="930" customFormat="false" ht="15" hidden="false" customHeight="false" outlineLevel="0" collapsed="false">
      <c r="A930" s="92" t="str">
        <f aca="false">Gov_Map!$H140&amp;""</f>
        <v>SRC_HW_050</v>
      </c>
      <c r="B930" s="65" t="str">
        <f aca="false">IF(A930="","（哨兵：Gov_Map 該列無 SRC_ID）",IF(COUNTIF($A$5:$A$794,A930)&gt;0,"（哨兵：此 SRC_ID 已在上方 SRC 頁，查詢不會命中本列）","（哨兵：SRC 頁查無此 ID）"))</f>
        <v>（哨兵：此 SRC_ID 已在上方 SRC 頁，查詢不會命中本列）</v>
      </c>
      <c r="C930" s="61" t="n">
        <v>140</v>
      </c>
      <c r="D930" s="61" t="s">
        <v>10703</v>
      </c>
      <c r="E930" s="61" t="s">
        <v>10703</v>
      </c>
      <c r="F930" s="62" t="s">
        <v>814</v>
      </c>
    </row>
    <row r="931" customFormat="false" ht="15" hidden="false" customHeight="false" outlineLevel="0" collapsed="false">
      <c r="A931" s="92" t="str">
        <f aca="false">Gov_Map!$H141&amp;""</f>
        <v>SRC_HW_050</v>
      </c>
      <c r="B931" s="65" t="str">
        <f aca="false">IF(A931="","（哨兵：Gov_Map 該列無 SRC_ID）",IF(COUNTIF($A$5:$A$794,A931)&gt;0,"（哨兵：此 SRC_ID 已在上方 SRC 頁，查詢不會命中本列）","（哨兵：SRC 頁查無此 ID）"))</f>
        <v>（哨兵：此 SRC_ID 已在上方 SRC 頁，查詢不會命中本列）</v>
      </c>
      <c r="C931" s="61" t="n">
        <v>141</v>
      </c>
      <c r="D931" s="61" t="s">
        <v>10703</v>
      </c>
      <c r="E931" s="61" t="s">
        <v>10703</v>
      </c>
      <c r="F931" s="62" t="s">
        <v>814</v>
      </c>
    </row>
    <row r="932" customFormat="false" ht="15" hidden="false" customHeight="false" outlineLevel="0" collapsed="false">
      <c r="A932" s="92" t="str">
        <f aca="false">Gov_Map!$H142&amp;""</f>
        <v>SRC_HW_050</v>
      </c>
      <c r="B932" s="65" t="str">
        <f aca="false">IF(A932="","（哨兵：Gov_Map 該列無 SRC_ID）",IF(COUNTIF($A$5:$A$794,A932)&gt;0,"（哨兵：此 SRC_ID 已在上方 SRC 頁，查詢不會命中本列）","（哨兵：SRC 頁查無此 ID）"))</f>
        <v>（哨兵：此 SRC_ID 已在上方 SRC 頁，查詢不會命中本列）</v>
      </c>
      <c r="C932" s="61" t="n">
        <v>142</v>
      </c>
      <c r="D932" s="61" t="s">
        <v>10703</v>
      </c>
      <c r="E932" s="61" t="s">
        <v>10703</v>
      </c>
      <c r="F932" s="62" t="s">
        <v>814</v>
      </c>
    </row>
    <row r="933" customFormat="false" ht="15" hidden="false" customHeight="false" outlineLevel="0" collapsed="false">
      <c r="A933" s="92" t="str">
        <f aca="false">Gov_Map!$H143&amp;""</f>
        <v>SRC_HW_050</v>
      </c>
      <c r="B933" s="65" t="str">
        <f aca="false">IF(A933="","（哨兵：Gov_Map 該列無 SRC_ID）",IF(COUNTIF($A$5:$A$794,A933)&gt;0,"（哨兵：此 SRC_ID 已在上方 SRC 頁，查詢不會命中本列）","（哨兵：SRC 頁查無此 ID）"))</f>
        <v>（哨兵：此 SRC_ID 已在上方 SRC 頁，查詢不會命中本列）</v>
      </c>
      <c r="C933" s="61" t="n">
        <v>143</v>
      </c>
      <c r="D933" s="61" t="s">
        <v>10703</v>
      </c>
      <c r="E933" s="61" t="s">
        <v>10703</v>
      </c>
      <c r="F933" s="62" t="s">
        <v>814</v>
      </c>
    </row>
    <row r="934" customFormat="false" ht="15" hidden="false" customHeight="false" outlineLevel="0" collapsed="false">
      <c r="A934" s="92" t="str">
        <f aca="false">Gov_Map!$H144&amp;""</f>
        <v>—</v>
      </c>
      <c r="B934" s="65" t="str">
        <f aca="false">IF(A934="","（哨兵：Gov_Map 該列無 SRC_ID）",IF(COUNTIF($A$5:$A$794,A934)&gt;0,"（哨兵：此 SRC_ID 已在上方 SRC 頁，查詢不會命中本列）","（哨兵：SRC 頁查無此 ID）"))</f>
        <v>（哨兵：SRC 頁查無此 ID）</v>
      </c>
      <c r="C934" s="61" t="n">
        <v>144</v>
      </c>
      <c r="D934" s="61" t="s">
        <v>10703</v>
      </c>
      <c r="E934" s="61" t="s">
        <v>10703</v>
      </c>
      <c r="F934" s="62" t="s">
        <v>814</v>
      </c>
    </row>
    <row r="935" customFormat="false" ht="15" hidden="false" customHeight="false" outlineLevel="0" collapsed="false">
      <c r="A935" s="92" t="str">
        <f aca="false">Gov_Map!$H145&amp;""</f>
        <v>—</v>
      </c>
      <c r="B935" s="65" t="str">
        <f aca="false">IF(A935="","（哨兵：Gov_Map 該列無 SRC_ID）",IF(COUNTIF($A$5:$A$794,A935)&gt;0,"（哨兵：此 SRC_ID 已在上方 SRC 頁，查詢不會命中本列）","（哨兵：SRC 頁查無此 ID）"))</f>
        <v>（哨兵：SRC 頁查無此 ID）</v>
      </c>
      <c r="C935" s="61" t="n">
        <v>145</v>
      </c>
      <c r="D935" s="61" t="s">
        <v>10703</v>
      </c>
      <c r="E935" s="61" t="s">
        <v>10703</v>
      </c>
      <c r="F935" s="62" t="s">
        <v>814</v>
      </c>
    </row>
    <row r="936" customFormat="false" ht="15" hidden="false" customHeight="false" outlineLevel="0" collapsed="false">
      <c r="A936" s="92" t="str">
        <f aca="false">Gov_Map!$H146&amp;""</f>
        <v>—</v>
      </c>
      <c r="B936" s="65" t="str">
        <f aca="false">IF(A936="","（哨兵：Gov_Map 該列無 SRC_ID）",IF(COUNTIF($A$5:$A$794,A936)&gt;0,"（哨兵：此 SRC_ID 已在上方 SRC 頁，查詢不會命中本列）","（哨兵：SRC 頁查無此 ID）"))</f>
        <v>（哨兵：SRC 頁查無此 ID）</v>
      </c>
      <c r="C936" s="61" t="n">
        <v>146</v>
      </c>
      <c r="D936" s="61" t="s">
        <v>10703</v>
      </c>
      <c r="E936" s="61" t="s">
        <v>10703</v>
      </c>
      <c r="F936" s="62" t="s">
        <v>814</v>
      </c>
    </row>
    <row r="937" customFormat="false" ht="15" hidden="false" customHeight="false" outlineLevel="0" collapsed="false">
      <c r="A937" s="92" t="str">
        <f aca="false">Gov_Map!$H147&amp;""</f>
        <v>—</v>
      </c>
      <c r="B937" s="65" t="str">
        <f aca="false">IF(A937="","（哨兵：Gov_Map 該列無 SRC_ID）",IF(COUNTIF($A$5:$A$794,A937)&gt;0,"（哨兵：此 SRC_ID 已在上方 SRC 頁，查詢不會命中本列）","（哨兵：SRC 頁查無此 ID）"))</f>
        <v>（哨兵：SRC 頁查無此 ID）</v>
      </c>
      <c r="C937" s="61" t="n">
        <v>147</v>
      </c>
      <c r="D937" s="61" t="s">
        <v>10703</v>
      </c>
      <c r="E937" s="61" t="s">
        <v>10703</v>
      </c>
      <c r="F937" s="62" t="s">
        <v>814</v>
      </c>
    </row>
    <row r="938" customFormat="false" ht="15" hidden="false" customHeight="false" outlineLevel="0" collapsed="false">
      <c r="A938" s="92" t="str">
        <f aca="false">Gov_Map!$H148&amp;""</f>
        <v>—</v>
      </c>
      <c r="B938" s="65" t="str">
        <f aca="false">IF(A938="","（哨兵：Gov_Map 該列無 SRC_ID）",IF(COUNTIF($A$5:$A$794,A938)&gt;0,"（哨兵：此 SRC_ID 已在上方 SRC 頁，查詢不會命中本列）","（哨兵：SRC 頁查無此 ID）"))</f>
        <v>（哨兵：SRC 頁查無此 ID）</v>
      </c>
      <c r="C938" s="61" t="n">
        <v>148</v>
      </c>
      <c r="D938" s="61" t="s">
        <v>10703</v>
      </c>
      <c r="E938" s="61" t="s">
        <v>10703</v>
      </c>
      <c r="F938" s="62" t="s">
        <v>814</v>
      </c>
    </row>
    <row r="939" customFormat="false" ht="15" hidden="false" customHeight="false" outlineLevel="0" collapsed="false">
      <c r="A939" s="92" t="str">
        <f aca="false">Gov_Map!$H149&amp;""</f>
        <v>—</v>
      </c>
      <c r="B939" s="65" t="str">
        <f aca="false">IF(A939="","（哨兵：Gov_Map 該列無 SRC_ID）",IF(COUNTIF($A$5:$A$794,A939)&gt;0,"（哨兵：此 SRC_ID 已在上方 SRC 頁，查詢不會命中本列）","（哨兵：SRC 頁查無此 ID）"))</f>
        <v>（哨兵：SRC 頁查無此 ID）</v>
      </c>
      <c r="C939" s="61" t="n">
        <v>149</v>
      </c>
      <c r="D939" s="61" t="s">
        <v>10703</v>
      </c>
      <c r="E939" s="61" t="s">
        <v>10703</v>
      </c>
      <c r="F939" s="62" t="s">
        <v>814</v>
      </c>
    </row>
    <row r="940" customFormat="false" ht="15" hidden="false" customHeight="false" outlineLevel="0" collapsed="false">
      <c r="A940" s="92" t="str">
        <f aca="false">Gov_Map!$H150&amp;""</f>
        <v>SRC_PERF_007</v>
      </c>
      <c r="B940" s="65" t="str">
        <f aca="false">IF(A940="","（哨兵：Gov_Map 該列無 SRC_ID）",IF(COUNTIF($A$5:$A$794,A940)&gt;0,"（哨兵：此 SRC_ID 已在上方 SRC 頁，查詢不會命中本列）","（哨兵：SRC 頁查無此 ID）"))</f>
        <v>（哨兵：此 SRC_ID 已在上方 SRC 頁，查詢不會命中本列）</v>
      </c>
      <c r="C940" s="61" t="n">
        <v>150</v>
      </c>
      <c r="D940" s="61" t="s">
        <v>10703</v>
      </c>
      <c r="E940" s="61" t="s">
        <v>10703</v>
      </c>
      <c r="F940" s="62" t="s">
        <v>814</v>
      </c>
    </row>
    <row r="941" customFormat="false" ht="15" hidden="false" customHeight="false" outlineLevel="0" collapsed="false">
      <c r="A941" s="92" t="str">
        <f aca="false">Gov_Map!$H151&amp;""</f>
        <v>SRC_PERF_007</v>
      </c>
      <c r="B941" s="65" t="str">
        <f aca="false">IF(A941="","（哨兵：Gov_Map 該列無 SRC_ID）",IF(COUNTIF($A$5:$A$794,A941)&gt;0,"（哨兵：此 SRC_ID 已在上方 SRC 頁，查詢不會命中本列）","（哨兵：SRC 頁查無此 ID）"))</f>
        <v>（哨兵：此 SRC_ID 已在上方 SRC 頁，查詢不會命中本列）</v>
      </c>
      <c r="C941" s="61" t="n">
        <v>151</v>
      </c>
      <c r="D941" s="61" t="s">
        <v>10703</v>
      </c>
      <c r="E941" s="61" t="s">
        <v>10703</v>
      </c>
      <c r="F941" s="62" t="s">
        <v>814</v>
      </c>
    </row>
    <row r="942" customFormat="false" ht="15" hidden="false" customHeight="false" outlineLevel="0" collapsed="false">
      <c r="A942" s="92" t="str">
        <f aca="false">Gov_Map!$H152&amp;""</f>
        <v>SRC_PERF_007</v>
      </c>
      <c r="B942" s="65" t="str">
        <f aca="false">IF(A942="","（哨兵：Gov_Map 該列無 SRC_ID）",IF(COUNTIF($A$5:$A$794,A942)&gt;0,"（哨兵：此 SRC_ID 已在上方 SRC 頁，查詢不會命中本列）","（哨兵：SRC 頁查無此 ID）"))</f>
        <v>（哨兵：此 SRC_ID 已在上方 SRC 頁，查詢不會命中本列）</v>
      </c>
      <c r="C942" s="61" t="n">
        <v>152</v>
      </c>
      <c r="D942" s="61" t="s">
        <v>10703</v>
      </c>
      <c r="E942" s="61" t="s">
        <v>10703</v>
      </c>
      <c r="F942" s="62" t="s">
        <v>814</v>
      </c>
    </row>
    <row r="943" customFormat="false" ht="15" hidden="false" customHeight="false" outlineLevel="0" collapsed="false">
      <c r="A943" s="92" t="str">
        <f aca="false">Gov_Map!$H153&amp;""</f>
        <v>—</v>
      </c>
      <c r="B943" s="65" t="str">
        <f aca="false">IF(A943="","（哨兵：Gov_Map 該列無 SRC_ID）",IF(COUNTIF($A$5:$A$794,A943)&gt;0,"（哨兵：此 SRC_ID 已在上方 SRC 頁，查詢不會命中本列）","（哨兵：SRC 頁查無此 ID）"))</f>
        <v>（哨兵：SRC 頁查無此 ID）</v>
      </c>
      <c r="C943" s="61" t="n">
        <v>153</v>
      </c>
      <c r="D943" s="61" t="s">
        <v>10703</v>
      </c>
      <c r="E943" s="61" t="s">
        <v>10703</v>
      </c>
      <c r="F943" s="62" t="s">
        <v>814</v>
      </c>
    </row>
    <row r="944" customFormat="false" ht="15" hidden="false" customHeight="false" outlineLevel="0" collapsed="false">
      <c r="A944" s="92" t="str">
        <f aca="false">Gov_Map!$H154&amp;""</f>
        <v>SRC_HW_056</v>
      </c>
      <c r="B944" s="65" t="str">
        <f aca="false">IF(A944="","（哨兵：Gov_Map 該列無 SRC_ID）",IF(COUNTIF($A$5:$A$794,A944)&gt;0,"（哨兵：此 SRC_ID 已在上方 SRC 頁，查詢不會命中本列）","（哨兵：SRC 頁查無此 ID）"))</f>
        <v>（哨兵：此 SRC_ID 已在上方 SRC 頁，查詢不會命中本列）</v>
      </c>
      <c r="C944" s="61" t="n">
        <v>154</v>
      </c>
      <c r="D944" s="61" t="s">
        <v>10703</v>
      </c>
      <c r="E944" s="61" t="s">
        <v>10703</v>
      </c>
      <c r="F944" s="62" t="s">
        <v>814</v>
      </c>
    </row>
    <row r="945" customFormat="false" ht="15" hidden="false" customHeight="false" outlineLevel="0" collapsed="false">
      <c r="A945" s="92" t="str">
        <f aca="false">Gov_Map!$H155&amp;""</f>
        <v>SRC_HW_057</v>
      </c>
      <c r="B945" s="65" t="str">
        <f aca="false">IF(A945="","（哨兵：Gov_Map 該列無 SRC_ID）",IF(COUNTIF($A$5:$A$794,A945)&gt;0,"（哨兵：此 SRC_ID 已在上方 SRC 頁，查詢不會命中本列）","（哨兵：SRC 頁查無此 ID）"))</f>
        <v>（哨兵：此 SRC_ID 已在上方 SRC 頁，查詢不會命中本列）</v>
      </c>
      <c r="C945" s="61" t="n">
        <v>155</v>
      </c>
      <c r="D945" s="61" t="s">
        <v>10703</v>
      </c>
      <c r="E945" s="61" t="s">
        <v>10703</v>
      </c>
      <c r="F945" s="62" t="s">
        <v>814</v>
      </c>
    </row>
    <row r="946" customFormat="false" ht="15" hidden="false" customHeight="false" outlineLevel="0" collapsed="false">
      <c r="A946" s="92" t="str">
        <f aca="false">Gov_Map!$H156&amp;""</f>
        <v>SRC_HW_058</v>
      </c>
      <c r="B946" s="65" t="str">
        <f aca="false">IF(A946="","（哨兵：Gov_Map 該列無 SRC_ID）",IF(COUNTIF($A$5:$A$794,A946)&gt;0,"（哨兵：此 SRC_ID 已在上方 SRC 頁，查詢不會命中本列）","（哨兵：SRC 頁查無此 ID）"))</f>
        <v>（哨兵：此 SRC_ID 已在上方 SRC 頁，查詢不會命中本列）</v>
      </c>
      <c r="C946" s="61" t="n">
        <v>156</v>
      </c>
      <c r="D946" s="61" t="s">
        <v>10703</v>
      </c>
      <c r="E946" s="61" t="s">
        <v>10703</v>
      </c>
      <c r="F946" s="62" t="s">
        <v>814</v>
      </c>
    </row>
    <row r="947" customFormat="false" ht="15" hidden="false" customHeight="false" outlineLevel="0" collapsed="false">
      <c r="A947" s="92" t="str">
        <f aca="false">Gov_Map!$H157&amp;""</f>
        <v>SRC_HW_046</v>
      </c>
      <c r="B947" s="65" t="str">
        <f aca="false">IF(A947="","（哨兵：Gov_Map 該列無 SRC_ID）",IF(COUNTIF($A$5:$A$794,A947)&gt;0,"（哨兵：此 SRC_ID 已在上方 SRC 頁，查詢不會命中本列）","（哨兵：SRC 頁查無此 ID）"))</f>
        <v>（哨兵：此 SRC_ID 已在上方 SRC 頁，查詢不會命中本列）</v>
      </c>
      <c r="C947" s="61" t="n">
        <v>157</v>
      </c>
      <c r="D947" s="61" t="s">
        <v>10703</v>
      </c>
      <c r="E947" s="61" t="s">
        <v>10703</v>
      </c>
      <c r="F947" s="62" t="s">
        <v>814</v>
      </c>
    </row>
    <row r="948" customFormat="false" ht="15" hidden="false" customHeight="false" outlineLevel="0" collapsed="false">
      <c r="A948" s="92" t="str">
        <f aca="false">Gov_Map!$H158&amp;""</f>
        <v>—</v>
      </c>
      <c r="B948" s="65" t="str">
        <f aca="false">IF(A948="","（哨兵：Gov_Map 該列無 SRC_ID）",IF(COUNTIF($A$5:$A$794,A948)&gt;0,"（哨兵：此 SRC_ID 已在上方 SRC 頁，查詢不會命中本列）","（哨兵：SRC 頁查無此 ID）"))</f>
        <v>（哨兵：SRC 頁查無此 ID）</v>
      </c>
      <c r="C948" s="61" t="n">
        <v>158</v>
      </c>
      <c r="D948" s="61" t="s">
        <v>10703</v>
      </c>
      <c r="E948" s="61" t="s">
        <v>10703</v>
      </c>
      <c r="F948" s="62" t="s">
        <v>814</v>
      </c>
    </row>
    <row r="949" customFormat="false" ht="15" hidden="false" customHeight="false" outlineLevel="0" collapsed="false">
      <c r="A949" s="92" t="str">
        <f aca="false">Gov_Map!$H159&amp;""</f>
        <v>SRC_HW_032</v>
      </c>
      <c r="B949" s="65" t="str">
        <f aca="false">IF(A949="","（哨兵：Gov_Map 該列無 SRC_ID）",IF(COUNTIF($A$5:$A$794,A949)&gt;0,"（哨兵：此 SRC_ID 已在上方 SRC 頁，查詢不會命中本列）","（哨兵：SRC 頁查無此 ID）"))</f>
        <v>（哨兵：此 SRC_ID 已在上方 SRC 頁，查詢不會命中本列）</v>
      </c>
      <c r="C949" s="61" t="n">
        <v>159</v>
      </c>
      <c r="D949" s="61" t="s">
        <v>10703</v>
      </c>
      <c r="E949" s="61" t="s">
        <v>10703</v>
      </c>
      <c r="F949" s="62" t="s">
        <v>814</v>
      </c>
    </row>
    <row r="950" customFormat="false" ht="15" hidden="false" customHeight="false" outlineLevel="0" collapsed="false">
      <c r="A950" s="92" t="str">
        <f aca="false">Gov_Map!$H160&amp;""</f>
        <v>SRC_HW_033</v>
      </c>
      <c r="B950" s="65" t="str">
        <f aca="false">IF(A950="","（哨兵：Gov_Map 該列無 SRC_ID）",IF(COUNTIF($A$5:$A$794,A950)&gt;0,"（哨兵：此 SRC_ID 已在上方 SRC 頁，查詢不會命中本列）","（哨兵：SRC 頁查無此 ID）"))</f>
        <v>（哨兵：此 SRC_ID 已在上方 SRC 頁，查詢不會命中本列）</v>
      </c>
      <c r="C950" s="61" t="n">
        <v>160</v>
      </c>
      <c r="D950" s="61" t="s">
        <v>10703</v>
      </c>
      <c r="E950" s="61" t="s">
        <v>10703</v>
      </c>
      <c r="F950" s="62" t="s">
        <v>814</v>
      </c>
    </row>
    <row r="951" customFormat="false" ht="15" hidden="false" customHeight="false" outlineLevel="0" collapsed="false">
      <c r="A951" s="92" t="str">
        <f aca="false">Gov_Map!$H161&amp;""</f>
        <v>SRC_HW_033</v>
      </c>
      <c r="B951" s="65" t="str">
        <f aca="false">IF(A951="","（哨兵：Gov_Map 該列無 SRC_ID）",IF(COUNTIF($A$5:$A$794,A951)&gt;0,"（哨兵：此 SRC_ID 已在上方 SRC 頁，查詢不會命中本列）","（哨兵：SRC 頁查無此 ID）"))</f>
        <v>（哨兵：此 SRC_ID 已在上方 SRC 頁，查詢不會命中本列）</v>
      </c>
      <c r="C951" s="61" t="n">
        <v>161</v>
      </c>
      <c r="D951" s="61" t="s">
        <v>10703</v>
      </c>
      <c r="E951" s="61" t="s">
        <v>10703</v>
      </c>
      <c r="F951" s="62" t="s">
        <v>814</v>
      </c>
    </row>
    <row r="952" customFormat="false" ht="15" hidden="false" customHeight="false" outlineLevel="0" collapsed="false">
      <c r="A952" s="92" t="str">
        <f aca="false">Gov_Map!$H162&amp;""</f>
        <v>SRC_HW_034</v>
      </c>
      <c r="B952" s="65" t="str">
        <f aca="false">IF(A952="","（哨兵：Gov_Map 該列無 SRC_ID）",IF(COUNTIF($A$5:$A$794,A952)&gt;0,"（哨兵：此 SRC_ID 已在上方 SRC 頁，查詢不會命中本列）","（哨兵：SRC 頁查無此 ID）"))</f>
        <v>（哨兵：此 SRC_ID 已在上方 SRC 頁，查詢不會命中本列）</v>
      </c>
      <c r="C952" s="61" t="n">
        <v>162</v>
      </c>
      <c r="D952" s="61" t="s">
        <v>10703</v>
      </c>
      <c r="E952" s="61" t="s">
        <v>10703</v>
      </c>
      <c r="F952" s="62" t="s">
        <v>814</v>
      </c>
    </row>
    <row r="953" customFormat="false" ht="15" hidden="false" customHeight="false" outlineLevel="0" collapsed="false">
      <c r="A953" s="92" t="str">
        <f aca="false">Gov_Map!$H163&amp;""</f>
        <v>—</v>
      </c>
      <c r="B953" s="65" t="str">
        <f aca="false">IF(A953="","（哨兵：Gov_Map 該列無 SRC_ID）",IF(COUNTIF($A$5:$A$794,A953)&gt;0,"（哨兵：此 SRC_ID 已在上方 SRC 頁，查詢不會命中本列）","（哨兵：SRC 頁查無此 ID）"))</f>
        <v>（哨兵：SRC 頁查無此 ID）</v>
      </c>
      <c r="C953" s="61" t="n">
        <v>163</v>
      </c>
      <c r="D953" s="61" t="s">
        <v>10703</v>
      </c>
      <c r="E953" s="61" t="s">
        <v>10703</v>
      </c>
      <c r="F953" s="62" t="s">
        <v>814</v>
      </c>
    </row>
    <row r="954" customFormat="false" ht="15" hidden="false" customHeight="false" outlineLevel="0" collapsed="false">
      <c r="A954" s="92" t="str">
        <f aca="false">Gov_Map!$H164&amp;""</f>
        <v>SRC_HW_019</v>
      </c>
      <c r="B954" s="65" t="str">
        <f aca="false">IF(A954="","（哨兵：Gov_Map 該列無 SRC_ID）",IF(COUNTIF($A$5:$A$794,A954)&gt;0,"（哨兵：此 SRC_ID 已在上方 SRC 頁，查詢不會命中本列）","（哨兵：SRC 頁查無此 ID）"))</f>
        <v>（哨兵：此 SRC_ID 已在上方 SRC 頁，查詢不會命中本列）</v>
      </c>
      <c r="C954" s="61" t="n">
        <v>164</v>
      </c>
      <c r="D954" s="61" t="s">
        <v>10703</v>
      </c>
      <c r="E954" s="61" t="s">
        <v>10703</v>
      </c>
      <c r="F954" s="62" t="s">
        <v>814</v>
      </c>
    </row>
    <row r="955" customFormat="false" ht="15" hidden="false" customHeight="false" outlineLevel="0" collapsed="false">
      <c r="A955" s="92" t="str">
        <f aca="false">Gov_Map!$H165&amp;""</f>
        <v>SRC_HW_042</v>
      </c>
      <c r="B955" s="65" t="str">
        <f aca="false">IF(A955="","（哨兵：Gov_Map 該列無 SRC_ID）",IF(COUNTIF($A$5:$A$794,A955)&gt;0,"（哨兵：此 SRC_ID 已在上方 SRC 頁，查詢不會命中本列）","（哨兵：SRC 頁查無此 ID）"))</f>
        <v>（哨兵：此 SRC_ID 已在上方 SRC 頁，查詢不會命中本列）</v>
      </c>
      <c r="C955" s="61" t="n">
        <v>165</v>
      </c>
      <c r="D955" s="61" t="s">
        <v>10703</v>
      </c>
      <c r="E955" s="61" t="s">
        <v>10703</v>
      </c>
      <c r="F955" s="62" t="s">
        <v>814</v>
      </c>
    </row>
    <row r="956" customFormat="false" ht="15" hidden="false" customHeight="false" outlineLevel="0" collapsed="false">
      <c r="A956" s="92" t="str">
        <f aca="false">Gov_Map!$H166&amp;""</f>
        <v>SRC_HW_042</v>
      </c>
      <c r="B956" s="65" t="str">
        <f aca="false">IF(A956="","（哨兵：Gov_Map 該列無 SRC_ID）",IF(COUNTIF($A$5:$A$794,A956)&gt;0,"（哨兵：此 SRC_ID 已在上方 SRC 頁，查詢不會命中本列）","（哨兵：SRC 頁查無此 ID）"))</f>
        <v>（哨兵：此 SRC_ID 已在上方 SRC 頁，查詢不會命中本列）</v>
      </c>
      <c r="C956" s="61" t="n">
        <v>166</v>
      </c>
      <c r="D956" s="61" t="s">
        <v>10703</v>
      </c>
      <c r="E956" s="61" t="s">
        <v>10703</v>
      </c>
      <c r="F956" s="62" t="s">
        <v>814</v>
      </c>
    </row>
    <row r="957" customFormat="false" ht="15" hidden="false" customHeight="false" outlineLevel="0" collapsed="false">
      <c r="A957" s="92" t="str">
        <f aca="false">Gov_Map!$H167&amp;""</f>
        <v>SRC_HW_039</v>
      </c>
      <c r="B957" s="65" t="str">
        <f aca="false">IF(A957="","（哨兵：Gov_Map 該列無 SRC_ID）",IF(COUNTIF($A$5:$A$794,A957)&gt;0,"（哨兵：此 SRC_ID 已在上方 SRC 頁，查詢不會命中本列）","（哨兵：SRC 頁查無此 ID）"))</f>
        <v>（哨兵：此 SRC_ID 已在上方 SRC 頁，查詢不會命中本列）</v>
      </c>
      <c r="C957" s="61" t="n">
        <v>167</v>
      </c>
      <c r="D957" s="61" t="s">
        <v>10703</v>
      </c>
      <c r="E957" s="61" t="s">
        <v>10703</v>
      </c>
      <c r="F957" s="62" t="s">
        <v>814</v>
      </c>
    </row>
    <row r="958" customFormat="false" ht="15" hidden="false" customHeight="false" outlineLevel="0" collapsed="false">
      <c r="A958" s="92" t="str">
        <f aca="false">Gov_Map!$H168&amp;""</f>
        <v>—</v>
      </c>
      <c r="B958" s="65" t="str">
        <f aca="false">IF(A958="","（哨兵：Gov_Map 該列無 SRC_ID）",IF(COUNTIF($A$5:$A$794,A958)&gt;0,"（哨兵：此 SRC_ID 已在上方 SRC 頁，查詢不會命中本列）","（哨兵：SRC 頁查無此 ID）"))</f>
        <v>（哨兵：SRC 頁查無此 ID）</v>
      </c>
      <c r="C958" s="61" t="n">
        <v>168</v>
      </c>
      <c r="D958" s="61" t="s">
        <v>10703</v>
      </c>
      <c r="E958" s="61" t="s">
        <v>10703</v>
      </c>
      <c r="F958" s="62" t="s">
        <v>814</v>
      </c>
    </row>
    <row r="959" customFormat="false" ht="15" hidden="false" customHeight="false" outlineLevel="0" collapsed="false">
      <c r="A959" s="92" t="str">
        <f aca="false">Gov_Map!$H169&amp;""</f>
        <v>SRC_HW_040</v>
      </c>
      <c r="B959" s="65" t="str">
        <f aca="false">IF(A959="","（哨兵：Gov_Map 該列無 SRC_ID）",IF(COUNTIF($A$5:$A$794,A959)&gt;0,"（哨兵：此 SRC_ID 已在上方 SRC 頁，查詢不會命中本列）","（哨兵：SRC 頁查無此 ID）"))</f>
        <v>（哨兵：此 SRC_ID 已在上方 SRC 頁，查詢不會命中本列）</v>
      </c>
      <c r="C959" s="61" t="n">
        <v>169</v>
      </c>
      <c r="D959" s="61" t="s">
        <v>10703</v>
      </c>
      <c r="E959" s="61" t="s">
        <v>10703</v>
      </c>
      <c r="F959" s="62" t="s">
        <v>814</v>
      </c>
    </row>
    <row r="960" customFormat="false" ht="15" hidden="false" customHeight="false" outlineLevel="0" collapsed="false">
      <c r="A960" s="92" t="str">
        <f aca="false">Gov_Map!$H170&amp;""</f>
        <v>SRC_HW_043</v>
      </c>
      <c r="B960" s="65" t="str">
        <f aca="false">IF(A960="","（哨兵：Gov_Map 該列無 SRC_ID）",IF(COUNTIF($A$5:$A$794,A960)&gt;0,"（哨兵：此 SRC_ID 已在上方 SRC 頁，查詢不會命中本列）","（哨兵：SRC 頁查無此 ID）"))</f>
        <v>（哨兵：此 SRC_ID 已在上方 SRC 頁，查詢不會命中本列）</v>
      </c>
      <c r="C960" s="61" t="n">
        <v>170</v>
      </c>
      <c r="D960" s="61" t="s">
        <v>10703</v>
      </c>
      <c r="E960" s="61" t="s">
        <v>10703</v>
      </c>
      <c r="F960" s="62" t="s">
        <v>814</v>
      </c>
    </row>
    <row r="961" customFormat="false" ht="15" hidden="false" customHeight="false" outlineLevel="0" collapsed="false">
      <c r="A961" s="92" t="str">
        <f aca="false">Gov_Map!$H171&amp;""</f>
        <v>SRC_HW_043</v>
      </c>
      <c r="B961" s="65" t="str">
        <f aca="false">IF(A961="","（哨兵：Gov_Map 該列無 SRC_ID）",IF(COUNTIF($A$5:$A$794,A961)&gt;0,"（哨兵：此 SRC_ID 已在上方 SRC 頁，查詢不會命中本列）","（哨兵：SRC 頁查無此 ID）"))</f>
        <v>（哨兵：此 SRC_ID 已在上方 SRC 頁，查詢不會命中本列）</v>
      </c>
      <c r="C961" s="61" t="n">
        <v>171</v>
      </c>
      <c r="D961" s="61" t="s">
        <v>10703</v>
      </c>
      <c r="E961" s="61" t="s">
        <v>10703</v>
      </c>
      <c r="F961" s="62" t="s">
        <v>814</v>
      </c>
    </row>
    <row r="962" customFormat="false" ht="15" hidden="false" customHeight="false" outlineLevel="0" collapsed="false">
      <c r="A962" s="92" t="str">
        <f aca="false">Gov_Map!$H172&amp;""</f>
        <v>SRC_HW_038</v>
      </c>
      <c r="B962" s="65" t="str">
        <f aca="false">IF(A962="","（哨兵：Gov_Map 該列無 SRC_ID）",IF(COUNTIF($A$5:$A$794,A962)&gt;0,"（哨兵：此 SRC_ID 已在上方 SRC 頁，查詢不會命中本列）","（哨兵：SRC 頁查無此 ID）"))</f>
        <v>（哨兵：此 SRC_ID 已在上方 SRC 頁，查詢不會命中本列）</v>
      </c>
      <c r="C962" s="61" t="n">
        <v>172</v>
      </c>
      <c r="D962" s="61" t="s">
        <v>10703</v>
      </c>
      <c r="E962" s="61" t="s">
        <v>10703</v>
      </c>
      <c r="F962" s="62" t="s">
        <v>814</v>
      </c>
    </row>
    <row r="963" customFormat="false" ht="15" hidden="false" customHeight="false" outlineLevel="0" collapsed="false">
      <c r="A963" s="92" t="str">
        <f aca="false">Gov_Map!$H173&amp;""</f>
        <v>SRC_HW_063</v>
      </c>
      <c r="B963" s="65" t="str">
        <f aca="false">IF(A963="","（哨兵：Gov_Map 該列無 SRC_ID）",IF(COUNTIF($A$5:$A$794,A963)&gt;0,"（哨兵：此 SRC_ID 已在上方 SRC 頁，查詢不會命中本列）","（哨兵：SRC 頁查無此 ID）"))</f>
        <v>（哨兵：此 SRC_ID 已在上方 SRC 頁，查詢不會命中本列）</v>
      </c>
      <c r="C963" s="61" t="n">
        <v>173</v>
      </c>
      <c r="D963" s="61" t="s">
        <v>10703</v>
      </c>
      <c r="E963" s="61" t="s">
        <v>10703</v>
      </c>
      <c r="F963" s="62" t="s">
        <v>814</v>
      </c>
    </row>
    <row r="964" customFormat="false" ht="15" hidden="false" customHeight="false" outlineLevel="0" collapsed="false">
      <c r="A964" s="92" t="str">
        <f aca="false">Gov_Map!$H174&amp;""</f>
        <v>—</v>
      </c>
      <c r="B964" s="65" t="str">
        <f aca="false">IF(A964="","（哨兵：Gov_Map 該列無 SRC_ID）",IF(COUNTIF($A$5:$A$794,A964)&gt;0,"（哨兵：此 SRC_ID 已在上方 SRC 頁，查詢不會命中本列）","（哨兵：SRC 頁查無此 ID）"))</f>
        <v>（哨兵：SRC 頁查無此 ID）</v>
      </c>
      <c r="C964" s="61" t="n">
        <v>174</v>
      </c>
      <c r="D964" s="61" t="s">
        <v>10703</v>
      </c>
      <c r="E964" s="61" t="s">
        <v>10703</v>
      </c>
      <c r="F964" s="62" t="s">
        <v>814</v>
      </c>
    </row>
    <row r="965" customFormat="false" ht="15" hidden="false" customHeight="false" outlineLevel="0" collapsed="false">
      <c r="A965" s="92" t="str">
        <f aca="false">Gov_Map!$H175&amp;""</f>
        <v>SRC_HW_037</v>
      </c>
      <c r="B965" s="65" t="str">
        <f aca="false">IF(A965="","（哨兵：Gov_Map 該列無 SRC_ID）",IF(COUNTIF($A$5:$A$794,A965)&gt;0,"（哨兵：此 SRC_ID 已在上方 SRC 頁，查詢不會命中本列）","（哨兵：SRC 頁查無此 ID）"))</f>
        <v>（哨兵：此 SRC_ID 已在上方 SRC 頁，查詢不會命中本列）</v>
      </c>
      <c r="C965" s="61" t="n">
        <v>175</v>
      </c>
      <c r="D965" s="61" t="s">
        <v>10703</v>
      </c>
      <c r="E965" s="61" t="s">
        <v>10703</v>
      </c>
      <c r="F965" s="62" t="s">
        <v>814</v>
      </c>
    </row>
    <row r="966" customFormat="false" ht="15" hidden="false" customHeight="false" outlineLevel="0" collapsed="false">
      <c r="A966" s="92" t="str">
        <f aca="false">Gov_Map!$H176&amp;""</f>
        <v>—</v>
      </c>
      <c r="B966" s="65" t="str">
        <f aca="false">IF(A966="","（哨兵：Gov_Map 該列無 SRC_ID）",IF(COUNTIF($A$5:$A$794,A966)&gt;0,"（哨兵：此 SRC_ID 已在上方 SRC 頁，查詢不會命中本列）","（哨兵：SRC 頁查無此 ID）"))</f>
        <v>（哨兵：SRC 頁查無此 ID）</v>
      </c>
      <c r="C966" s="61" t="n">
        <v>176</v>
      </c>
      <c r="D966" s="61" t="s">
        <v>10703</v>
      </c>
      <c r="E966" s="61" t="s">
        <v>10703</v>
      </c>
      <c r="F966" s="62" t="s">
        <v>814</v>
      </c>
    </row>
    <row r="967" customFormat="false" ht="15" hidden="false" customHeight="false" outlineLevel="0" collapsed="false">
      <c r="A967" s="92" t="str">
        <f aca="false">Gov_Map!$H177&amp;""</f>
        <v>SRC_HW_037</v>
      </c>
      <c r="B967" s="65" t="str">
        <f aca="false">IF(A967="","（哨兵：Gov_Map 該列無 SRC_ID）",IF(COUNTIF($A$5:$A$794,A967)&gt;0,"（哨兵：此 SRC_ID 已在上方 SRC 頁，查詢不會命中本列）","（哨兵：SRC 頁查無此 ID）"))</f>
        <v>（哨兵：此 SRC_ID 已在上方 SRC 頁，查詢不會命中本列）</v>
      </c>
      <c r="C967" s="61" t="n">
        <v>177</v>
      </c>
      <c r="D967" s="61" t="s">
        <v>10703</v>
      </c>
      <c r="E967" s="61" t="s">
        <v>10703</v>
      </c>
      <c r="F967" s="62" t="s">
        <v>814</v>
      </c>
    </row>
    <row r="968" customFormat="false" ht="15" hidden="false" customHeight="false" outlineLevel="0" collapsed="false">
      <c r="A968" s="92" t="str">
        <f aca="false">Gov_Map!$H178&amp;""</f>
        <v>—</v>
      </c>
      <c r="B968" s="65" t="str">
        <f aca="false">IF(A968="","（哨兵：Gov_Map 該列無 SRC_ID）",IF(COUNTIF($A$5:$A$794,A968)&gt;0,"（哨兵：此 SRC_ID 已在上方 SRC 頁，查詢不會命中本列）","（哨兵：SRC 頁查無此 ID）"))</f>
        <v>（哨兵：SRC 頁查無此 ID）</v>
      </c>
      <c r="C968" s="61" t="n">
        <v>178</v>
      </c>
      <c r="D968" s="61" t="s">
        <v>10703</v>
      </c>
      <c r="E968" s="61" t="s">
        <v>10703</v>
      </c>
      <c r="F968" s="62" t="s">
        <v>814</v>
      </c>
    </row>
    <row r="969" customFormat="false" ht="15" hidden="false" customHeight="false" outlineLevel="0" collapsed="false">
      <c r="A969" s="92" t="str">
        <f aca="false">Gov_Map!$H179&amp;""</f>
        <v>SRC_MOD_005</v>
      </c>
      <c r="B969" s="65" t="str">
        <f aca="false">IF(A969="","（哨兵：Gov_Map 該列無 SRC_ID）",IF(COUNTIF($A$5:$A$794,A969)&gt;0,"（哨兵：此 SRC_ID 已在上方 SRC 頁，查詢不會命中本列）","（哨兵：SRC 頁查無此 ID）"))</f>
        <v>（哨兵：此 SRC_ID 已在上方 SRC 頁，查詢不會命中本列）</v>
      </c>
      <c r="C969" s="61" t="n">
        <v>179</v>
      </c>
      <c r="D969" s="61" t="s">
        <v>10703</v>
      </c>
      <c r="E969" s="61" t="s">
        <v>10703</v>
      </c>
      <c r="F969" s="62" t="s">
        <v>814</v>
      </c>
    </row>
    <row r="970" customFormat="false" ht="15" hidden="false" customHeight="false" outlineLevel="0" collapsed="false">
      <c r="A970" s="92" t="str">
        <f aca="false">Gov_Map!$H180&amp;""</f>
        <v>SRC_MOD_001</v>
      </c>
      <c r="B970" s="65" t="str">
        <f aca="false">IF(A970="","（哨兵：Gov_Map 該列無 SRC_ID）",IF(COUNTIF($A$5:$A$794,A970)&gt;0,"（哨兵：此 SRC_ID 已在上方 SRC 頁，查詢不會命中本列）","（哨兵：SRC 頁查無此 ID）"))</f>
        <v>（哨兵：此 SRC_ID 已在上方 SRC 頁，查詢不會命中本列）</v>
      </c>
      <c r="C970" s="61" t="n">
        <v>180</v>
      </c>
      <c r="D970" s="61" t="s">
        <v>10703</v>
      </c>
      <c r="E970" s="61" t="s">
        <v>10703</v>
      </c>
      <c r="F970" s="62" t="s">
        <v>814</v>
      </c>
    </row>
    <row r="971" customFormat="false" ht="15" hidden="false" customHeight="false" outlineLevel="0" collapsed="false">
      <c r="A971" s="92" t="str">
        <f aca="false">Gov_Map!$H181&amp;""</f>
        <v>SRC_MOD_006</v>
      </c>
      <c r="B971" s="65" t="str">
        <f aca="false">IF(A971="","（哨兵：Gov_Map 該列無 SRC_ID）",IF(COUNTIF($A$5:$A$794,A971)&gt;0,"（哨兵：此 SRC_ID 已在上方 SRC 頁，查詢不會命中本列）","（哨兵：SRC 頁查無此 ID）"))</f>
        <v>（哨兵：此 SRC_ID 已在上方 SRC 頁，查詢不會命中本列）</v>
      </c>
      <c r="C971" s="61" t="n">
        <v>181</v>
      </c>
      <c r="D971" s="61" t="s">
        <v>10703</v>
      </c>
      <c r="E971" s="61" t="s">
        <v>10703</v>
      </c>
      <c r="F971" s="62" t="s">
        <v>814</v>
      </c>
    </row>
    <row r="972" customFormat="false" ht="15" hidden="false" customHeight="false" outlineLevel="0" collapsed="false">
      <c r="A972" s="92" t="str">
        <f aca="false">Gov_Map!$H182&amp;""</f>
        <v>SRC_MOD_002</v>
      </c>
      <c r="B972" s="65" t="str">
        <f aca="false">IF(A972="","（哨兵：Gov_Map 該列無 SRC_ID）",IF(COUNTIF($A$5:$A$794,A972)&gt;0,"（哨兵：此 SRC_ID 已在上方 SRC 頁，查詢不會命中本列）","（哨兵：SRC 頁查無此 ID）"))</f>
        <v>（哨兵：此 SRC_ID 已在上方 SRC 頁，查詢不會命中本列）</v>
      </c>
      <c r="C972" s="61" t="n">
        <v>182</v>
      </c>
      <c r="D972" s="61" t="s">
        <v>10703</v>
      </c>
      <c r="E972" s="61" t="s">
        <v>10703</v>
      </c>
      <c r="F972" s="62" t="s">
        <v>814</v>
      </c>
    </row>
    <row r="973" customFormat="false" ht="15" hidden="false" customHeight="false" outlineLevel="0" collapsed="false">
      <c r="A973" s="92" t="str">
        <f aca="false">Gov_Map!$H183&amp;""</f>
        <v>SRC_MOD_007</v>
      </c>
      <c r="B973" s="65" t="str">
        <f aca="false">IF(A973="","（哨兵：Gov_Map 該列無 SRC_ID）",IF(COUNTIF($A$5:$A$794,A973)&gt;0,"（哨兵：此 SRC_ID 已在上方 SRC 頁，查詢不會命中本列）","（哨兵：SRC 頁查無此 ID）"))</f>
        <v>（哨兵：此 SRC_ID 已在上方 SRC 頁，查詢不會命中本列）</v>
      </c>
      <c r="C973" s="61" t="n">
        <v>183</v>
      </c>
      <c r="D973" s="61" t="s">
        <v>10703</v>
      </c>
      <c r="E973" s="61" t="s">
        <v>10703</v>
      </c>
      <c r="F973" s="62" t="s">
        <v>814</v>
      </c>
    </row>
    <row r="974" customFormat="false" ht="15" hidden="false" customHeight="false" outlineLevel="0" collapsed="false">
      <c r="A974" s="92" t="str">
        <f aca="false">Gov_Map!$H184&amp;""</f>
        <v>SRC_MOD_003</v>
      </c>
      <c r="B974" s="65" t="str">
        <f aca="false">IF(A974="","（哨兵：Gov_Map 該列無 SRC_ID）",IF(COUNTIF($A$5:$A$794,A974)&gt;0,"（哨兵：此 SRC_ID 已在上方 SRC 頁，查詢不會命中本列）","（哨兵：SRC 頁查無此 ID）"))</f>
        <v>（哨兵：此 SRC_ID 已在上方 SRC 頁，查詢不會命中本列）</v>
      </c>
      <c r="C974" s="61" t="n">
        <v>184</v>
      </c>
      <c r="D974" s="61" t="s">
        <v>10703</v>
      </c>
      <c r="E974" s="61" t="s">
        <v>10703</v>
      </c>
      <c r="F974" s="62" t="s">
        <v>814</v>
      </c>
    </row>
    <row r="975" customFormat="false" ht="15" hidden="false" customHeight="false" outlineLevel="0" collapsed="false">
      <c r="A975" s="92" t="str">
        <f aca="false">Gov_Map!$H185&amp;""</f>
        <v>SRC_MOD_009</v>
      </c>
      <c r="B975" s="65" t="str">
        <f aca="false">IF(A975="","（哨兵：Gov_Map 該列無 SRC_ID）",IF(COUNTIF($A$5:$A$794,A975)&gt;0,"（哨兵：此 SRC_ID 已在上方 SRC 頁，查詢不會命中本列）","（哨兵：SRC 頁查無此 ID）"))</f>
        <v>（哨兵：此 SRC_ID 已在上方 SRC 頁，查詢不會命中本列）</v>
      </c>
      <c r="C975" s="61" t="n">
        <v>185</v>
      </c>
      <c r="D975" s="61" t="s">
        <v>10703</v>
      </c>
      <c r="E975" s="61" t="s">
        <v>10703</v>
      </c>
      <c r="F975" s="62" t="s">
        <v>814</v>
      </c>
    </row>
    <row r="976" customFormat="false" ht="15" hidden="false" customHeight="false" outlineLevel="0" collapsed="false">
      <c r="A976" s="92" t="str">
        <f aca="false">Gov_Map!$H186&amp;""</f>
        <v>SRC_MOD_009</v>
      </c>
      <c r="B976" s="65" t="str">
        <f aca="false">IF(A976="","（哨兵：Gov_Map 該列無 SRC_ID）",IF(COUNTIF($A$5:$A$794,A976)&gt;0,"（哨兵：此 SRC_ID 已在上方 SRC 頁，查詢不會命中本列）","（哨兵：SRC 頁查無此 ID）"))</f>
        <v>（哨兵：此 SRC_ID 已在上方 SRC 頁，查詢不會命中本列）</v>
      </c>
      <c r="C976" s="61" t="n">
        <v>186</v>
      </c>
      <c r="D976" s="61" t="s">
        <v>10703</v>
      </c>
      <c r="E976" s="61" t="s">
        <v>10703</v>
      </c>
      <c r="F976" s="62" t="s">
        <v>814</v>
      </c>
    </row>
    <row r="977" customFormat="false" ht="15" hidden="false" customHeight="false" outlineLevel="0" collapsed="false">
      <c r="A977" s="92" t="str">
        <f aca="false">Gov_Map!$H187&amp;""</f>
        <v>SRC_MOD_010</v>
      </c>
      <c r="B977" s="65" t="str">
        <f aca="false">IF(A977="","（哨兵：Gov_Map 該列無 SRC_ID）",IF(COUNTIF($A$5:$A$794,A977)&gt;0,"（哨兵：此 SRC_ID 已在上方 SRC 頁，查詢不會命中本列）","（哨兵：SRC 頁查無此 ID）"))</f>
        <v>（哨兵：此 SRC_ID 已在上方 SRC 頁，查詢不會命中本列）</v>
      </c>
      <c r="C977" s="61" t="n">
        <v>187</v>
      </c>
      <c r="D977" s="61" t="s">
        <v>10703</v>
      </c>
      <c r="E977" s="61" t="s">
        <v>10703</v>
      </c>
      <c r="F977" s="62" t="s">
        <v>814</v>
      </c>
    </row>
    <row r="978" customFormat="false" ht="15" hidden="false" customHeight="false" outlineLevel="0" collapsed="false">
      <c r="A978" s="92" t="str">
        <f aca="false">Gov_Map!$H188&amp;""</f>
        <v>SRC_MOD_011</v>
      </c>
      <c r="B978" s="65" t="str">
        <f aca="false">IF(A978="","（哨兵：Gov_Map 該列無 SRC_ID）",IF(COUNTIF($A$5:$A$794,A978)&gt;0,"（哨兵：此 SRC_ID 已在上方 SRC 頁，查詢不會命中本列）","（哨兵：SRC 頁查無此 ID）"))</f>
        <v>（哨兵：此 SRC_ID 已在上方 SRC 頁，查詢不會命中本列）</v>
      </c>
      <c r="C978" s="61" t="n">
        <v>188</v>
      </c>
      <c r="D978" s="61" t="s">
        <v>10703</v>
      </c>
      <c r="E978" s="61" t="s">
        <v>10703</v>
      </c>
      <c r="F978" s="62" t="s">
        <v>814</v>
      </c>
    </row>
    <row r="979" customFormat="false" ht="15" hidden="false" customHeight="false" outlineLevel="0" collapsed="false">
      <c r="A979" s="92" t="str">
        <f aca="false">Gov_Map!$H189&amp;""</f>
        <v>SRC_MOD_012</v>
      </c>
      <c r="B979" s="65" t="str">
        <f aca="false">IF(A979="","（哨兵：Gov_Map 該列無 SRC_ID）",IF(COUNTIF($A$5:$A$794,A979)&gt;0,"（哨兵：此 SRC_ID 已在上方 SRC 頁，查詢不會命中本列）","（哨兵：SRC 頁查無此 ID）"))</f>
        <v>（哨兵：此 SRC_ID 已在上方 SRC 頁，查詢不會命中本列）</v>
      </c>
      <c r="C979" s="61" t="n">
        <v>189</v>
      </c>
      <c r="D979" s="61" t="s">
        <v>10703</v>
      </c>
      <c r="E979" s="61" t="s">
        <v>10703</v>
      </c>
      <c r="F979" s="62" t="s">
        <v>814</v>
      </c>
    </row>
    <row r="980" customFormat="false" ht="15" hidden="false" customHeight="false" outlineLevel="0" collapsed="false">
      <c r="A980" s="92" t="str">
        <f aca="false">Gov_Map!$H190&amp;""</f>
        <v>SRC_MOD_012</v>
      </c>
      <c r="B980" s="65" t="str">
        <f aca="false">IF(A980="","（哨兵：Gov_Map 該列無 SRC_ID）",IF(COUNTIF($A$5:$A$794,A980)&gt;0,"（哨兵：此 SRC_ID 已在上方 SRC 頁，查詢不會命中本列）","（哨兵：SRC 頁查無此 ID）"))</f>
        <v>（哨兵：此 SRC_ID 已在上方 SRC 頁，查詢不會命中本列）</v>
      </c>
      <c r="C980" s="61" t="n">
        <v>190</v>
      </c>
      <c r="D980" s="61" t="s">
        <v>10703</v>
      </c>
      <c r="E980" s="61" t="s">
        <v>10703</v>
      </c>
      <c r="F980" s="62" t="s">
        <v>814</v>
      </c>
    </row>
    <row r="981" customFormat="false" ht="15" hidden="false" customHeight="false" outlineLevel="0" collapsed="false">
      <c r="A981" s="92" t="str">
        <f aca="false">Gov_Map!$H191&amp;""</f>
        <v>SRC_MOD_013</v>
      </c>
      <c r="B981" s="65" t="str">
        <f aca="false">IF(A981="","（哨兵：Gov_Map 該列無 SRC_ID）",IF(COUNTIF($A$5:$A$794,A981)&gt;0,"（哨兵：此 SRC_ID 已在上方 SRC 頁，查詢不會命中本列）","（哨兵：SRC 頁查無此 ID）"))</f>
        <v>（哨兵：此 SRC_ID 已在上方 SRC 頁，查詢不會命中本列）</v>
      </c>
      <c r="C981" s="61" t="n">
        <v>191</v>
      </c>
      <c r="D981" s="61" t="s">
        <v>10703</v>
      </c>
      <c r="E981" s="61" t="s">
        <v>10703</v>
      </c>
      <c r="F981" s="62" t="s">
        <v>814</v>
      </c>
    </row>
    <row r="982" customFormat="false" ht="15" hidden="false" customHeight="false" outlineLevel="0" collapsed="false">
      <c r="A982" s="92" t="str">
        <f aca="false">Gov_Map!$H192&amp;""</f>
        <v>SRC_MOD_013</v>
      </c>
      <c r="B982" s="65" t="str">
        <f aca="false">IF(A982="","（哨兵：Gov_Map 該列無 SRC_ID）",IF(COUNTIF($A$5:$A$794,A982)&gt;0,"（哨兵：此 SRC_ID 已在上方 SRC 頁，查詢不會命中本列）","（哨兵：SRC 頁查無此 ID）"))</f>
        <v>（哨兵：此 SRC_ID 已在上方 SRC 頁，查詢不會命中本列）</v>
      </c>
      <c r="C982" s="61" t="n">
        <v>192</v>
      </c>
      <c r="D982" s="61" t="s">
        <v>10703</v>
      </c>
      <c r="E982" s="61" t="s">
        <v>10703</v>
      </c>
      <c r="F982" s="62" t="s">
        <v>814</v>
      </c>
    </row>
    <row r="983" customFormat="false" ht="15" hidden="false" customHeight="false" outlineLevel="0" collapsed="false">
      <c r="A983" s="92" t="str">
        <f aca="false">Gov_Map!$H193&amp;""</f>
        <v>SRC_MOD_014</v>
      </c>
      <c r="B983" s="65" t="str">
        <f aca="false">IF(A983="","（哨兵：Gov_Map 該列無 SRC_ID）",IF(COUNTIF($A$5:$A$794,A983)&gt;0,"（哨兵：此 SRC_ID 已在上方 SRC 頁，查詢不會命中本列）","（哨兵：SRC 頁查無此 ID）"))</f>
        <v>（哨兵：此 SRC_ID 已在上方 SRC 頁，查詢不會命中本列）</v>
      </c>
      <c r="C983" s="61" t="n">
        <v>193</v>
      </c>
      <c r="D983" s="61" t="s">
        <v>10703</v>
      </c>
      <c r="E983" s="61" t="s">
        <v>10703</v>
      </c>
      <c r="F983" s="62" t="s">
        <v>814</v>
      </c>
    </row>
    <row r="984" customFormat="false" ht="15" hidden="false" customHeight="false" outlineLevel="0" collapsed="false">
      <c r="A984" s="92" t="str">
        <f aca="false">Gov_Map!$H194&amp;""</f>
        <v>SRC_MOD_014</v>
      </c>
      <c r="B984" s="65" t="str">
        <f aca="false">IF(A984="","（哨兵：Gov_Map 該列無 SRC_ID）",IF(COUNTIF($A$5:$A$794,A984)&gt;0,"（哨兵：此 SRC_ID 已在上方 SRC 頁，查詢不會命中本列）","（哨兵：SRC 頁查無此 ID）"))</f>
        <v>（哨兵：此 SRC_ID 已在上方 SRC 頁，查詢不會命中本列）</v>
      </c>
      <c r="C984" s="61" t="n">
        <v>194</v>
      </c>
      <c r="D984" s="61" t="s">
        <v>10703</v>
      </c>
      <c r="E984" s="61" t="s">
        <v>10703</v>
      </c>
      <c r="F984" s="62" t="s">
        <v>814</v>
      </c>
    </row>
    <row r="985" customFormat="false" ht="15" hidden="false" customHeight="false" outlineLevel="0" collapsed="false">
      <c r="A985" s="92" t="str">
        <f aca="false">Gov_Map!$H195&amp;""</f>
        <v>SRC_MOD_015</v>
      </c>
      <c r="B985" s="65" t="str">
        <f aca="false">IF(A985="","（哨兵：Gov_Map 該列無 SRC_ID）",IF(COUNTIF($A$5:$A$794,A985)&gt;0,"（哨兵：此 SRC_ID 已在上方 SRC 頁，查詢不會命中本列）","（哨兵：SRC 頁查無此 ID）"))</f>
        <v>（哨兵：此 SRC_ID 已在上方 SRC 頁，查詢不會命中本列）</v>
      </c>
      <c r="C985" s="61" t="n">
        <v>195</v>
      </c>
      <c r="D985" s="61" t="s">
        <v>10703</v>
      </c>
      <c r="E985" s="61" t="s">
        <v>10703</v>
      </c>
      <c r="F985" s="62" t="s">
        <v>814</v>
      </c>
    </row>
    <row r="986" customFormat="false" ht="15" hidden="false" customHeight="false" outlineLevel="0" collapsed="false">
      <c r="A986" s="92" t="str">
        <f aca="false">Gov_Map!$H196&amp;""</f>
        <v>SRC_MOD_015</v>
      </c>
      <c r="B986" s="65" t="str">
        <f aca="false">IF(A986="","（哨兵：Gov_Map 該列無 SRC_ID）",IF(COUNTIF($A$5:$A$794,A986)&gt;0,"（哨兵：此 SRC_ID 已在上方 SRC 頁，查詢不會命中本列）","（哨兵：SRC 頁查無此 ID）"))</f>
        <v>（哨兵：此 SRC_ID 已在上方 SRC 頁，查詢不會命中本列）</v>
      </c>
      <c r="C986" s="61" t="n">
        <v>196</v>
      </c>
      <c r="D986" s="61" t="s">
        <v>10703</v>
      </c>
      <c r="E986" s="61" t="s">
        <v>10703</v>
      </c>
      <c r="F986" s="62" t="s">
        <v>814</v>
      </c>
    </row>
    <row r="987" customFormat="false" ht="15" hidden="false" customHeight="false" outlineLevel="0" collapsed="false">
      <c r="A987" s="92" t="str">
        <f aca="false">Gov_Map!$H197&amp;""</f>
        <v>SRC_MOD_016</v>
      </c>
      <c r="B987" s="65" t="str">
        <f aca="false">IF(A987="","（哨兵：Gov_Map 該列無 SRC_ID）",IF(COUNTIF($A$5:$A$794,A987)&gt;0,"（哨兵：此 SRC_ID 已在上方 SRC 頁，查詢不會命中本列）","（哨兵：SRC 頁查無此 ID）"))</f>
        <v>（哨兵：此 SRC_ID 已在上方 SRC 頁，查詢不會命中本列）</v>
      </c>
      <c r="C987" s="61" t="n">
        <v>197</v>
      </c>
      <c r="D987" s="61" t="s">
        <v>10703</v>
      </c>
      <c r="E987" s="61" t="s">
        <v>10703</v>
      </c>
      <c r="F987" s="62" t="s">
        <v>814</v>
      </c>
    </row>
    <row r="988" customFormat="false" ht="15" hidden="false" customHeight="false" outlineLevel="0" collapsed="false">
      <c r="A988" s="92" t="str">
        <f aca="false">Gov_Map!$H198&amp;""</f>
        <v>SRC_MOD_016</v>
      </c>
      <c r="B988" s="65" t="str">
        <f aca="false">IF(A988="","（哨兵：Gov_Map 該列無 SRC_ID）",IF(COUNTIF($A$5:$A$794,A988)&gt;0,"（哨兵：此 SRC_ID 已在上方 SRC 頁，查詢不會命中本列）","（哨兵：SRC 頁查無此 ID）"))</f>
        <v>（哨兵：此 SRC_ID 已在上方 SRC 頁，查詢不會命中本列）</v>
      </c>
      <c r="C988" s="61" t="n">
        <v>198</v>
      </c>
      <c r="D988" s="61" t="s">
        <v>10703</v>
      </c>
      <c r="E988" s="61" t="s">
        <v>10703</v>
      </c>
      <c r="F988" s="62" t="s">
        <v>814</v>
      </c>
    </row>
    <row r="989" customFormat="false" ht="15" hidden="false" customHeight="false" outlineLevel="0" collapsed="false">
      <c r="A989" s="92" t="str">
        <f aca="false">Gov_Map!$H199&amp;""</f>
        <v>SRC_MOD_017</v>
      </c>
      <c r="B989" s="65" t="str">
        <f aca="false">IF(A989="","（哨兵：Gov_Map 該列無 SRC_ID）",IF(COUNTIF($A$5:$A$794,A989)&gt;0,"（哨兵：此 SRC_ID 已在上方 SRC 頁，查詢不會命中本列）","（哨兵：SRC 頁查無此 ID）"))</f>
        <v>（哨兵：此 SRC_ID 已在上方 SRC 頁，查詢不會命中本列）</v>
      </c>
      <c r="C989" s="61" t="n">
        <v>199</v>
      </c>
      <c r="D989" s="61" t="s">
        <v>10703</v>
      </c>
      <c r="E989" s="61" t="s">
        <v>10703</v>
      </c>
      <c r="F989" s="62" t="s">
        <v>814</v>
      </c>
    </row>
    <row r="990" customFormat="false" ht="15" hidden="false" customHeight="false" outlineLevel="0" collapsed="false">
      <c r="A990" s="92" t="str">
        <f aca="false">Gov_Map!$H200&amp;""</f>
        <v>SRC_MOD_017</v>
      </c>
      <c r="B990" s="65" t="str">
        <f aca="false">IF(A990="","（哨兵：Gov_Map 該列無 SRC_ID）",IF(COUNTIF($A$5:$A$794,A990)&gt;0,"（哨兵：此 SRC_ID 已在上方 SRC 頁，查詢不會命中本列）","（哨兵：SRC 頁查無此 ID）"))</f>
        <v>（哨兵：此 SRC_ID 已在上方 SRC 頁，查詢不會命中本列）</v>
      </c>
      <c r="C990" s="61" t="n">
        <v>200</v>
      </c>
      <c r="D990" s="61" t="s">
        <v>10703</v>
      </c>
      <c r="E990" s="61" t="s">
        <v>10703</v>
      </c>
      <c r="F990" s="62" t="s">
        <v>814</v>
      </c>
    </row>
    <row r="991" customFormat="false" ht="15" hidden="false" customHeight="false" outlineLevel="0" collapsed="false">
      <c r="A991" s="92" t="str">
        <f aca="false">Gov_Map!$H201&amp;""</f>
        <v>SRC_MOD_004</v>
      </c>
      <c r="B991" s="65" t="str">
        <f aca="false">IF(A991="","（哨兵：Gov_Map 該列無 SRC_ID）",IF(COUNTIF($A$5:$A$794,A991)&gt;0,"（哨兵：此 SRC_ID 已在上方 SRC 頁，查詢不會命中本列）","（哨兵：SRC 頁查無此 ID）"))</f>
        <v>（哨兵：此 SRC_ID 已在上方 SRC 頁，查詢不會命中本列）</v>
      </c>
      <c r="C991" s="61" t="n">
        <v>201</v>
      </c>
      <c r="D991" s="61" t="s">
        <v>10703</v>
      </c>
      <c r="E991" s="61" t="s">
        <v>10703</v>
      </c>
      <c r="F991" s="62" t="s">
        <v>814</v>
      </c>
    </row>
    <row r="992" customFormat="false" ht="15" hidden="false" customHeight="false" outlineLevel="0" collapsed="false">
      <c r="A992" s="92" t="str">
        <f aca="false">Gov_Map!$H202&amp;""</f>
        <v>SRC_MOD_008</v>
      </c>
      <c r="B992" s="65" t="str">
        <f aca="false">IF(A992="","（哨兵：Gov_Map 該列無 SRC_ID）",IF(COUNTIF($A$5:$A$794,A992)&gt;0,"（哨兵：此 SRC_ID 已在上方 SRC 頁，查詢不會命中本列）","（哨兵：SRC 頁查無此 ID）"))</f>
        <v>（哨兵：此 SRC_ID 已在上方 SRC 頁，查詢不會命中本列）</v>
      </c>
      <c r="C992" s="61" t="n">
        <v>202</v>
      </c>
      <c r="D992" s="61" t="s">
        <v>10703</v>
      </c>
      <c r="E992" s="61" t="s">
        <v>10703</v>
      </c>
      <c r="F992" s="62" t="s">
        <v>814</v>
      </c>
    </row>
    <row r="993" customFormat="false" ht="15" hidden="false" customHeight="false" outlineLevel="0" collapsed="false">
      <c r="A993" s="92" t="str">
        <f aca="false">Gov_Map!$H203&amp;""</f>
        <v>SRC_MOD_052</v>
      </c>
      <c r="B993" s="65" t="str">
        <f aca="false">IF(A993="","（哨兵：Gov_Map 該列無 SRC_ID）",IF(COUNTIF($A$5:$A$794,A993)&gt;0,"（哨兵：此 SRC_ID 已在上方 SRC 頁，查詢不會命中本列）","（哨兵：SRC 頁查無此 ID）"))</f>
        <v>（哨兵：此 SRC_ID 已在上方 SRC 頁，查詢不會命中本列）</v>
      </c>
      <c r="C993" s="61" t="n">
        <v>203</v>
      </c>
      <c r="D993" s="61" t="s">
        <v>10703</v>
      </c>
      <c r="E993" s="61" t="s">
        <v>10703</v>
      </c>
      <c r="F993" s="62" t="s">
        <v>814</v>
      </c>
    </row>
    <row r="994" customFormat="false" ht="15" hidden="false" customHeight="false" outlineLevel="0" collapsed="false">
      <c r="A994" s="92" t="str">
        <f aca="false">Gov_Map!$H204&amp;""</f>
        <v>SRC_MOD_053</v>
      </c>
      <c r="B994" s="65" t="str">
        <f aca="false">IF(A994="","（哨兵：Gov_Map 該列無 SRC_ID）",IF(COUNTIF($A$5:$A$794,A994)&gt;0,"（哨兵：此 SRC_ID 已在上方 SRC 頁，查詢不會命中本列）","（哨兵：SRC 頁查無此 ID）"))</f>
        <v>（哨兵：此 SRC_ID 已在上方 SRC 頁，查詢不會命中本列）</v>
      </c>
      <c r="C994" s="61" t="n">
        <v>204</v>
      </c>
      <c r="D994" s="61" t="s">
        <v>10703</v>
      </c>
      <c r="E994" s="61" t="s">
        <v>10703</v>
      </c>
      <c r="F994" s="62" t="s">
        <v>814</v>
      </c>
    </row>
    <row r="995" customFormat="false" ht="15" hidden="false" customHeight="false" outlineLevel="0" collapsed="false">
      <c r="A995" s="92" t="str">
        <f aca="false">Gov_Map!$H205&amp;""</f>
        <v>SRC_MOD_018</v>
      </c>
      <c r="B995" s="65" t="str">
        <f aca="false">IF(A995="","（哨兵：Gov_Map 該列無 SRC_ID）",IF(COUNTIF($A$5:$A$794,A995)&gt;0,"（哨兵：此 SRC_ID 已在上方 SRC 頁，查詢不會命中本列）","（哨兵：SRC 頁查無此 ID）"))</f>
        <v>（哨兵：此 SRC_ID 已在上方 SRC 頁，查詢不會命中本列）</v>
      </c>
      <c r="C995" s="61" t="n">
        <v>205</v>
      </c>
      <c r="D995" s="61" t="s">
        <v>10703</v>
      </c>
      <c r="E995" s="61" t="s">
        <v>10703</v>
      </c>
      <c r="F995" s="62" t="s">
        <v>814</v>
      </c>
    </row>
    <row r="996" customFormat="false" ht="15" hidden="false" customHeight="false" outlineLevel="0" collapsed="false">
      <c r="A996" s="92" t="str">
        <f aca="false">Gov_Map!$H206&amp;""</f>
        <v>SRC_MOD_018</v>
      </c>
      <c r="B996" s="65" t="str">
        <f aca="false">IF(A996="","（哨兵：Gov_Map 該列無 SRC_ID）",IF(COUNTIF($A$5:$A$794,A996)&gt;0,"（哨兵：此 SRC_ID 已在上方 SRC 頁，查詢不會命中本列）","（哨兵：SRC 頁查無此 ID）"))</f>
        <v>（哨兵：此 SRC_ID 已在上方 SRC 頁，查詢不會命中本列）</v>
      </c>
      <c r="C996" s="61" t="n">
        <v>206</v>
      </c>
      <c r="D996" s="61" t="s">
        <v>10703</v>
      </c>
      <c r="E996" s="61" t="s">
        <v>10703</v>
      </c>
      <c r="F996" s="62" t="s">
        <v>814</v>
      </c>
    </row>
    <row r="997" customFormat="false" ht="15" hidden="false" customHeight="false" outlineLevel="0" collapsed="false">
      <c r="A997" s="92" t="str">
        <f aca="false">Gov_Map!$H207&amp;""</f>
        <v>—</v>
      </c>
      <c r="B997" s="65" t="str">
        <f aca="false">IF(A997="","（哨兵：Gov_Map 該列無 SRC_ID）",IF(COUNTIF($A$5:$A$794,A997)&gt;0,"（哨兵：此 SRC_ID 已在上方 SRC 頁，查詢不會命中本列）","（哨兵：SRC 頁查無此 ID）"))</f>
        <v>（哨兵：SRC 頁查無此 ID）</v>
      </c>
      <c r="C997" s="61" t="n">
        <v>207</v>
      </c>
      <c r="D997" s="61" t="s">
        <v>10703</v>
      </c>
      <c r="E997" s="61" t="s">
        <v>10703</v>
      </c>
      <c r="F997" s="62" t="s">
        <v>814</v>
      </c>
    </row>
    <row r="998" customFormat="false" ht="15" hidden="false" customHeight="false" outlineLevel="0" collapsed="false">
      <c r="A998" s="92" t="str">
        <f aca="false">Gov_Map!$H208&amp;""</f>
        <v>—</v>
      </c>
      <c r="B998" s="65" t="str">
        <f aca="false">IF(A998="","（哨兵：Gov_Map 該列無 SRC_ID）",IF(COUNTIF($A$5:$A$794,A998)&gt;0,"（哨兵：此 SRC_ID 已在上方 SRC 頁，查詢不會命中本列）","（哨兵：SRC 頁查無此 ID）"))</f>
        <v>（哨兵：SRC 頁查無此 ID）</v>
      </c>
      <c r="C998" s="61" t="n">
        <v>208</v>
      </c>
      <c r="D998" s="61" t="s">
        <v>10703</v>
      </c>
      <c r="E998" s="61" t="s">
        <v>10703</v>
      </c>
      <c r="F998" s="62" t="s">
        <v>814</v>
      </c>
    </row>
    <row r="999" customFormat="false" ht="15" hidden="false" customHeight="false" outlineLevel="0" collapsed="false">
      <c r="A999" s="92" t="str">
        <f aca="false">Gov_Map!$H209&amp;""</f>
        <v>—</v>
      </c>
      <c r="B999" s="65" t="str">
        <f aca="false">IF(A999="","（哨兵：Gov_Map 該列無 SRC_ID）",IF(COUNTIF($A$5:$A$794,A999)&gt;0,"（哨兵：此 SRC_ID 已在上方 SRC 頁，查詢不會命中本列）","（哨兵：SRC 頁查無此 ID）"))</f>
        <v>（哨兵：SRC 頁查無此 ID）</v>
      </c>
      <c r="C999" s="61" t="n">
        <v>209</v>
      </c>
      <c r="D999" s="61" t="s">
        <v>10703</v>
      </c>
      <c r="E999" s="61" t="s">
        <v>10703</v>
      </c>
      <c r="F999" s="62" t="s">
        <v>814</v>
      </c>
    </row>
    <row r="1000" customFormat="false" ht="15" hidden="false" customHeight="false" outlineLevel="0" collapsed="false">
      <c r="A1000" s="92" t="str">
        <f aca="false">Gov_Map!$H210&amp;""</f>
        <v>—</v>
      </c>
      <c r="B1000" s="65" t="str">
        <f aca="false">IF(A1000="","（哨兵：Gov_Map 該列無 SRC_ID）",IF(COUNTIF($A$5:$A$794,A1000)&gt;0,"（哨兵：此 SRC_ID 已在上方 SRC 頁，查詢不會命中本列）","（哨兵：SRC 頁查無此 ID）"))</f>
        <v>（哨兵：SRC 頁查無此 ID）</v>
      </c>
      <c r="C1000" s="61" t="n">
        <v>210</v>
      </c>
      <c r="D1000" s="61" t="s">
        <v>10703</v>
      </c>
      <c r="E1000" s="61" t="s">
        <v>10703</v>
      </c>
      <c r="F1000" s="62" t="s">
        <v>814</v>
      </c>
    </row>
    <row r="1001" customFormat="false" ht="15" hidden="false" customHeight="false" outlineLevel="0" collapsed="false">
      <c r="A1001" s="92" t="str">
        <f aca="false">Gov_Map!$H211&amp;""</f>
        <v>—</v>
      </c>
      <c r="B1001" s="65" t="str">
        <f aca="false">IF(A1001="","（哨兵：Gov_Map 該列無 SRC_ID）",IF(COUNTIF($A$5:$A$794,A1001)&gt;0,"（哨兵：此 SRC_ID 已在上方 SRC 頁，查詢不會命中本列）","（哨兵：SRC 頁查無此 ID）"))</f>
        <v>（哨兵：SRC 頁查無此 ID）</v>
      </c>
      <c r="C1001" s="61" t="n">
        <v>211</v>
      </c>
      <c r="D1001" s="61" t="s">
        <v>10703</v>
      </c>
      <c r="E1001" s="61" t="s">
        <v>10703</v>
      </c>
      <c r="F1001" s="62" t="s">
        <v>814</v>
      </c>
    </row>
    <row r="1002" customFormat="false" ht="15" hidden="false" customHeight="false" outlineLevel="0" collapsed="false">
      <c r="A1002" s="92" t="str">
        <f aca="false">Gov_Map!$H212&amp;""</f>
        <v>—</v>
      </c>
      <c r="B1002" s="65" t="str">
        <f aca="false">IF(A1002="","（哨兵：Gov_Map 該列無 SRC_ID）",IF(COUNTIF($A$5:$A$794,A1002)&gt;0,"（哨兵：此 SRC_ID 已在上方 SRC 頁，查詢不會命中本列）","（哨兵：SRC 頁查無此 ID）"))</f>
        <v>（哨兵：SRC 頁查無此 ID）</v>
      </c>
      <c r="C1002" s="61" t="n">
        <v>212</v>
      </c>
      <c r="D1002" s="61" t="s">
        <v>10703</v>
      </c>
      <c r="E1002" s="61" t="s">
        <v>10703</v>
      </c>
      <c r="F1002" s="62" t="s">
        <v>814</v>
      </c>
    </row>
    <row r="1003" customFormat="false" ht="15" hidden="false" customHeight="false" outlineLevel="0" collapsed="false">
      <c r="A1003" s="92" t="str">
        <f aca="false">Gov_Map!$H213&amp;""</f>
        <v>—</v>
      </c>
      <c r="B1003" s="65" t="str">
        <f aca="false">IF(A1003="","（哨兵：Gov_Map 該列無 SRC_ID）",IF(COUNTIF($A$5:$A$794,A1003)&gt;0,"（哨兵：此 SRC_ID 已在上方 SRC 頁，查詢不會命中本列）","（哨兵：SRC 頁查無此 ID）"))</f>
        <v>（哨兵：SRC 頁查無此 ID）</v>
      </c>
      <c r="C1003" s="61" t="n">
        <v>213</v>
      </c>
      <c r="D1003" s="61" t="s">
        <v>10703</v>
      </c>
      <c r="E1003" s="61" t="s">
        <v>10703</v>
      </c>
      <c r="F1003" s="62" t="s">
        <v>814</v>
      </c>
    </row>
    <row r="1004" customFormat="false" ht="15" hidden="false" customHeight="false" outlineLevel="0" collapsed="false">
      <c r="A1004" s="92" t="str">
        <f aca="false">Gov_Map!$H214&amp;""</f>
        <v>—</v>
      </c>
      <c r="B1004" s="65" t="str">
        <f aca="false">IF(A1004="","（哨兵：Gov_Map 該列無 SRC_ID）",IF(COUNTIF($A$5:$A$794,A1004)&gt;0,"（哨兵：此 SRC_ID 已在上方 SRC 頁，查詢不會命中本列）","（哨兵：SRC 頁查無此 ID）"))</f>
        <v>（哨兵：SRC 頁查無此 ID）</v>
      </c>
      <c r="C1004" s="61" t="n">
        <v>214</v>
      </c>
      <c r="D1004" s="61" t="s">
        <v>10703</v>
      </c>
      <c r="E1004" s="61" t="s">
        <v>10703</v>
      </c>
      <c r="F1004" s="62" t="s">
        <v>814</v>
      </c>
    </row>
    <row r="1005" customFormat="false" ht="15" hidden="false" customHeight="false" outlineLevel="0" collapsed="false">
      <c r="A1005" s="92" t="str">
        <f aca="false">Gov_Map!$H215&amp;""</f>
        <v>—</v>
      </c>
      <c r="B1005" s="65" t="str">
        <f aca="false">IF(A1005="","（哨兵：Gov_Map 該列無 SRC_ID）",IF(COUNTIF($A$5:$A$794,A1005)&gt;0,"（哨兵：此 SRC_ID 已在上方 SRC 頁，查詢不會命中本列）","（哨兵：SRC 頁查無此 ID）"))</f>
        <v>（哨兵：SRC 頁查無此 ID）</v>
      </c>
      <c r="C1005" s="61" t="n">
        <v>215</v>
      </c>
      <c r="D1005" s="61" t="s">
        <v>10703</v>
      </c>
      <c r="E1005" s="61" t="s">
        <v>10703</v>
      </c>
      <c r="F1005" s="62" t="s">
        <v>814</v>
      </c>
    </row>
    <row r="1006" customFormat="false" ht="15" hidden="false" customHeight="false" outlineLevel="0" collapsed="false">
      <c r="A1006" s="92" t="str">
        <f aca="false">Gov_Map!$H216&amp;""</f>
        <v>—</v>
      </c>
      <c r="B1006" s="65" t="str">
        <f aca="false">IF(A1006="","（哨兵：Gov_Map 該列無 SRC_ID）",IF(COUNTIF($A$5:$A$794,A1006)&gt;0,"（哨兵：此 SRC_ID 已在上方 SRC 頁，查詢不會命中本列）","（哨兵：SRC 頁查無此 ID）"))</f>
        <v>（哨兵：SRC 頁查無此 ID）</v>
      </c>
      <c r="C1006" s="61" t="n">
        <v>216</v>
      </c>
      <c r="D1006" s="61" t="s">
        <v>10703</v>
      </c>
      <c r="E1006" s="61" t="s">
        <v>10703</v>
      </c>
      <c r="F1006" s="62" t="s">
        <v>814</v>
      </c>
    </row>
    <row r="1007" customFormat="false" ht="15" hidden="false" customHeight="false" outlineLevel="0" collapsed="false">
      <c r="A1007" s="92" t="str">
        <f aca="false">Gov_Map!$H217&amp;""</f>
        <v>—</v>
      </c>
      <c r="B1007" s="65" t="str">
        <f aca="false">IF(A1007="","（哨兵：Gov_Map 該列無 SRC_ID）",IF(COUNTIF($A$5:$A$794,A1007)&gt;0,"（哨兵：此 SRC_ID 已在上方 SRC 頁，查詢不會命中本列）","（哨兵：SRC 頁查無此 ID）"))</f>
        <v>（哨兵：SRC 頁查無此 ID）</v>
      </c>
      <c r="C1007" s="61" t="n">
        <v>217</v>
      </c>
      <c r="D1007" s="61" t="s">
        <v>10703</v>
      </c>
      <c r="E1007" s="61" t="s">
        <v>10703</v>
      </c>
      <c r="F1007" s="62" t="s">
        <v>814</v>
      </c>
    </row>
    <row r="1008" customFormat="false" ht="15" hidden="false" customHeight="false" outlineLevel="0" collapsed="false">
      <c r="A1008" s="92" t="str">
        <f aca="false">Gov_Map!$H218&amp;""</f>
        <v>—</v>
      </c>
      <c r="B1008" s="65" t="str">
        <f aca="false">IF(A1008="","（哨兵：Gov_Map 該列無 SRC_ID）",IF(COUNTIF($A$5:$A$794,A1008)&gt;0,"（哨兵：此 SRC_ID 已在上方 SRC 頁，查詢不會命中本列）","（哨兵：SRC 頁查無此 ID）"))</f>
        <v>（哨兵：SRC 頁查無此 ID）</v>
      </c>
      <c r="C1008" s="61" t="n">
        <v>218</v>
      </c>
      <c r="D1008" s="61" t="s">
        <v>10703</v>
      </c>
      <c r="E1008" s="61" t="s">
        <v>10703</v>
      </c>
      <c r="F1008" s="62" t="s">
        <v>814</v>
      </c>
    </row>
    <row r="1009" customFormat="false" ht="15" hidden="false" customHeight="false" outlineLevel="0" collapsed="false">
      <c r="A1009" s="92" t="str">
        <f aca="false">Gov_Map!$H219&amp;""</f>
        <v>—</v>
      </c>
      <c r="B1009" s="65" t="str">
        <f aca="false">IF(A1009="","（哨兵：Gov_Map 該列無 SRC_ID）",IF(COUNTIF($A$5:$A$794,A1009)&gt;0,"（哨兵：此 SRC_ID 已在上方 SRC 頁，查詢不會命中本列）","（哨兵：SRC 頁查無此 ID）"))</f>
        <v>（哨兵：SRC 頁查無此 ID）</v>
      </c>
      <c r="C1009" s="61" t="n">
        <v>219</v>
      </c>
      <c r="D1009" s="61" t="s">
        <v>10703</v>
      </c>
      <c r="E1009" s="61" t="s">
        <v>10703</v>
      </c>
      <c r="F1009" s="62" t="s">
        <v>814</v>
      </c>
    </row>
    <row r="1010" customFormat="false" ht="15" hidden="false" customHeight="false" outlineLevel="0" collapsed="false">
      <c r="A1010" s="92" t="str">
        <f aca="false">Gov_Map!$H220&amp;""</f>
        <v>—</v>
      </c>
      <c r="B1010" s="65" t="str">
        <f aca="false">IF(A1010="","（哨兵：Gov_Map 該列無 SRC_ID）",IF(COUNTIF($A$5:$A$794,A1010)&gt;0,"（哨兵：此 SRC_ID 已在上方 SRC 頁，查詢不會命中本列）","（哨兵：SRC 頁查無此 ID）"))</f>
        <v>（哨兵：SRC 頁查無此 ID）</v>
      </c>
      <c r="C1010" s="61" t="n">
        <v>220</v>
      </c>
      <c r="D1010" s="61" t="s">
        <v>10703</v>
      </c>
      <c r="E1010" s="61" t="s">
        <v>10703</v>
      </c>
      <c r="F1010" s="62" t="s">
        <v>814</v>
      </c>
    </row>
    <row r="1011" customFormat="false" ht="15" hidden="false" customHeight="false" outlineLevel="0" collapsed="false">
      <c r="A1011" s="92" t="str">
        <f aca="false">Gov_Map!$H221&amp;""</f>
        <v>—</v>
      </c>
      <c r="B1011" s="65" t="str">
        <f aca="false">IF(A1011="","（哨兵：Gov_Map 該列無 SRC_ID）",IF(COUNTIF($A$5:$A$794,A1011)&gt;0,"（哨兵：此 SRC_ID 已在上方 SRC 頁，查詢不會命中本列）","（哨兵：SRC 頁查無此 ID）"))</f>
        <v>（哨兵：SRC 頁查無此 ID）</v>
      </c>
      <c r="C1011" s="61" t="n">
        <v>221</v>
      </c>
      <c r="D1011" s="61" t="s">
        <v>10703</v>
      </c>
      <c r="E1011" s="61" t="s">
        <v>10703</v>
      </c>
      <c r="F1011" s="62" t="s">
        <v>814</v>
      </c>
    </row>
    <row r="1012" customFormat="false" ht="15" hidden="false" customHeight="false" outlineLevel="0" collapsed="false">
      <c r="A1012" s="92" t="str">
        <f aca="false">Gov_Map!$H222&amp;""</f>
        <v>—</v>
      </c>
      <c r="B1012" s="65" t="str">
        <f aca="false">IF(A1012="","（哨兵：Gov_Map 該列無 SRC_ID）",IF(COUNTIF($A$5:$A$794,A1012)&gt;0,"（哨兵：此 SRC_ID 已在上方 SRC 頁，查詢不會命中本列）","（哨兵：SRC 頁查無此 ID）"))</f>
        <v>（哨兵：SRC 頁查無此 ID）</v>
      </c>
      <c r="C1012" s="61" t="n">
        <v>222</v>
      </c>
      <c r="D1012" s="61" t="s">
        <v>10703</v>
      </c>
      <c r="E1012" s="61" t="s">
        <v>10703</v>
      </c>
      <c r="F1012" s="62" t="s">
        <v>814</v>
      </c>
    </row>
    <row r="1013" customFormat="false" ht="15" hidden="false" customHeight="false" outlineLevel="0" collapsed="false">
      <c r="A1013" s="92" t="str">
        <f aca="false">Gov_Map!$H223&amp;""</f>
        <v>—</v>
      </c>
      <c r="B1013" s="65" t="str">
        <f aca="false">IF(A1013="","（哨兵：Gov_Map 該列無 SRC_ID）",IF(COUNTIF($A$5:$A$794,A1013)&gt;0,"（哨兵：此 SRC_ID 已在上方 SRC 頁，查詢不會命中本列）","（哨兵：SRC 頁查無此 ID）"))</f>
        <v>（哨兵：SRC 頁查無此 ID）</v>
      </c>
      <c r="C1013" s="61" t="n">
        <v>223</v>
      </c>
      <c r="D1013" s="61" t="s">
        <v>10703</v>
      </c>
      <c r="E1013" s="61" t="s">
        <v>10703</v>
      </c>
      <c r="F1013" s="62" t="s">
        <v>814</v>
      </c>
    </row>
    <row r="1014" customFormat="false" ht="15" hidden="false" customHeight="false" outlineLevel="0" collapsed="false">
      <c r="A1014" s="92" t="str">
        <f aca="false">Gov_Map!$H224&amp;""</f>
        <v>—</v>
      </c>
      <c r="B1014" s="65" t="str">
        <f aca="false">IF(A1014="","（哨兵：Gov_Map 該列無 SRC_ID）",IF(COUNTIF($A$5:$A$794,A1014)&gt;0,"（哨兵：此 SRC_ID 已在上方 SRC 頁，查詢不會命中本列）","（哨兵：SRC 頁查無此 ID）"))</f>
        <v>（哨兵：SRC 頁查無此 ID）</v>
      </c>
      <c r="C1014" s="61" t="n">
        <v>224</v>
      </c>
      <c r="D1014" s="61" t="s">
        <v>10703</v>
      </c>
      <c r="E1014" s="61" t="s">
        <v>10703</v>
      </c>
      <c r="F1014" s="62" t="s">
        <v>814</v>
      </c>
    </row>
    <row r="1015" customFormat="false" ht="15" hidden="false" customHeight="false" outlineLevel="0" collapsed="false">
      <c r="A1015" s="92" t="str">
        <f aca="false">Gov_Map!$H225&amp;""</f>
        <v>—</v>
      </c>
      <c r="B1015" s="65" t="str">
        <f aca="false">IF(A1015="","（哨兵：Gov_Map 該列無 SRC_ID）",IF(COUNTIF($A$5:$A$794,A1015)&gt;0,"（哨兵：此 SRC_ID 已在上方 SRC 頁，查詢不會命中本列）","（哨兵：SRC 頁查無此 ID）"))</f>
        <v>（哨兵：SRC 頁查無此 ID）</v>
      </c>
      <c r="C1015" s="61" t="n">
        <v>225</v>
      </c>
      <c r="D1015" s="61" t="s">
        <v>10703</v>
      </c>
      <c r="E1015" s="61" t="s">
        <v>10703</v>
      </c>
      <c r="F1015" s="62" t="s">
        <v>814</v>
      </c>
    </row>
    <row r="1016" customFormat="false" ht="15" hidden="false" customHeight="false" outlineLevel="0" collapsed="false">
      <c r="A1016" s="92" t="str">
        <f aca="false">Gov_Map!$H226&amp;""</f>
        <v>—</v>
      </c>
      <c r="B1016" s="65" t="str">
        <f aca="false">IF(A1016="","（哨兵：Gov_Map 該列無 SRC_ID）",IF(COUNTIF($A$5:$A$794,A1016)&gt;0,"（哨兵：此 SRC_ID 已在上方 SRC 頁，查詢不會命中本列）","（哨兵：SRC 頁查無此 ID）"))</f>
        <v>（哨兵：SRC 頁查無此 ID）</v>
      </c>
      <c r="C1016" s="61" t="n">
        <v>226</v>
      </c>
      <c r="D1016" s="61" t="s">
        <v>10703</v>
      </c>
      <c r="E1016" s="61" t="s">
        <v>10703</v>
      </c>
      <c r="F1016" s="62" t="s">
        <v>814</v>
      </c>
    </row>
    <row r="1017" customFormat="false" ht="15" hidden="false" customHeight="false" outlineLevel="0" collapsed="false">
      <c r="A1017" s="92" t="str">
        <f aca="false">Gov_Map!$H227&amp;""</f>
        <v>—</v>
      </c>
      <c r="B1017" s="65" t="str">
        <f aca="false">IF(A1017="","（哨兵：Gov_Map 該列無 SRC_ID）",IF(COUNTIF($A$5:$A$794,A1017)&gt;0,"（哨兵：此 SRC_ID 已在上方 SRC 頁，查詢不會命中本列）","（哨兵：SRC 頁查無此 ID）"))</f>
        <v>（哨兵：SRC 頁查無此 ID）</v>
      </c>
      <c r="C1017" s="61" t="n">
        <v>227</v>
      </c>
      <c r="D1017" s="61" t="s">
        <v>10703</v>
      </c>
      <c r="E1017" s="61" t="s">
        <v>10703</v>
      </c>
      <c r="F1017" s="62" t="s">
        <v>814</v>
      </c>
    </row>
    <row r="1018" customFormat="false" ht="15" hidden="false" customHeight="false" outlineLevel="0" collapsed="false">
      <c r="A1018" s="92" t="str">
        <f aca="false">Gov_Map!$H228&amp;""</f>
        <v>—</v>
      </c>
      <c r="B1018" s="65" t="str">
        <f aca="false">IF(A1018="","（哨兵：Gov_Map 該列無 SRC_ID）",IF(COUNTIF($A$5:$A$794,A1018)&gt;0,"（哨兵：此 SRC_ID 已在上方 SRC 頁，查詢不會命中本列）","（哨兵：SRC 頁查無此 ID）"))</f>
        <v>（哨兵：SRC 頁查無此 ID）</v>
      </c>
      <c r="C1018" s="61" t="n">
        <v>228</v>
      </c>
      <c r="D1018" s="61" t="s">
        <v>10703</v>
      </c>
      <c r="E1018" s="61" t="s">
        <v>10703</v>
      </c>
      <c r="F1018" s="62" t="s">
        <v>814</v>
      </c>
    </row>
    <row r="1019" customFormat="false" ht="15" hidden="false" customHeight="false" outlineLevel="0" collapsed="false">
      <c r="A1019" s="92" t="str">
        <f aca="false">Gov_Map!$H229&amp;""</f>
        <v>—</v>
      </c>
      <c r="B1019" s="65" t="str">
        <f aca="false">IF(A1019="","（哨兵：Gov_Map 該列無 SRC_ID）",IF(COUNTIF($A$5:$A$794,A1019)&gt;0,"（哨兵：此 SRC_ID 已在上方 SRC 頁，查詢不會命中本列）","（哨兵：SRC 頁查無此 ID）"))</f>
        <v>（哨兵：SRC 頁查無此 ID）</v>
      </c>
      <c r="C1019" s="61" t="n">
        <v>229</v>
      </c>
      <c r="D1019" s="61" t="s">
        <v>10703</v>
      </c>
      <c r="E1019" s="61" t="s">
        <v>10703</v>
      </c>
      <c r="F1019" s="62" t="s">
        <v>814</v>
      </c>
    </row>
    <row r="1020" customFormat="false" ht="15" hidden="false" customHeight="false" outlineLevel="0" collapsed="false">
      <c r="A1020" s="92" t="str">
        <f aca="false">Gov_Map!$H230&amp;""</f>
        <v>—</v>
      </c>
      <c r="B1020" s="65" t="str">
        <f aca="false">IF(A1020="","（哨兵：Gov_Map 該列無 SRC_ID）",IF(COUNTIF($A$5:$A$794,A1020)&gt;0,"（哨兵：此 SRC_ID 已在上方 SRC 頁，查詢不會命中本列）","（哨兵：SRC 頁查無此 ID）"))</f>
        <v>（哨兵：SRC 頁查無此 ID）</v>
      </c>
      <c r="C1020" s="61" t="n">
        <v>230</v>
      </c>
      <c r="D1020" s="61" t="s">
        <v>10703</v>
      </c>
      <c r="E1020" s="61" t="s">
        <v>10703</v>
      </c>
      <c r="F1020" s="62" t="s">
        <v>814</v>
      </c>
    </row>
    <row r="1021" customFormat="false" ht="15" hidden="false" customHeight="false" outlineLevel="0" collapsed="false">
      <c r="A1021" s="92" t="str">
        <f aca="false">Gov_Map!$H231&amp;""</f>
        <v>SRC_PERF_035</v>
      </c>
      <c r="B1021" s="65" t="str">
        <f aca="false">IF(A1021="","（哨兵：Gov_Map 該列無 SRC_ID）",IF(COUNTIF($A$5:$A$794,A1021)&gt;0,"（哨兵：此 SRC_ID 已在上方 SRC 頁，查詢不會命中本列）","（哨兵：SRC 頁查無此 ID）"))</f>
        <v>（哨兵：此 SRC_ID 已在上方 SRC 頁，查詢不會命中本列）</v>
      </c>
      <c r="C1021" s="61" t="n">
        <v>231</v>
      </c>
      <c r="D1021" s="61" t="s">
        <v>10703</v>
      </c>
      <c r="E1021" s="61" t="s">
        <v>10703</v>
      </c>
      <c r="F1021" s="62" t="s">
        <v>814</v>
      </c>
    </row>
    <row r="1022" customFormat="false" ht="15" hidden="false" customHeight="false" outlineLevel="0" collapsed="false">
      <c r="A1022" s="92" t="str">
        <f aca="false">Gov_Map!$H232&amp;""</f>
        <v>SRC_PERF_005</v>
      </c>
      <c r="B1022" s="65" t="str">
        <f aca="false">IF(A1022="","（哨兵：Gov_Map 該列無 SRC_ID）",IF(COUNTIF($A$5:$A$794,A1022)&gt;0,"（哨兵：此 SRC_ID 已在上方 SRC 頁，查詢不會命中本列）","（哨兵：SRC 頁查無此 ID）"))</f>
        <v>（哨兵：此 SRC_ID 已在上方 SRC 頁，查詢不會命中本列）</v>
      </c>
      <c r="C1022" s="61" t="n">
        <v>232</v>
      </c>
      <c r="D1022" s="61" t="s">
        <v>10703</v>
      </c>
      <c r="E1022" s="61" t="s">
        <v>10703</v>
      </c>
      <c r="F1022" s="62" t="s">
        <v>814</v>
      </c>
    </row>
    <row r="1023" customFormat="false" ht="15" hidden="false" customHeight="false" outlineLevel="0" collapsed="false">
      <c r="A1023" s="92" t="str">
        <f aca="false">Gov_Map!$H233&amp;""</f>
        <v>—</v>
      </c>
      <c r="B1023" s="65" t="str">
        <f aca="false">IF(A1023="","（哨兵：Gov_Map 該列無 SRC_ID）",IF(COUNTIF($A$5:$A$794,A1023)&gt;0,"（哨兵：此 SRC_ID 已在上方 SRC 頁，查詢不會命中本列）","（哨兵：SRC 頁查無此 ID）"))</f>
        <v>（哨兵：SRC 頁查無此 ID）</v>
      </c>
      <c r="C1023" s="61" t="n">
        <v>233</v>
      </c>
      <c r="D1023" s="61" t="s">
        <v>10703</v>
      </c>
      <c r="E1023" s="61" t="s">
        <v>10703</v>
      </c>
      <c r="F1023" s="62" t="s">
        <v>814</v>
      </c>
    </row>
    <row r="1024" customFormat="false" ht="15" hidden="false" customHeight="false" outlineLevel="0" collapsed="false">
      <c r="A1024" s="92" t="str">
        <f aca="false">Gov_Map!$H234&amp;""</f>
        <v>—</v>
      </c>
      <c r="B1024" s="65" t="str">
        <f aca="false">IF(A1024="","（哨兵：Gov_Map 該列無 SRC_ID）",IF(COUNTIF($A$5:$A$794,A1024)&gt;0,"（哨兵：此 SRC_ID 已在上方 SRC 頁，查詢不會命中本列）","（哨兵：SRC 頁查無此 ID）"))</f>
        <v>（哨兵：SRC 頁查無此 ID）</v>
      </c>
      <c r="C1024" s="61" t="n">
        <v>234</v>
      </c>
      <c r="D1024" s="61" t="s">
        <v>10703</v>
      </c>
      <c r="E1024" s="61" t="s">
        <v>10703</v>
      </c>
      <c r="F1024" s="62" t="s">
        <v>814</v>
      </c>
    </row>
    <row r="1025" customFormat="false" ht="15" hidden="false" customHeight="false" outlineLevel="0" collapsed="false">
      <c r="A1025" s="92" t="str">
        <f aca="false">Gov_Map!$H235&amp;""</f>
        <v>—</v>
      </c>
      <c r="B1025" s="65" t="str">
        <f aca="false">IF(A1025="","（哨兵：Gov_Map 該列無 SRC_ID）",IF(COUNTIF($A$5:$A$794,A1025)&gt;0,"（哨兵：此 SRC_ID 已在上方 SRC 頁，查詢不會命中本列）","（哨兵：SRC 頁查無此 ID）"))</f>
        <v>（哨兵：SRC 頁查無此 ID）</v>
      </c>
      <c r="C1025" s="61" t="n">
        <v>235</v>
      </c>
      <c r="D1025" s="61" t="s">
        <v>10703</v>
      </c>
      <c r="E1025" s="61" t="s">
        <v>10703</v>
      </c>
      <c r="F1025" s="62" t="s">
        <v>814</v>
      </c>
    </row>
    <row r="1026" customFormat="false" ht="15" hidden="false" customHeight="false" outlineLevel="0" collapsed="false">
      <c r="A1026" s="92" t="str">
        <f aca="false">Gov_Map!$H236&amp;""</f>
        <v>—</v>
      </c>
      <c r="B1026" s="65" t="str">
        <f aca="false">IF(A1026="","（哨兵：Gov_Map 該列無 SRC_ID）",IF(COUNTIF($A$5:$A$794,A1026)&gt;0,"（哨兵：此 SRC_ID 已在上方 SRC 頁，查詢不會命中本列）","（哨兵：SRC 頁查無此 ID）"))</f>
        <v>（哨兵：SRC 頁查無此 ID）</v>
      </c>
      <c r="C1026" s="61" t="n">
        <v>236</v>
      </c>
      <c r="D1026" s="61" t="s">
        <v>10703</v>
      </c>
      <c r="E1026" s="61" t="s">
        <v>10703</v>
      </c>
      <c r="F1026" s="62" t="s">
        <v>814</v>
      </c>
    </row>
    <row r="1027" customFormat="false" ht="15" hidden="false" customHeight="false" outlineLevel="0" collapsed="false">
      <c r="A1027" s="92" t="str">
        <f aca="false">Gov_Map!$H237&amp;""</f>
        <v>—</v>
      </c>
      <c r="B1027" s="65" t="str">
        <f aca="false">IF(A1027="","（哨兵：Gov_Map 該列無 SRC_ID）",IF(COUNTIF($A$5:$A$794,A1027)&gt;0,"（哨兵：此 SRC_ID 已在上方 SRC 頁，查詢不會命中本列）","（哨兵：SRC 頁查無此 ID）"))</f>
        <v>（哨兵：SRC 頁查無此 ID）</v>
      </c>
      <c r="C1027" s="61" t="n">
        <v>237</v>
      </c>
      <c r="D1027" s="61" t="s">
        <v>10703</v>
      </c>
      <c r="E1027" s="61" t="s">
        <v>10703</v>
      </c>
      <c r="F1027" s="62" t="s">
        <v>814</v>
      </c>
    </row>
    <row r="1028" customFormat="false" ht="15" hidden="false" customHeight="false" outlineLevel="0" collapsed="false">
      <c r="A1028" s="92" t="str">
        <f aca="false">Gov_Map!$H238&amp;""</f>
        <v>—</v>
      </c>
      <c r="B1028" s="65" t="str">
        <f aca="false">IF(A1028="","（哨兵：Gov_Map 該列無 SRC_ID）",IF(COUNTIF($A$5:$A$794,A1028)&gt;0,"（哨兵：此 SRC_ID 已在上方 SRC 頁，查詢不會命中本列）","（哨兵：SRC 頁查無此 ID）"))</f>
        <v>（哨兵：SRC 頁查無此 ID）</v>
      </c>
      <c r="C1028" s="61" t="n">
        <v>238</v>
      </c>
      <c r="D1028" s="61" t="s">
        <v>10703</v>
      </c>
      <c r="E1028" s="61" t="s">
        <v>10703</v>
      </c>
      <c r="F1028" s="62" t="s">
        <v>814</v>
      </c>
    </row>
    <row r="1029" customFormat="false" ht="15" hidden="false" customHeight="false" outlineLevel="0" collapsed="false">
      <c r="A1029" s="92" t="str">
        <f aca="false">Gov_Map!$H239&amp;""</f>
        <v>—</v>
      </c>
      <c r="B1029" s="65" t="str">
        <f aca="false">IF(A1029="","（哨兵：Gov_Map 該列無 SRC_ID）",IF(COUNTIF($A$5:$A$794,A1029)&gt;0,"（哨兵：此 SRC_ID 已在上方 SRC 頁，查詢不會命中本列）","（哨兵：SRC 頁查無此 ID）"))</f>
        <v>（哨兵：SRC 頁查無此 ID）</v>
      </c>
      <c r="C1029" s="61" t="n">
        <v>239</v>
      </c>
      <c r="D1029" s="61" t="s">
        <v>10703</v>
      </c>
      <c r="E1029" s="61" t="s">
        <v>10703</v>
      </c>
      <c r="F1029" s="62" t="s">
        <v>814</v>
      </c>
    </row>
    <row r="1030" customFormat="false" ht="15" hidden="false" customHeight="false" outlineLevel="0" collapsed="false">
      <c r="A1030" s="92" t="str">
        <f aca="false">Gov_Map!$H240&amp;""</f>
        <v>—</v>
      </c>
      <c r="B1030" s="65" t="str">
        <f aca="false">IF(A1030="","（哨兵：Gov_Map 該列無 SRC_ID）",IF(COUNTIF($A$5:$A$794,A1030)&gt;0,"（哨兵：此 SRC_ID 已在上方 SRC 頁，查詢不會命中本列）","（哨兵：SRC 頁查無此 ID）"))</f>
        <v>（哨兵：SRC 頁查無此 ID）</v>
      </c>
      <c r="C1030" s="61" t="n">
        <v>240</v>
      </c>
      <c r="D1030" s="61" t="s">
        <v>10703</v>
      </c>
      <c r="E1030" s="61" t="s">
        <v>10703</v>
      </c>
      <c r="F1030" s="62" t="s">
        <v>814</v>
      </c>
    </row>
    <row r="1031" customFormat="false" ht="15" hidden="false" customHeight="false" outlineLevel="0" collapsed="false">
      <c r="A1031" s="92" t="str">
        <f aca="false">Gov_Map!$H241&amp;""</f>
        <v>—</v>
      </c>
      <c r="B1031" s="65" t="str">
        <f aca="false">IF(A1031="","（哨兵：Gov_Map 該列無 SRC_ID）",IF(COUNTIF($A$5:$A$794,A1031)&gt;0,"（哨兵：此 SRC_ID 已在上方 SRC 頁，查詢不會命中本列）","（哨兵：SRC 頁查無此 ID）"))</f>
        <v>（哨兵：SRC 頁查無此 ID）</v>
      </c>
      <c r="C1031" s="61" t="n">
        <v>241</v>
      </c>
      <c r="D1031" s="61" t="s">
        <v>10703</v>
      </c>
      <c r="E1031" s="61" t="s">
        <v>10703</v>
      </c>
      <c r="F1031" s="62" t="s">
        <v>814</v>
      </c>
    </row>
    <row r="1032" customFormat="false" ht="15" hidden="false" customHeight="false" outlineLevel="0" collapsed="false">
      <c r="A1032" s="92" t="str">
        <f aca="false">Gov_Map!$H242&amp;""</f>
        <v>—</v>
      </c>
      <c r="B1032" s="65" t="str">
        <f aca="false">IF(A1032="","（哨兵：Gov_Map 該列無 SRC_ID）",IF(COUNTIF($A$5:$A$794,A1032)&gt;0,"（哨兵：此 SRC_ID 已在上方 SRC 頁，查詢不會命中本列）","（哨兵：SRC 頁查無此 ID）"))</f>
        <v>（哨兵：SRC 頁查無此 ID）</v>
      </c>
      <c r="C1032" s="61" t="n">
        <v>242</v>
      </c>
      <c r="D1032" s="61" t="s">
        <v>10703</v>
      </c>
      <c r="E1032" s="61" t="s">
        <v>10703</v>
      </c>
      <c r="F1032" s="62" t="s">
        <v>814</v>
      </c>
    </row>
    <row r="1033" customFormat="false" ht="15" hidden="false" customHeight="false" outlineLevel="0" collapsed="false">
      <c r="A1033" s="92" t="str">
        <f aca="false">Gov_Map!$H243&amp;""</f>
        <v>SRC_PERF_066</v>
      </c>
      <c r="B1033" s="65" t="str">
        <f aca="false">IF(A1033="","（哨兵：Gov_Map 該列無 SRC_ID）",IF(COUNTIF($A$5:$A$794,A1033)&gt;0,"（哨兵：此 SRC_ID 已在上方 SRC 頁，查詢不會命中本列）","（哨兵：SRC 頁查無此 ID）"))</f>
        <v>（哨兵：此 SRC_ID 已在上方 SRC 頁，查詢不會命中本列）</v>
      </c>
      <c r="C1033" s="61" t="n">
        <v>243</v>
      </c>
      <c r="D1033" s="61" t="s">
        <v>10703</v>
      </c>
      <c r="E1033" s="61" t="s">
        <v>10703</v>
      </c>
      <c r="F1033" s="62" t="s">
        <v>814</v>
      </c>
    </row>
    <row r="1034" customFormat="false" ht="15" hidden="false" customHeight="false" outlineLevel="0" collapsed="false">
      <c r="A1034" s="92" t="str">
        <f aca="false">Gov_Map!$H244&amp;""</f>
        <v>SRC_PERF_068</v>
      </c>
      <c r="B1034" s="65" t="str">
        <f aca="false">IF(A1034="","（哨兵：Gov_Map 該列無 SRC_ID）",IF(COUNTIF($A$5:$A$794,A1034)&gt;0,"（哨兵：此 SRC_ID 已在上方 SRC 頁，查詢不會命中本列）","（哨兵：SRC 頁查無此 ID）"))</f>
        <v>（哨兵：此 SRC_ID 已在上方 SRC 頁，查詢不會命中本列）</v>
      </c>
      <c r="C1034" s="61" t="n">
        <v>244</v>
      </c>
      <c r="D1034" s="61" t="s">
        <v>10703</v>
      </c>
      <c r="E1034" s="61" t="s">
        <v>10703</v>
      </c>
      <c r="F1034" s="62" t="s">
        <v>814</v>
      </c>
    </row>
    <row r="1035" customFormat="false" ht="15" hidden="false" customHeight="false" outlineLevel="0" collapsed="false">
      <c r="A1035" s="92" t="str">
        <f aca="false">Gov_Map!$H245&amp;""</f>
        <v>SRC_PERF_070</v>
      </c>
      <c r="B1035" s="65" t="str">
        <f aca="false">IF(A1035="","（哨兵：Gov_Map 該列無 SRC_ID）",IF(COUNTIF($A$5:$A$794,A1035)&gt;0,"（哨兵：此 SRC_ID 已在上方 SRC 頁，查詢不會命中本列）","（哨兵：SRC 頁查無此 ID）"))</f>
        <v>（哨兵：此 SRC_ID 已在上方 SRC 頁，查詢不會命中本列）</v>
      </c>
      <c r="C1035" s="61" t="n">
        <v>245</v>
      </c>
      <c r="D1035" s="61" t="s">
        <v>10703</v>
      </c>
      <c r="E1035" s="61" t="s">
        <v>10703</v>
      </c>
      <c r="F1035" s="62" t="s">
        <v>814</v>
      </c>
    </row>
    <row r="1036" customFormat="false" ht="15" hidden="false" customHeight="false" outlineLevel="0" collapsed="false">
      <c r="A1036" s="92" t="str">
        <f aca="false">Gov_Map!$H246&amp;""</f>
        <v>—</v>
      </c>
      <c r="B1036" s="65" t="str">
        <f aca="false">IF(A1036="","（哨兵：Gov_Map 該列無 SRC_ID）",IF(COUNTIF($A$5:$A$794,A1036)&gt;0,"（哨兵：此 SRC_ID 已在上方 SRC 頁，查詢不會命中本列）","（哨兵：SRC 頁查無此 ID）"))</f>
        <v>（哨兵：SRC 頁查無此 ID）</v>
      </c>
      <c r="C1036" s="61" t="n">
        <v>246</v>
      </c>
      <c r="D1036" s="61" t="s">
        <v>10703</v>
      </c>
      <c r="E1036" s="61" t="s">
        <v>10703</v>
      </c>
      <c r="F1036" s="62" t="s">
        <v>814</v>
      </c>
    </row>
    <row r="1037" customFormat="false" ht="15" hidden="false" customHeight="false" outlineLevel="0" collapsed="false">
      <c r="A1037" s="92" t="str">
        <f aca="false">Gov_Map!$H247&amp;""</f>
        <v>—</v>
      </c>
      <c r="B1037" s="65" t="str">
        <f aca="false">IF(A1037="","（哨兵：Gov_Map 該列無 SRC_ID）",IF(COUNTIF($A$5:$A$794,A1037)&gt;0,"（哨兵：此 SRC_ID 已在上方 SRC 頁，查詢不會命中本列）","（哨兵：SRC 頁查無此 ID）"))</f>
        <v>（哨兵：SRC 頁查無此 ID）</v>
      </c>
      <c r="C1037" s="61" t="n">
        <v>247</v>
      </c>
      <c r="D1037" s="61" t="s">
        <v>10703</v>
      </c>
      <c r="E1037" s="61" t="s">
        <v>10703</v>
      </c>
      <c r="F1037" s="62" t="s">
        <v>814</v>
      </c>
    </row>
    <row r="1038" customFormat="false" ht="15" hidden="false" customHeight="false" outlineLevel="0" collapsed="false">
      <c r="A1038" s="92" t="str">
        <f aca="false">Gov_Map!$H248&amp;""</f>
        <v>—</v>
      </c>
      <c r="B1038" s="65" t="str">
        <f aca="false">IF(A1038="","（哨兵：Gov_Map 該列無 SRC_ID）",IF(COUNTIF($A$5:$A$794,A1038)&gt;0,"（哨兵：此 SRC_ID 已在上方 SRC 頁，查詢不會命中本列）","（哨兵：SRC 頁查無此 ID）"))</f>
        <v>（哨兵：SRC 頁查無此 ID）</v>
      </c>
      <c r="C1038" s="61" t="n">
        <v>248</v>
      </c>
      <c r="D1038" s="61" t="s">
        <v>10703</v>
      </c>
      <c r="E1038" s="61" t="s">
        <v>10703</v>
      </c>
      <c r="F1038" s="62" t="s">
        <v>814</v>
      </c>
    </row>
    <row r="1039" customFormat="false" ht="15" hidden="false" customHeight="false" outlineLevel="0" collapsed="false">
      <c r="A1039" s="92" t="str">
        <f aca="false">Gov_Map!$H249&amp;""</f>
        <v>SRC_DEM_014</v>
      </c>
      <c r="B1039" s="65" t="str">
        <f aca="false">IF(A1039="","（哨兵：Gov_Map 該列無 SRC_ID）",IF(COUNTIF($A$5:$A$794,A1039)&gt;0,"（哨兵：此 SRC_ID 已在上方 SRC 頁，查詢不會命中本列）","（哨兵：SRC 頁查無此 ID）"))</f>
        <v>（哨兵：此 SRC_ID 已在上方 SRC 頁，查詢不會命中本列）</v>
      </c>
      <c r="C1039" s="61" t="n">
        <v>249</v>
      </c>
      <c r="D1039" s="61" t="s">
        <v>10703</v>
      </c>
      <c r="E1039" s="61" t="s">
        <v>10703</v>
      </c>
      <c r="F1039" s="62" t="s">
        <v>814</v>
      </c>
    </row>
    <row r="1040" customFormat="false" ht="15" hidden="false" customHeight="false" outlineLevel="0" collapsed="false">
      <c r="A1040" s="92" t="str">
        <f aca="false">Gov_Map!$H250&amp;""</f>
        <v>SRC_DEM_014</v>
      </c>
      <c r="B1040" s="65" t="str">
        <f aca="false">IF(A1040="","（哨兵：Gov_Map 該列無 SRC_ID）",IF(COUNTIF($A$5:$A$794,A1040)&gt;0,"（哨兵：此 SRC_ID 已在上方 SRC 頁，查詢不會命中本列）","（哨兵：SRC 頁查無此 ID）"))</f>
        <v>（哨兵：此 SRC_ID 已在上方 SRC 頁，查詢不會命中本列）</v>
      </c>
      <c r="C1040" s="61" t="n">
        <v>250</v>
      </c>
      <c r="D1040" s="61" t="s">
        <v>10703</v>
      </c>
      <c r="E1040" s="61" t="s">
        <v>10703</v>
      </c>
      <c r="F1040" s="62" t="s">
        <v>814</v>
      </c>
    </row>
    <row r="1041" customFormat="false" ht="15" hidden="false" customHeight="false" outlineLevel="0" collapsed="false">
      <c r="A1041" s="92" t="str">
        <f aca="false">Gov_Map!$H251&amp;""</f>
        <v>SRC_DEM_014</v>
      </c>
      <c r="B1041" s="65" t="str">
        <f aca="false">IF(A1041="","（哨兵：Gov_Map 該列無 SRC_ID）",IF(COUNTIF($A$5:$A$794,A1041)&gt;0,"（哨兵：此 SRC_ID 已在上方 SRC 頁，查詢不會命中本列）","（哨兵：SRC 頁查無此 ID）"))</f>
        <v>（哨兵：此 SRC_ID 已在上方 SRC 頁，查詢不會命中本列）</v>
      </c>
      <c r="C1041" s="61" t="n">
        <v>251</v>
      </c>
      <c r="D1041" s="61" t="s">
        <v>10703</v>
      </c>
      <c r="E1041" s="61" t="s">
        <v>10703</v>
      </c>
      <c r="F1041" s="62" t="s">
        <v>814</v>
      </c>
    </row>
    <row r="1042" customFormat="false" ht="15" hidden="false" customHeight="false" outlineLevel="0" collapsed="false">
      <c r="A1042" s="92" t="str">
        <f aca="false">Gov_Map!$H252&amp;""</f>
        <v>SRC_DEM_014</v>
      </c>
      <c r="B1042" s="65" t="str">
        <f aca="false">IF(A1042="","（哨兵：Gov_Map 該列無 SRC_ID）",IF(COUNTIF($A$5:$A$794,A1042)&gt;0,"（哨兵：此 SRC_ID 已在上方 SRC 頁，查詢不會命中本列）","（哨兵：SRC 頁查無此 ID）"))</f>
        <v>（哨兵：此 SRC_ID 已在上方 SRC 頁，查詢不會命中本列）</v>
      </c>
      <c r="C1042" s="61" t="n">
        <v>252</v>
      </c>
      <c r="D1042" s="61" t="s">
        <v>10703</v>
      </c>
      <c r="E1042" s="61" t="s">
        <v>10703</v>
      </c>
      <c r="F1042" s="62" t="s">
        <v>814</v>
      </c>
    </row>
    <row r="1043" customFormat="false" ht="15" hidden="false" customHeight="false" outlineLevel="0" collapsed="false">
      <c r="A1043" s="92" t="str">
        <f aca="false">Gov_Map!$H253&amp;""</f>
        <v>SRC_DEM_014</v>
      </c>
      <c r="B1043" s="65" t="str">
        <f aca="false">IF(A1043="","（哨兵：Gov_Map 該列無 SRC_ID）",IF(COUNTIF($A$5:$A$794,A1043)&gt;0,"（哨兵：此 SRC_ID 已在上方 SRC 頁，查詢不會命中本列）","（哨兵：SRC 頁查無此 ID）"))</f>
        <v>（哨兵：此 SRC_ID 已在上方 SRC 頁，查詢不會命中本列）</v>
      </c>
      <c r="C1043" s="61" t="n">
        <v>253</v>
      </c>
      <c r="D1043" s="61" t="s">
        <v>10703</v>
      </c>
      <c r="E1043" s="61" t="s">
        <v>10703</v>
      </c>
      <c r="F1043" s="62" t="s">
        <v>814</v>
      </c>
    </row>
    <row r="1044" customFormat="false" ht="15" hidden="false" customHeight="false" outlineLevel="0" collapsed="false">
      <c r="A1044" s="92" t="str">
        <f aca="false">Gov_Map!$H254&amp;""</f>
        <v>SRC_DEM_014</v>
      </c>
      <c r="B1044" s="65" t="str">
        <f aca="false">IF(A1044="","（哨兵：Gov_Map 該列無 SRC_ID）",IF(COUNTIF($A$5:$A$794,A1044)&gt;0,"（哨兵：此 SRC_ID 已在上方 SRC 頁，查詢不會命中本列）","（哨兵：SRC 頁查無此 ID）"))</f>
        <v>（哨兵：此 SRC_ID 已在上方 SRC 頁，查詢不會命中本列）</v>
      </c>
      <c r="C1044" s="61" t="n">
        <v>254</v>
      </c>
      <c r="D1044" s="61" t="s">
        <v>10703</v>
      </c>
      <c r="E1044" s="61" t="s">
        <v>10703</v>
      </c>
      <c r="F1044" s="62" t="s">
        <v>814</v>
      </c>
    </row>
    <row r="1045" customFormat="false" ht="15" hidden="false" customHeight="false" outlineLevel="0" collapsed="false">
      <c r="A1045" s="92" t="str">
        <f aca="false">Gov_Map!$H255&amp;""</f>
        <v>—</v>
      </c>
      <c r="B1045" s="65" t="str">
        <f aca="false">IF(A1045="","（哨兵：Gov_Map 該列無 SRC_ID）",IF(COUNTIF($A$5:$A$794,A1045)&gt;0,"（哨兵：此 SRC_ID 已在上方 SRC 頁，查詢不會命中本列）","（哨兵：SRC 頁查無此 ID）"))</f>
        <v>（哨兵：SRC 頁查無此 ID）</v>
      </c>
      <c r="C1045" s="61" t="n">
        <v>255</v>
      </c>
      <c r="D1045" s="61" t="s">
        <v>10703</v>
      </c>
      <c r="E1045" s="61" t="s">
        <v>10703</v>
      </c>
      <c r="F1045" s="62" t="s">
        <v>814</v>
      </c>
    </row>
    <row r="1046" customFormat="false" ht="15" hidden="false" customHeight="false" outlineLevel="0" collapsed="false">
      <c r="A1046" s="92" t="str">
        <f aca="false">Gov_Map!$H256&amp;""</f>
        <v>—</v>
      </c>
      <c r="B1046" s="65" t="str">
        <f aca="false">IF(A1046="","（哨兵：Gov_Map 該列無 SRC_ID）",IF(COUNTIF($A$5:$A$794,A1046)&gt;0,"（哨兵：此 SRC_ID 已在上方 SRC 頁，查詢不會命中本列）","（哨兵：SRC 頁查無此 ID）"))</f>
        <v>（哨兵：SRC 頁查無此 ID）</v>
      </c>
      <c r="C1046" s="61" t="n">
        <v>256</v>
      </c>
      <c r="D1046" s="61" t="s">
        <v>10703</v>
      </c>
      <c r="E1046" s="61" t="s">
        <v>10703</v>
      </c>
      <c r="F1046" s="62" t="s">
        <v>814</v>
      </c>
    </row>
    <row r="1047" customFormat="false" ht="15" hidden="false" customHeight="false" outlineLevel="0" collapsed="false">
      <c r="A1047" s="92" t="str">
        <f aca="false">Gov_Map!$H257&amp;""</f>
        <v>—</v>
      </c>
      <c r="B1047" s="65" t="str">
        <f aca="false">IF(A1047="","（哨兵：Gov_Map 該列無 SRC_ID）",IF(COUNTIF($A$5:$A$794,A1047)&gt;0,"（哨兵：此 SRC_ID 已在上方 SRC 頁，查詢不會命中本列）","（哨兵：SRC 頁查無此 ID）"))</f>
        <v>（哨兵：SRC 頁查無此 ID）</v>
      </c>
      <c r="C1047" s="61" t="n">
        <v>257</v>
      </c>
      <c r="D1047" s="61" t="s">
        <v>10703</v>
      </c>
      <c r="E1047" s="61" t="s">
        <v>10703</v>
      </c>
      <c r="F1047" s="62" t="s">
        <v>814</v>
      </c>
    </row>
    <row r="1048" customFormat="false" ht="15" hidden="false" customHeight="false" outlineLevel="0" collapsed="false">
      <c r="A1048" s="92" t="str">
        <f aca="false">Gov_Map!$H258&amp;""</f>
        <v>—</v>
      </c>
      <c r="B1048" s="65" t="str">
        <f aca="false">IF(A1048="","（哨兵：Gov_Map 該列無 SRC_ID）",IF(COUNTIF($A$5:$A$794,A1048)&gt;0,"（哨兵：此 SRC_ID 已在上方 SRC 頁，查詢不會命中本列）","（哨兵：SRC 頁查無此 ID）"))</f>
        <v>（哨兵：SRC 頁查無此 ID）</v>
      </c>
      <c r="C1048" s="61" t="n">
        <v>258</v>
      </c>
      <c r="D1048" s="61" t="s">
        <v>10703</v>
      </c>
      <c r="E1048" s="61" t="s">
        <v>10703</v>
      </c>
      <c r="F1048" s="62" t="s">
        <v>814</v>
      </c>
    </row>
    <row r="1049" customFormat="false" ht="15" hidden="false" customHeight="false" outlineLevel="0" collapsed="false">
      <c r="A1049" s="92" t="str">
        <f aca="false">Gov_Map!$H259&amp;""</f>
        <v>—</v>
      </c>
      <c r="B1049" s="65" t="str">
        <f aca="false">IF(A1049="","（哨兵：Gov_Map 該列無 SRC_ID）",IF(COUNTIF($A$5:$A$794,A1049)&gt;0,"（哨兵：此 SRC_ID 已在上方 SRC 頁，查詢不會命中本列）","（哨兵：SRC 頁查無此 ID）"))</f>
        <v>（哨兵：SRC 頁查無此 ID）</v>
      </c>
      <c r="C1049" s="61" t="n">
        <v>259</v>
      </c>
      <c r="D1049" s="61" t="s">
        <v>10703</v>
      </c>
      <c r="E1049" s="61" t="s">
        <v>10703</v>
      </c>
      <c r="F1049" s="62" t="s">
        <v>814</v>
      </c>
    </row>
    <row r="1050" customFormat="false" ht="15" hidden="false" customHeight="false" outlineLevel="0" collapsed="false">
      <c r="A1050" s="92" t="str">
        <f aca="false">Gov_Map!$H260&amp;""</f>
        <v>—</v>
      </c>
      <c r="B1050" s="65" t="str">
        <f aca="false">IF(A1050="","（哨兵：Gov_Map 該列無 SRC_ID）",IF(COUNTIF($A$5:$A$794,A1050)&gt;0,"（哨兵：此 SRC_ID 已在上方 SRC 頁，查詢不會命中本列）","（哨兵：SRC 頁查無此 ID）"))</f>
        <v>（哨兵：SRC 頁查無此 ID）</v>
      </c>
      <c r="C1050" s="61" t="n">
        <v>260</v>
      </c>
      <c r="D1050" s="61" t="s">
        <v>10703</v>
      </c>
      <c r="E1050" s="61" t="s">
        <v>10703</v>
      </c>
      <c r="F1050" s="62" t="s">
        <v>814</v>
      </c>
    </row>
    <row r="1051" customFormat="false" ht="15" hidden="false" customHeight="false" outlineLevel="0" collapsed="false">
      <c r="A1051" s="92" t="str">
        <f aca="false">Gov_Map!$H261&amp;""</f>
        <v>—</v>
      </c>
      <c r="B1051" s="65" t="str">
        <f aca="false">IF(A1051="","（哨兵：Gov_Map 該列無 SRC_ID）",IF(COUNTIF($A$5:$A$794,A1051)&gt;0,"（哨兵：此 SRC_ID 已在上方 SRC 頁，查詢不會命中本列）","（哨兵：SRC 頁查無此 ID）"))</f>
        <v>（哨兵：SRC 頁查無此 ID）</v>
      </c>
      <c r="C1051" s="61" t="n">
        <v>261</v>
      </c>
      <c r="D1051" s="61" t="s">
        <v>10703</v>
      </c>
      <c r="E1051" s="61" t="s">
        <v>10703</v>
      </c>
      <c r="F1051" s="62" t="s">
        <v>814</v>
      </c>
    </row>
    <row r="1052" customFormat="false" ht="15" hidden="false" customHeight="false" outlineLevel="0" collapsed="false">
      <c r="A1052" s="92" t="str">
        <f aca="false">Gov_Map!$H262&amp;""</f>
        <v>—</v>
      </c>
      <c r="B1052" s="65" t="str">
        <f aca="false">IF(A1052="","（哨兵：Gov_Map 該列無 SRC_ID）",IF(COUNTIF($A$5:$A$794,A1052)&gt;0,"（哨兵：此 SRC_ID 已在上方 SRC 頁，查詢不會命中本列）","（哨兵：SRC 頁查無此 ID）"))</f>
        <v>（哨兵：SRC 頁查無此 ID）</v>
      </c>
      <c r="C1052" s="61" t="n">
        <v>262</v>
      </c>
      <c r="D1052" s="61" t="s">
        <v>10703</v>
      </c>
      <c r="E1052" s="61" t="s">
        <v>10703</v>
      </c>
      <c r="F1052" s="62" t="s">
        <v>814</v>
      </c>
    </row>
    <row r="1053" customFormat="false" ht="15" hidden="false" customHeight="false" outlineLevel="0" collapsed="false">
      <c r="A1053" s="92" t="str">
        <f aca="false">Gov_Map!$H263&amp;""</f>
        <v>—</v>
      </c>
      <c r="B1053" s="65" t="str">
        <f aca="false">IF(A1053="","（哨兵：Gov_Map 該列無 SRC_ID）",IF(COUNTIF($A$5:$A$794,A1053)&gt;0,"（哨兵：此 SRC_ID 已在上方 SRC 頁，查詢不會命中本列）","（哨兵：SRC 頁查無此 ID）"))</f>
        <v>（哨兵：SRC 頁查無此 ID）</v>
      </c>
      <c r="C1053" s="61" t="n">
        <v>263</v>
      </c>
      <c r="D1053" s="61" t="s">
        <v>10703</v>
      </c>
      <c r="E1053" s="61" t="s">
        <v>10703</v>
      </c>
      <c r="F1053" s="62" t="s">
        <v>814</v>
      </c>
    </row>
    <row r="1054" customFormat="false" ht="15" hidden="false" customHeight="false" outlineLevel="0" collapsed="false">
      <c r="A1054" s="92" t="str">
        <f aca="false">Gov_Map!$H264&amp;""</f>
        <v>—</v>
      </c>
      <c r="B1054" s="65" t="str">
        <f aca="false">IF(A1054="","（哨兵：Gov_Map 該列無 SRC_ID）",IF(COUNTIF($A$5:$A$794,A1054)&gt;0,"（哨兵：此 SRC_ID 已在上方 SRC 頁，查詢不會命中本列）","（哨兵：SRC 頁查無此 ID）"))</f>
        <v>（哨兵：SRC 頁查無此 ID）</v>
      </c>
      <c r="C1054" s="61" t="n">
        <v>264</v>
      </c>
      <c r="D1054" s="61" t="s">
        <v>10703</v>
      </c>
      <c r="E1054" s="61" t="s">
        <v>10703</v>
      </c>
      <c r="F1054" s="62" t="s">
        <v>814</v>
      </c>
    </row>
    <row r="1055" customFormat="false" ht="15" hidden="false" customHeight="false" outlineLevel="0" collapsed="false">
      <c r="A1055" s="92" t="str">
        <f aca="false">Gov_Map!$H265&amp;""</f>
        <v>—</v>
      </c>
      <c r="B1055" s="65" t="str">
        <f aca="false">IF(A1055="","（哨兵：Gov_Map 該列無 SRC_ID）",IF(COUNTIF($A$5:$A$794,A1055)&gt;0,"（哨兵：此 SRC_ID 已在上方 SRC 頁，查詢不會命中本列）","（哨兵：SRC 頁查無此 ID）"))</f>
        <v>（哨兵：SRC 頁查無此 ID）</v>
      </c>
      <c r="C1055" s="61" t="n">
        <v>265</v>
      </c>
      <c r="D1055" s="61" t="s">
        <v>10703</v>
      </c>
      <c r="E1055" s="61" t="s">
        <v>10703</v>
      </c>
      <c r="F1055" s="62" t="s">
        <v>814</v>
      </c>
    </row>
    <row r="1056" customFormat="false" ht="15" hidden="false" customHeight="false" outlineLevel="0" collapsed="false">
      <c r="A1056" s="92" t="str">
        <f aca="false">Gov_Map!$H266&amp;""</f>
        <v>—</v>
      </c>
      <c r="B1056" s="65" t="str">
        <f aca="false">IF(A1056="","（哨兵：Gov_Map 該列無 SRC_ID）",IF(COUNTIF($A$5:$A$794,A1056)&gt;0,"（哨兵：此 SRC_ID 已在上方 SRC 頁，查詢不會命中本列）","（哨兵：SRC 頁查無此 ID）"))</f>
        <v>（哨兵：SRC 頁查無此 ID）</v>
      </c>
      <c r="C1056" s="61" t="n">
        <v>266</v>
      </c>
      <c r="D1056" s="61" t="s">
        <v>10703</v>
      </c>
      <c r="E1056" s="61" t="s">
        <v>10703</v>
      </c>
      <c r="F1056" s="62" t="s">
        <v>814</v>
      </c>
    </row>
    <row r="1057" customFormat="false" ht="15" hidden="false" customHeight="false" outlineLevel="0" collapsed="false">
      <c r="A1057" s="92" t="str">
        <f aca="false">Gov_Map!$H267&amp;""</f>
        <v>—</v>
      </c>
      <c r="B1057" s="65" t="str">
        <f aca="false">IF(A1057="","（哨兵：Gov_Map 該列無 SRC_ID）",IF(COUNTIF($A$5:$A$794,A1057)&gt;0,"（哨兵：此 SRC_ID 已在上方 SRC 頁，查詢不會命中本列）","（哨兵：SRC 頁查無此 ID）"))</f>
        <v>（哨兵：SRC 頁查無此 ID）</v>
      </c>
      <c r="C1057" s="61" t="n">
        <v>267</v>
      </c>
      <c r="D1057" s="61" t="s">
        <v>10703</v>
      </c>
      <c r="E1057" s="61" t="s">
        <v>10703</v>
      </c>
      <c r="F1057" s="62" t="s">
        <v>814</v>
      </c>
    </row>
    <row r="1058" customFormat="false" ht="15" hidden="false" customHeight="false" outlineLevel="0" collapsed="false">
      <c r="A1058" s="92" t="str">
        <f aca="false">Gov_Map!$H268&amp;""</f>
        <v>—</v>
      </c>
      <c r="B1058" s="65" t="str">
        <f aca="false">IF(A1058="","（哨兵：Gov_Map 該列無 SRC_ID）",IF(COUNTIF($A$5:$A$794,A1058)&gt;0,"（哨兵：此 SRC_ID 已在上方 SRC 頁，查詢不會命中本列）","（哨兵：SRC 頁查無此 ID）"))</f>
        <v>（哨兵：SRC 頁查無此 ID）</v>
      </c>
      <c r="C1058" s="61" t="n">
        <v>268</v>
      </c>
      <c r="D1058" s="61" t="s">
        <v>10703</v>
      </c>
      <c r="E1058" s="61" t="s">
        <v>10703</v>
      </c>
      <c r="F1058" s="62" t="s">
        <v>814</v>
      </c>
    </row>
    <row r="1059" customFormat="false" ht="15" hidden="false" customHeight="false" outlineLevel="0" collapsed="false">
      <c r="A1059" s="92" t="str">
        <f aca="false">Gov_Map!$H269&amp;""</f>
        <v>—</v>
      </c>
      <c r="B1059" s="65" t="str">
        <f aca="false">IF(A1059="","（哨兵：Gov_Map 該列無 SRC_ID）",IF(COUNTIF($A$5:$A$794,A1059)&gt;0,"（哨兵：此 SRC_ID 已在上方 SRC 頁，查詢不會命中本列）","（哨兵：SRC 頁查無此 ID）"))</f>
        <v>（哨兵：SRC 頁查無此 ID）</v>
      </c>
      <c r="C1059" s="61" t="n">
        <v>269</v>
      </c>
      <c r="D1059" s="61" t="s">
        <v>10703</v>
      </c>
      <c r="E1059" s="61" t="s">
        <v>10703</v>
      </c>
      <c r="F1059" s="62" t="s">
        <v>814</v>
      </c>
    </row>
    <row r="1060" customFormat="false" ht="15" hidden="false" customHeight="false" outlineLevel="0" collapsed="false">
      <c r="A1060" s="92" t="str">
        <f aca="false">Gov_Map!$H270&amp;""</f>
        <v>—</v>
      </c>
      <c r="B1060" s="65" t="str">
        <f aca="false">IF(A1060="","（哨兵：Gov_Map 該列無 SRC_ID）",IF(COUNTIF($A$5:$A$794,A1060)&gt;0,"（哨兵：此 SRC_ID 已在上方 SRC 頁，查詢不會命中本列）","（哨兵：SRC 頁查無此 ID）"))</f>
        <v>（哨兵：SRC 頁查無此 ID）</v>
      </c>
      <c r="C1060" s="61" t="n">
        <v>270</v>
      </c>
      <c r="D1060" s="61" t="s">
        <v>10703</v>
      </c>
      <c r="E1060" s="61" t="s">
        <v>10703</v>
      </c>
      <c r="F1060" s="62" t="s">
        <v>814</v>
      </c>
    </row>
    <row r="1061" customFormat="false" ht="15" hidden="false" customHeight="false" outlineLevel="0" collapsed="false">
      <c r="A1061" s="92" t="str">
        <f aca="false">Gov_Map!$H271&amp;""</f>
        <v>—</v>
      </c>
      <c r="B1061" s="65" t="str">
        <f aca="false">IF(A1061="","（哨兵：Gov_Map 該列無 SRC_ID）",IF(COUNTIF($A$5:$A$794,A1061)&gt;0,"（哨兵：此 SRC_ID 已在上方 SRC 頁，查詢不會命中本列）","（哨兵：SRC 頁查無此 ID）"))</f>
        <v>（哨兵：SRC 頁查無此 ID）</v>
      </c>
      <c r="C1061" s="61" t="n">
        <v>271</v>
      </c>
      <c r="D1061" s="61" t="s">
        <v>10703</v>
      </c>
      <c r="E1061" s="61" t="s">
        <v>10703</v>
      </c>
      <c r="F1061" s="62" t="s">
        <v>814</v>
      </c>
    </row>
    <row r="1062" customFormat="false" ht="15" hidden="false" customHeight="false" outlineLevel="0" collapsed="false">
      <c r="A1062" s="92" t="str">
        <f aca="false">Gov_Map!$H272&amp;""</f>
        <v>—</v>
      </c>
      <c r="B1062" s="65" t="str">
        <f aca="false">IF(A1062="","（哨兵：Gov_Map 該列無 SRC_ID）",IF(COUNTIF($A$5:$A$794,A1062)&gt;0,"（哨兵：此 SRC_ID 已在上方 SRC 頁，查詢不會命中本列）","（哨兵：SRC 頁查無此 ID）"))</f>
        <v>（哨兵：SRC 頁查無此 ID）</v>
      </c>
      <c r="C1062" s="61" t="n">
        <v>272</v>
      </c>
      <c r="D1062" s="61" t="s">
        <v>10703</v>
      </c>
      <c r="E1062" s="61" t="s">
        <v>10703</v>
      </c>
      <c r="F1062" s="62" t="s">
        <v>814</v>
      </c>
    </row>
    <row r="1063" customFormat="false" ht="15" hidden="false" customHeight="false" outlineLevel="0" collapsed="false">
      <c r="A1063" s="92" t="str">
        <f aca="false">Gov_Map!$H273&amp;""</f>
        <v>—</v>
      </c>
      <c r="B1063" s="65" t="str">
        <f aca="false">IF(A1063="","（哨兵：Gov_Map 該列無 SRC_ID）",IF(COUNTIF($A$5:$A$794,A1063)&gt;0,"（哨兵：此 SRC_ID 已在上方 SRC 頁，查詢不會命中本列）","（哨兵：SRC 頁查無此 ID）"))</f>
        <v>（哨兵：SRC 頁查無此 ID）</v>
      </c>
      <c r="C1063" s="61" t="n">
        <v>273</v>
      </c>
      <c r="D1063" s="61" t="s">
        <v>10703</v>
      </c>
      <c r="E1063" s="61" t="s">
        <v>10703</v>
      </c>
      <c r="F1063" s="62" t="s">
        <v>814</v>
      </c>
    </row>
    <row r="1064" customFormat="false" ht="15" hidden="false" customHeight="false" outlineLevel="0" collapsed="false">
      <c r="A1064" s="92" t="str">
        <f aca="false">Gov_Map!$H274&amp;""</f>
        <v>—</v>
      </c>
      <c r="B1064" s="65" t="str">
        <f aca="false">IF(A1064="","（哨兵：Gov_Map 該列無 SRC_ID）",IF(COUNTIF($A$5:$A$794,A1064)&gt;0,"（哨兵：此 SRC_ID 已在上方 SRC 頁，查詢不會命中本列）","（哨兵：SRC 頁查無此 ID）"))</f>
        <v>（哨兵：SRC 頁查無此 ID）</v>
      </c>
      <c r="C1064" s="61" t="n">
        <v>274</v>
      </c>
      <c r="D1064" s="61" t="s">
        <v>10703</v>
      </c>
      <c r="E1064" s="61" t="s">
        <v>10703</v>
      </c>
      <c r="F1064" s="62" t="s">
        <v>814</v>
      </c>
    </row>
    <row r="1065" customFormat="false" ht="15" hidden="false" customHeight="false" outlineLevel="0" collapsed="false">
      <c r="A1065" s="92" t="str">
        <f aca="false">Gov_Map!$H275&amp;""</f>
        <v>—</v>
      </c>
      <c r="B1065" s="65" t="str">
        <f aca="false">IF(A1065="","（哨兵：Gov_Map 該列無 SRC_ID）",IF(COUNTIF($A$5:$A$794,A1065)&gt;0,"（哨兵：此 SRC_ID 已在上方 SRC 頁，查詢不會命中本列）","（哨兵：SRC 頁查無此 ID）"))</f>
        <v>（哨兵：SRC 頁查無此 ID）</v>
      </c>
      <c r="C1065" s="61" t="n">
        <v>275</v>
      </c>
      <c r="D1065" s="61" t="s">
        <v>10703</v>
      </c>
      <c r="E1065" s="61" t="s">
        <v>10703</v>
      </c>
      <c r="F1065" s="62" t="s">
        <v>814</v>
      </c>
    </row>
    <row r="1066" customFormat="false" ht="15" hidden="false" customHeight="false" outlineLevel="0" collapsed="false">
      <c r="A1066" s="92" t="str">
        <f aca="false">Gov_Map!$H276&amp;""</f>
        <v>—</v>
      </c>
      <c r="B1066" s="65" t="str">
        <f aca="false">IF(A1066="","（哨兵：Gov_Map 該列無 SRC_ID）",IF(COUNTIF($A$5:$A$794,A1066)&gt;0,"（哨兵：此 SRC_ID 已在上方 SRC 頁，查詢不會命中本列）","（哨兵：SRC 頁查無此 ID）"))</f>
        <v>（哨兵：SRC 頁查無此 ID）</v>
      </c>
      <c r="C1066" s="61" t="n">
        <v>276</v>
      </c>
      <c r="D1066" s="61" t="s">
        <v>10703</v>
      </c>
      <c r="E1066" s="61" t="s">
        <v>10703</v>
      </c>
      <c r="F1066" s="62" t="s">
        <v>814</v>
      </c>
    </row>
    <row r="1067" customFormat="false" ht="15" hidden="false" customHeight="false" outlineLevel="0" collapsed="false">
      <c r="A1067" s="92" t="str">
        <f aca="false">Gov_Map!$H277&amp;""</f>
        <v>—</v>
      </c>
      <c r="B1067" s="65" t="str">
        <f aca="false">IF(A1067="","（哨兵：Gov_Map 該列無 SRC_ID）",IF(COUNTIF($A$5:$A$794,A1067)&gt;0,"（哨兵：此 SRC_ID 已在上方 SRC 頁，查詢不會命中本列）","（哨兵：SRC 頁查無此 ID）"))</f>
        <v>（哨兵：SRC 頁查無此 ID）</v>
      </c>
      <c r="C1067" s="61" t="n">
        <v>277</v>
      </c>
      <c r="D1067" s="61" t="s">
        <v>10703</v>
      </c>
      <c r="E1067" s="61" t="s">
        <v>10703</v>
      </c>
      <c r="F1067" s="62" t="s">
        <v>814</v>
      </c>
    </row>
    <row r="1068" customFormat="false" ht="15" hidden="false" customHeight="false" outlineLevel="0" collapsed="false">
      <c r="A1068" s="92" t="str">
        <f aca="false">Gov_Map!$H278&amp;""</f>
        <v>—</v>
      </c>
      <c r="B1068" s="65" t="str">
        <f aca="false">IF(A1068="","（哨兵：Gov_Map 該列無 SRC_ID）",IF(COUNTIF($A$5:$A$794,A1068)&gt;0,"（哨兵：此 SRC_ID 已在上方 SRC 頁，查詢不會命中本列）","（哨兵：SRC 頁查無此 ID）"))</f>
        <v>（哨兵：SRC 頁查無此 ID）</v>
      </c>
      <c r="C1068" s="61" t="n">
        <v>278</v>
      </c>
      <c r="D1068" s="61" t="s">
        <v>10703</v>
      </c>
      <c r="E1068" s="61" t="s">
        <v>10703</v>
      </c>
      <c r="F1068" s="62" t="s">
        <v>814</v>
      </c>
    </row>
    <row r="1069" customFormat="false" ht="15" hidden="false" customHeight="false" outlineLevel="0" collapsed="false">
      <c r="A1069" s="92" t="str">
        <f aca="false">Gov_Map!$H279&amp;""</f>
        <v>—</v>
      </c>
      <c r="B1069" s="65" t="str">
        <f aca="false">IF(A1069="","（哨兵：Gov_Map 該列無 SRC_ID）",IF(COUNTIF($A$5:$A$794,A1069)&gt;0,"（哨兵：此 SRC_ID 已在上方 SRC 頁，查詢不會命中本列）","（哨兵：SRC 頁查無此 ID）"))</f>
        <v>（哨兵：SRC 頁查無此 ID）</v>
      </c>
      <c r="C1069" s="61" t="n">
        <v>279</v>
      </c>
      <c r="D1069" s="61" t="s">
        <v>10703</v>
      </c>
      <c r="E1069" s="61" t="s">
        <v>10703</v>
      </c>
      <c r="F1069" s="62" t="s">
        <v>814</v>
      </c>
    </row>
    <row r="1070" customFormat="false" ht="15" hidden="false" customHeight="false" outlineLevel="0" collapsed="false">
      <c r="A1070" s="92" t="str">
        <f aca="false">Gov_Map!$H280&amp;""</f>
        <v>—</v>
      </c>
      <c r="B1070" s="65" t="str">
        <f aca="false">IF(A1070="","（哨兵：Gov_Map 該列無 SRC_ID）",IF(COUNTIF($A$5:$A$794,A1070)&gt;0,"（哨兵：此 SRC_ID 已在上方 SRC 頁，查詢不會命中本列）","（哨兵：SRC 頁查無此 ID）"))</f>
        <v>（哨兵：SRC 頁查無此 ID）</v>
      </c>
      <c r="C1070" s="61" t="n">
        <v>280</v>
      </c>
      <c r="D1070" s="61" t="s">
        <v>10703</v>
      </c>
      <c r="E1070" s="61" t="s">
        <v>10703</v>
      </c>
      <c r="F1070" s="62" t="s">
        <v>814</v>
      </c>
    </row>
    <row r="1071" customFormat="false" ht="15" hidden="false" customHeight="false" outlineLevel="0" collapsed="false">
      <c r="A1071" s="92" t="str">
        <f aca="false">Gov_Map!$H281&amp;""</f>
        <v>—</v>
      </c>
      <c r="B1071" s="65" t="str">
        <f aca="false">IF(A1071="","（哨兵：Gov_Map 該列無 SRC_ID）",IF(COUNTIF($A$5:$A$794,A1071)&gt;0,"（哨兵：此 SRC_ID 已在上方 SRC 頁，查詢不會命中本列）","（哨兵：SRC 頁查無此 ID）"))</f>
        <v>（哨兵：SRC 頁查無此 ID）</v>
      </c>
      <c r="C1071" s="61" t="n">
        <v>281</v>
      </c>
      <c r="D1071" s="61" t="s">
        <v>10703</v>
      </c>
      <c r="E1071" s="61" t="s">
        <v>10703</v>
      </c>
      <c r="F1071" s="62" t="s">
        <v>814</v>
      </c>
    </row>
    <row r="1072" customFormat="false" ht="15" hidden="false" customHeight="false" outlineLevel="0" collapsed="false">
      <c r="A1072" s="92" t="str">
        <f aca="false">Gov_Map!$H282&amp;""</f>
        <v>—</v>
      </c>
      <c r="B1072" s="65" t="str">
        <f aca="false">IF(A1072="","（哨兵：Gov_Map 該列無 SRC_ID）",IF(COUNTIF($A$5:$A$794,A1072)&gt;0,"（哨兵：此 SRC_ID 已在上方 SRC 頁，查詢不會命中本列）","（哨兵：SRC 頁查無此 ID）"))</f>
        <v>（哨兵：SRC 頁查無此 ID）</v>
      </c>
      <c r="C1072" s="61" t="n">
        <v>282</v>
      </c>
      <c r="D1072" s="61" t="s">
        <v>10703</v>
      </c>
      <c r="E1072" s="61" t="s">
        <v>10703</v>
      </c>
      <c r="F1072" s="62" t="s">
        <v>814</v>
      </c>
    </row>
    <row r="1073" customFormat="false" ht="15" hidden="false" customHeight="false" outlineLevel="0" collapsed="false">
      <c r="A1073" s="92" t="str">
        <f aca="false">Gov_Map!$H283&amp;""</f>
        <v>—</v>
      </c>
      <c r="B1073" s="65" t="str">
        <f aca="false">IF(A1073="","（哨兵：Gov_Map 該列無 SRC_ID）",IF(COUNTIF($A$5:$A$794,A1073)&gt;0,"（哨兵：此 SRC_ID 已在上方 SRC 頁，查詢不會命中本列）","（哨兵：SRC 頁查無此 ID）"))</f>
        <v>（哨兵：SRC 頁查無此 ID）</v>
      </c>
      <c r="C1073" s="61" t="n">
        <v>283</v>
      </c>
      <c r="D1073" s="61" t="s">
        <v>10703</v>
      </c>
      <c r="E1073" s="61" t="s">
        <v>10703</v>
      </c>
      <c r="F1073" s="62" t="s">
        <v>814</v>
      </c>
    </row>
    <row r="1074" customFormat="false" ht="15" hidden="false" customHeight="false" outlineLevel="0" collapsed="false">
      <c r="A1074" s="92" t="str">
        <f aca="false">Gov_Map!$H284&amp;""</f>
        <v>—</v>
      </c>
      <c r="B1074" s="65" t="str">
        <f aca="false">IF(A1074="","（哨兵：Gov_Map 該列無 SRC_ID）",IF(COUNTIF($A$5:$A$794,A1074)&gt;0,"（哨兵：此 SRC_ID 已在上方 SRC 頁，查詢不會命中本列）","（哨兵：SRC 頁查無此 ID）"))</f>
        <v>（哨兵：SRC 頁查無此 ID）</v>
      </c>
      <c r="C1074" s="61" t="n">
        <v>284</v>
      </c>
      <c r="D1074" s="61" t="s">
        <v>10703</v>
      </c>
      <c r="E1074" s="61" t="s">
        <v>10703</v>
      </c>
      <c r="F1074" s="62" t="s">
        <v>814</v>
      </c>
    </row>
    <row r="1075" customFormat="false" ht="15" hidden="false" customHeight="false" outlineLevel="0" collapsed="false">
      <c r="A1075" s="92" t="str">
        <f aca="false">Gov_Map!$H285&amp;""</f>
        <v>—</v>
      </c>
      <c r="B1075" s="65" t="str">
        <f aca="false">IF(A1075="","（哨兵：Gov_Map 該列無 SRC_ID）",IF(COUNTIF($A$5:$A$794,A1075)&gt;0,"（哨兵：此 SRC_ID 已在上方 SRC 頁，查詢不會命中本列）","（哨兵：SRC 頁查無此 ID）"))</f>
        <v>（哨兵：SRC 頁查無此 ID）</v>
      </c>
      <c r="C1075" s="61" t="n">
        <v>285</v>
      </c>
      <c r="D1075" s="61" t="s">
        <v>10703</v>
      </c>
      <c r="E1075" s="61" t="s">
        <v>10703</v>
      </c>
      <c r="F1075" s="62" t="s">
        <v>814</v>
      </c>
    </row>
    <row r="1076" customFormat="false" ht="15" hidden="false" customHeight="false" outlineLevel="0" collapsed="false">
      <c r="A1076" s="92" t="str">
        <f aca="false">Gov_Map!$H286&amp;""</f>
        <v>—</v>
      </c>
      <c r="B1076" s="65" t="str">
        <f aca="false">IF(A1076="","（哨兵：Gov_Map 該列無 SRC_ID）",IF(COUNTIF($A$5:$A$794,A1076)&gt;0,"（哨兵：此 SRC_ID 已在上方 SRC 頁，查詢不會命中本列）","（哨兵：SRC 頁查無此 ID）"))</f>
        <v>（哨兵：SRC 頁查無此 ID）</v>
      </c>
      <c r="C1076" s="61" t="n">
        <v>286</v>
      </c>
      <c r="D1076" s="61" t="s">
        <v>10703</v>
      </c>
      <c r="E1076" s="61" t="s">
        <v>10703</v>
      </c>
      <c r="F1076" s="62" t="s">
        <v>814</v>
      </c>
    </row>
    <row r="1077" customFormat="false" ht="15" hidden="false" customHeight="false" outlineLevel="0" collapsed="false">
      <c r="A1077" s="92" t="str">
        <f aca="false">Gov_Map!$H287&amp;""</f>
        <v>—</v>
      </c>
      <c r="B1077" s="65" t="str">
        <f aca="false">IF(A1077="","（哨兵：Gov_Map 該列無 SRC_ID）",IF(COUNTIF($A$5:$A$794,A1077)&gt;0,"（哨兵：此 SRC_ID 已在上方 SRC 頁，查詢不會命中本列）","（哨兵：SRC 頁查無此 ID）"))</f>
        <v>（哨兵：SRC 頁查無此 ID）</v>
      </c>
      <c r="C1077" s="61" t="n">
        <v>287</v>
      </c>
      <c r="D1077" s="61" t="s">
        <v>10703</v>
      </c>
      <c r="E1077" s="61" t="s">
        <v>10703</v>
      </c>
      <c r="F1077" s="62" t="s">
        <v>814</v>
      </c>
    </row>
    <row r="1078" customFormat="false" ht="15" hidden="false" customHeight="false" outlineLevel="0" collapsed="false">
      <c r="A1078" s="92" t="str">
        <f aca="false">Gov_Map!$H288&amp;""</f>
        <v>—</v>
      </c>
      <c r="B1078" s="65" t="str">
        <f aca="false">IF(A1078="","（哨兵：Gov_Map 該列無 SRC_ID）",IF(COUNTIF($A$5:$A$794,A1078)&gt;0,"（哨兵：此 SRC_ID 已在上方 SRC 頁，查詢不會命中本列）","（哨兵：SRC 頁查無此 ID）"))</f>
        <v>（哨兵：SRC 頁查無此 ID）</v>
      </c>
      <c r="C1078" s="61" t="n">
        <v>288</v>
      </c>
      <c r="D1078" s="61" t="s">
        <v>10703</v>
      </c>
      <c r="E1078" s="61" t="s">
        <v>10703</v>
      </c>
      <c r="F1078" s="62" t="s">
        <v>814</v>
      </c>
    </row>
    <row r="1079" customFormat="false" ht="15" hidden="false" customHeight="false" outlineLevel="0" collapsed="false">
      <c r="A1079" s="92" t="str">
        <f aca="false">Gov_Map!$H289&amp;""</f>
        <v>—</v>
      </c>
      <c r="B1079" s="65" t="str">
        <f aca="false">IF(A1079="","（哨兵：Gov_Map 該列無 SRC_ID）",IF(COUNTIF($A$5:$A$794,A1079)&gt;0,"（哨兵：此 SRC_ID 已在上方 SRC 頁，查詢不會命中本列）","（哨兵：SRC 頁查無此 ID）"))</f>
        <v>（哨兵：SRC 頁查無此 ID）</v>
      </c>
      <c r="C1079" s="61" t="n">
        <v>289</v>
      </c>
      <c r="D1079" s="61" t="s">
        <v>10703</v>
      </c>
      <c r="E1079" s="61" t="s">
        <v>10703</v>
      </c>
      <c r="F1079" s="62" t="s">
        <v>814</v>
      </c>
    </row>
    <row r="1080" customFormat="false" ht="15" hidden="false" customHeight="false" outlineLevel="0" collapsed="false">
      <c r="A1080" s="92" t="str">
        <f aca="false">Gov_Map!$H290&amp;""</f>
        <v>—</v>
      </c>
      <c r="B1080" s="65" t="str">
        <f aca="false">IF(A1080="","（哨兵：Gov_Map 該列無 SRC_ID）",IF(COUNTIF($A$5:$A$794,A1080)&gt;0,"（哨兵：此 SRC_ID 已在上方 SRC 頁，查詢不會命中本列）","（哨兵：SRC 頁查無此 ID）"))</f>
        <v>（哨兵：SRC 頁查無此 ID）</v>
      </c>
      <c r="C1080" s="61" t="n">
        <v>290</v>
      </c>
      <c r="D1080" s="61" t="s">
        <v>10703</v>
      </c>
      <c r="E1080" s="61" t="s">
        <v>10703</v>
      </c>
      <c r="F1080" s="62" t="s">
        <v>814</v>
      </c>
    </row>
    <row r="1081" customFormat="false" ht="15" hidden="false" customHeight="false" outlineLevel="0" collapsed="false">
      <c r="A1081" s="92" t="str">
        <f aca="false">Gov_Map!$H291&amp;""</f>
        <v>—</v>
      </c>
      <c r="B1081" s="65" t="str">
        <f aca="false">IF(A1081="","（哨兵：Gov_Map 該列無 SRC_ID）",IF(COUNTIF($A$5:$A$794,A1081)&gt;0,"（哨兵：此 SRC_ID 已在上方 SRC 頁，查詢不會命中本列）","（哨兵：SRC 頁查無此 ID）"))</f>
        <v>（哨兵：SRC 頁查無此 ID）</v>
      </c>
      <c r="C1081" s="61" t="n">
        <v>291</v>
      </c>
      <c r="D1081" s="61" t="s">
        <v>10703</v>
      </c>
      <c r="E1081" s="61" t="s">
        <v>10703</v>
      </c>
      <c r="F1081" s="62" t="s">
        <v>814</v>
      </c>
    </row>
    <row r="1082" customFormat="false" ht="15" hidden="false" customHeight="false" outlineLevel="0" collapsed="false">
      <c r="A1082" s="92" t="str">
        <f aca="false">Gov_Map!$H292&amp;""</f>
        <v>—</v>
      </c>
      <c r="B1082" s="65" t="str">
        <f aca="false">IF(A1082="","（哨兵：Gov_Map 該列無 SRC_ID）",IF(COUNTIF($A$5:$A$794,A1082)&gt;0,"（哨兵：此 SRC_ID 已在上方 SRC 頁，查詢不會命中本列）","（哨兵：SRC 頁查無此 ID）"))</f>
        <v>（哨兵：SRC 頁查無此 ID）</v>
      </c>
      <c r="C1082" s="61" t="n">
        <v>292</v>
      </c>
      <c r="D1082" s="61" t="s">
        <v>10703</v>
      </c>
      <c r="E1082" s="61" t="s">
        <v>10703</v>
      </c>
      <c r="F1082" s="62" t="s">
        <v>814</v>
      </c>
    </row>
    <row r="1083" customFormat="false" ht="15" hidden="false" customHeight="false" outlineLevel="0" collapsed="false">
      <c r="A1083" s="92" t="str">
        <f aca="false">Gov_Map!$H293&amp;""</f>
        <v>—</v>
      </c>
      <c r="B1083" s="65" t="str">
        <f aca="false">IF(A1083="","（哨兵：Gov_Map 該列無 SRC_ID）",IF(COUNTIF($A$5:$A$794,A1083)&gt;0,"（哨兵：此 SRC_ID 已在上方 SRC 頁，查詢不會命中本列）","（哨兵：SRC 頁查無此 ID）"))</f>
        <v>（哨兵：SRC 頁查無此 ID）</v>
      </c>
      <c r="C1083" s="61" t="n">
        <v>293</v>
      </c>
      <c r="D1083" s="61" t="s">
        <v>10703</v>
      </c>
      <c r="E1083" s="61" t="s">
        <v>10703</v>
      </c>
      <c r="F1083" s="62" t="s">
        <v>814</v>
      </c>
    </row>
    <row r="1084" customFormat="false" ht="15" hidden="false" customHeight="false" outlineLevel="0" collapsed="false">
      <c r="A1084" s="92" t="str">
        <f aca="false">Gov_Map!$H294&amp;""</f>
        <v>—</v>
      </c>
      <c r="B1084" s="65" t="str">
        <f aca="false">IF(A1084="","（哨兵：Gov_Map 該列無 SRC_ID）",IF(COUNTIF($A$5:$A$794,A1084)&gt;0,"（哨兵：此 SRC_ID 已在上方 SRC 頁，查詢不會命中本列）","（哨兵：SRC 頁查無此 ID）"))</f>
        <v>（哨兵：SRC 頁查無此 ID）</v>
      </c>
      <c r="C1084" s="61" t="n">
        <v>294</v>
      </c>
      <c r="D1084" s="61" t="s">
        <v>10703</v>
      </c>
      <c r="E1084" s="61" t="s">
        <v>10703</v>
      </c>
      <c r="F1084" s="62" t="s">
        <v>814</v>
      </c>
    </row>
    <row r="1085" customFormat="false" ht="15" hidden="false" customHeight="false" outlineLevel="0" collapsed="false">
      <c r="A1085" s="92" t="str">
        <f aca="false">Gov_Map!$H295&amp;""</f>
        <v>—</v>
      </c>
      <c r="B1085" s="65" t="str">
        <f aca="false">IF(A1085="","（哨兵：Gov_Map 該列無 SRC_ID）",IF(COUNTIF($A$5:$A$794,A1085)&gt;0,"（哨兵：此 SRC_ID 已在上方 SRC 頁，查詢不會命中本列）","（哨兵：SRC 頁查無此 ID）"))</f>
        <v>（哨兵：SRC 頁查無此 ID）</v>
      </c>
      <c r="C1085" s="61" t="n">
        <v>295</v>
      </c>
      <c r="D1085" s="61" t="s">
        <v>10703</v>
      </c>
      <c r="E1085" s="61" t="s">
        <v>10703</v>
      </c>
      <c r="F1085" s="62" t="s">
        <v>814</v>
      </c>
    </row>
    <row r="1086" customFormat="false" ht="15" hidden="false" customHeight="false" outlineLevel="0" collapsed="false">
      <c r="A1086" s="92" t="str">
        <f aca="false">Gov_Map!$H296&amp;""</f>
        <v>—</v>
      </c>
      <c r="B1086" s="65" t="str">
        <f aca="false">IF(A1086="","（哨兵：Gov_Map 該列無 SRC_ID）",IF(COUNTIF($A$5:$A$794,A1086)&gt;0,"（哨兵：此 SRC_ID 已在上方 SRC 頁，查詢不會命中本列）","（哨兵：SRC 頁查無此 ID）"))</f>
        <v>（哨兵：SRC 頁查無此 ID）</v>
      </c>
      <c r="C1086" s="61" t="n">
        <v>296</v>
      </c>
      <c r="D1086" s="61" t="s">
        <v>10703</v>
      </c>
      <c r="E1086" s="61" t="s">
        <v>10703</v>
      </c>
      <c r="F1086" s="62" t="s">
        <v>814</v>
      </c>
    </row>
    <row r="1087" customFormat="false" ht="15" hidden="false" customHeight="false" outlineLevel="0" collapsed="false">
      <c r="A1087" s="92" t="str">
        <f aca="false">Gov_Map!$H297&amp;""</f>
        <v>—</v>
      </c>
      <c r="B1087" s="65" t="str">
        <f aca="false">IF(A1087="","（哨兵：Gov_Map 該列無 SRC_ID）",IF(COUNTIF($A$5:$A$794,A1087)&gt;0,"（哨兵：此 SRC_ID 已在上方 SRC 頁，查詢不會命中本列）","（哨兵：SRC 頁查無此 ID）"))</f>
        <v>（哨兵：SRC 頁查無此 ID）</v>
      </c>
      <c r="C1087" s="61" t="n">
        <v>297</v>
      </c>
      <c r="D1087" s="61" t="s">
        <v>10703</v>
      </c>
      <c r="E1087" s="61" t="s">
        <v>10703</v>
      </c>
      <c r="F1087" s="62" t="s">
        <v>814</v>
      </c>
    </row>
    <row r="1088" customFormat="false" ht="15" hidden="false" customHeight="false" outlineLevel="0" collapsed="false">
      <c r="A1088" s="92" t="str">
        <f aca="false">Gov_Map!$H298&amp;""</f>
        <v>—</v>
      </c>
      <c r="B1088" s="65" t="str">
        <f aca="false">IF(A1088="","（哨兵：Gov_Map 該列無 SRC_ID）",IF(COUNTIF($A$5:$A$794,A1088)&gt;0,"（哨兵：此 SRC_ID 已在上方 SRC 頁，查詢不會命中本列）","（哨兵：SRC 頁查無此 ID）"))</f>
        <v>（哨兵：SRC 頁查無此 ID）</v>
      </c>
      <c r="C1088" s="61" t="n">
        <v>298</v>
      </c>
      <c r="D1088" s="61" t="s">
        <v>10703</v>
      </c>
      <c r="E1088" s="61" t="s">
        <v>10703</v>
      </c>
      <c r="F1088" s="62" t="s">
        <v>814</v>
      </c>
    </row>
    <row r="1089" customFormat="false" ht="15" hidden="false" customHeight="false" outlineLevel="0" collapsed="false">
      <c r="A1089" s="92" t="str">
        <f aca="false">Gov_Map!$H299&amp;""</f>
        <v>—</v>
      </c>
      <c r="B1089" s="65" t="str">
        <f aca="false">IF(A1089="","（哨兵：Gov_Map 該列無 SRC_ID）",IF(COUNTIF($A$5:$A$794,A1089)&gt;0,"（哨兵：此 SRC_ID 已在上方 SRC 頁，查詢不會命中本列）","（哨兵：SRC 頁查無此 ID）"))</f>
        <v>（哨兵：SRC 頁查無此 ID）</v>
      </c>
      <c r="C1089" s="61" t="n">
        <v>299</v>
      </c>
      <c r="D1089" s="61" t="s">
        <v>10703</v>
      </c>
      <c r="E1089" s="61" t="s">
        <v>10703</v>
      </c>
      <c r="F1089" s="62" t="s">
        <v>814</v>
      </c>
    </row>
    <row r="1090" customFormat="false" ht="15" hidden="false" customHeight="false" outlineLevel="0" collapsed="false">
      <c r="A1090" s="92" t="str">
        <f aca="false">Gov_Map!$H300&amp;""</f>
        <v>—</v>
      </c>
      <c r="B1090" s="65" t="str">
        <f aca="false">IF(A1090="","（哨兵：Gov_Map 該列無 SRC_ID）",IF(COUNTIF($A$5:$A$794,A1090)&gt;0,"（哨兵：此 SRC_ID 已在上方 SRC 頁，查詢不會命中本列）","（哨兵：SRC 頁查無此 ID）"))</f>
        <v>（哨兵：SRC 頁查無此 ID）</v>
      </c>
      <c r="C1090" s="61" t="n">
        <v>300</v>
      </c>
      <c r="D1090" s="61" t="s">
        <v>10703</v>
      </c>
      <c r="E1090" s="61" t="s">
        <v>10703</v>
      </c>
      <c r="F1090" s="62" t="s">
        <v>814</v>
      </c>
    </row>
    <row r="1091" customFormat="false" ht="15" hidden="false" customHeight="false" outlineLevel="0" collapsed="false">
      <c r="A1091" s="92" t="str">
        <f aca="false">Gov_Map!$H301&amp;""</f>
        <v>—</v>
      </c>
      <c r="B1091" s="65" t="str">
        <f aca="false">IF(A1091="","（哨兵：Gov_Map 該列無 SRC_ID）",IF(COUNTIF($A$5:$A$794,A1091)&gt;0,"（哨兵：此 SRC_ID 已在上方 SRC 頁，查詢不會命中本列）","（哨兵：SRC 頁查無此 ID）"))</f>
        <v>（哨兵：SRC 頁查無此 ID）</v>
      </c>
      <c r="C1091" s="61" t="n">
        <v>301</v>
      </c>
      <c r="D1091" s="61" t="s">
        <v>10703</v>
      </c>
      <c r="E1091" s="61" t="s">
        <v>10703</v>
      </c>
      <c r="F1091" s="62" t="s">
        <v>814</v>
      </c>
    </row>
    <row r="1092" customFormat="false" ht="15" hidden="false" customHeight="false" outlineLevel="0" collapsed="false">
      <c r="A1092" s="92" t="str">
        <f aca="false">Gov_Map!$H302&amp;""</f>
        <v>—</v>
      </c>
      <c r="B1092" s="65" t="str">
        <f aca="false">IF(A1092="","（哨兵：Gov_Map 該列無 SRC_ID）",IF(COUNTIF($A$5:$A$794,A1092)&gt;0,"（哨兵：此 SRC_ID 已在上方 SRC 頁，查詢不會命中本列）","（哨兵：SRC 頁查無此 ID）"))</f>
        <v>（哨兵：SRC 頁查無此 ID）</v>
      </c>
      <c r="C1092" s="61" t="n">
        <v>302</v>
      </c>
      <c r="D1092" s="61" t="s">
        <v>10703</v>
      </c>
      <c r="E1092" s="61" t="s">
        <v>10703</v>
      </c>
      <c r="F1092" s="62" t="s">
        <v>814</v>
      </c>
    </row>
    <row r="1093" customFormat="false" ht="15" hidden="false" customHeight="false" outlineLevel="0" collapsed="false">
      <c r="A1093" s="92" t="str">
        <f aca="false">Gov_Map!$H303&amp;""</f>
        <v>—</v>
      </c>
      <c r="B1093" s="65" t="str">
        <f aca="false">IF(A1093="","（哨兵：Gov_Map 該列無 SRC_ID）",IF(COUNTIF($A$5:$A$794,A1093)&gt;0,"（哨兵：此 SRC_ID 已在上方 SRC 頁，查詢不會命中本列）","（哨兵：SRC 頁查無此 ID）"))</f>
        <v>（哨兵：SRC 頁查無此 ID）</v>
      </c>
      <c r="C1093" s="61" t="n">
        <v>303</v>
      </c>
      <c r="D1093" s="61" t="s">
        <v>10703</v>
      </c>
      <c r="E1093" s="61" t="s">
        <v>10703</v>
      </c>
      <c r="F1093" s="62" t="s">
        <v>814</v>
      </c>
    </row>
    <row r="1094" customFormat="false" ht="15" hidden="false" customHeight="false" outlineLevel="0" collapsed="false">
      <c r="A1094" s="92" t="str">
        <f aca="false">Gov_Map!$H304&amp;""</f>
        <v>—</v>
      </c>
      <c r="B1094" s="65" t="str">
        <f aca="false">IF(A1094="","（哨兵：Gov_Map 該列無 SRC_ID）",IF(COUNTIF($A$5:$A$794,A1094)&gt;0,"（哨兵：此 SRC_ID 已在上方 SRC 頁，查詢不會命中本列）","（哨兵：SRC 頁查無此 ID）"))</f>
        <v>（哨兵：SRC 頁查無此 ID）</v>
      </c>
      <c r="C1094" s="61" t="n">
        <v>304</v>
      </c>
      <c r="D1094" s="61" t="s">
        <v>10703</v>
      </c>
      <c r="E1094" s="61" t="s">
        <v>10703</v>
      </c>
      <c r="F1094" s="62" t="s">
        <v>814</v>
      </c>
    </row>
    <row r="1095" customFormat="false" ht="15" hidden="false" customHeight="false" outlineLevel="0" collapsed="false">
      <c r="A1095" s="92" t="str">
        <f aca="false">Gov_Map!$H305&amp;""</f>
        <v>—</v>
      </c>
      <c r="B1095" s="65" t="str">
        <f aca="false">IF(A1095="","（哨兵：Gov_Map 該列無 SRC_ID）",IF(COUNTIF($A$5:$A$794,A1095)&gt;0,"（哨兵：此 SRC_ID 已在上方 SRC 頁，查詢不會命中本列）","（哨兵：SRC 頁查無此 ID）"))</f>
        <v>（哨兵：SRC 頁查無此 ID）</v>
      </c>
      <c r="C1095" s="61" t="n">
        <v>305</v>
      </c>
      <c r="D1095" s="61" t="s">
        <v>10703</v>
      </c>
      <c r="E1095" s="61" t="s">
        <v>10703</v>
      </c>
      <c r="F1095" s="62" t="s">
        <v>814</v>
      </c>
    </row>
    <row r="1096" customFormat="false" ht="15" hidden="false" customHeight="false" outlineLevel="0" collapsed="false">
      <c r="A1096" s="92" t="str">
        <f aca="false">Gov_Map!$H306&amp;""</f>
        <v>SRC_HAR_001</v>
      </c>
      <c r="B1096" s="65" t="str">
        <f aca="false">IF(A1096="","（哨兵：Gov_Map 該列無 SRC_ID）",IF(COUNTIF($A$5:$A$794,A1096)&gt;0,"（哨兵：此 SRC_ID 已在上方 SRC 頁，查詢不會命中本列）","（哨兵：SRC 頁查無此 ID）"))</f>
        <v>（哨兵：此 SRC_ID 已在上方 SRC 頁，查詢不會命中本列）</v>
      </c>
      <c r="C1096" s="61" t="n">
        <v>306</v>
      </c>
      <c r="D1096" s="61" t="s">
        <v>10703</v>
      </c>
      <c r="E1096" s="61" t="s">
        <v>10703</v>
      </c>
      <c r="F1096" s="62" t="s">
        <v>814</v>
      </c>
    </row>
    <row r="1097" customFormat="false" ht="15" hidden="false" customHeight="false" outlineLevel="0" collapsed="false">
      <c r="A1097" s="92" t="str">
        <f aca="false">Gov_Map!$H307&amp;""</f>
        <v>SRC_HAR_002</v>
      </c>
      <c r="B1097" s="65" t="str">
        <f aca="false">IF(A1097="","（哨兵：Gov_Map 該列無 SRC_ID）",IF(COUNTIF($A$5:$A$794,A1097)&gt;0,"（哨兵：此 SRC_ID 已在上方 SRC 頁，查詢不會命中本列）","（哨兵：SRC 頁查無此 ID）"))</f>
        <v>（哨兵：此 SRC_ID 已在上方 SRC 頁，查詢不會命中本列）</v>
      </c>
      <c r="C1097" s="61" t="n">
        <v>307</v>
      </c>
      <c r="D1097" s="61" t="s">
        <v>10703</v>
      </c>
      <c r="E1097" s="61" t="s">
        <v>10703</v>
      </c>
      <c r="F1097" s="62" t="s">
        <v>814</v>
      </c>
    </row>
    <row r="1098" customFormat="false" ht="15" hidden="false" customHeight="false" outlineLevel="0" collapsed="false">
      <c r="A1098" s="92" t="str">
        <f aca="false">Gov_Map!$H308&amp;""</f>
        <v>SRC_PERF_041</v>
      </c>
      <c r="B1098" s="65" t="str">
        <f aca="false">IF(A1098="","（哨兵：Gov_Map 該列無 SRC_ID）",IF(COUNTIF($A$5:$A$794,A1098)&gt;0,"（哨兵：此 SRC_ID 已在上方 SRC 頁，查詢不會命中本列）","（哨兵：SRC 頁查無此 ID）"))</f>
        <v>（哨兵：此 SRC_ID 已在上方 SRC 頁，查詢不會命中本列）</v>
      </c>
      <c r="C1098" s="61" t="n">
        <v>308</v>
      </c>
      <c r="D1098" s="61" t="s">
        <v>10703</v>
      </c>
      <c r="E1098" s="61" t="s">
        <v>10703</v>
      </c>
      <c r="F1098" s="62" t="s">
        <v>814</v>
      </c>
    </row>
    <row r="1099" customFormat="false" ht="15" hidden="false" customHeight="false" outlineLevel="0" collapsed="false">
      <c r="A1099" s="92" t="str">
        <f aca="false">Gov_Map!$H309&amp;""</f>
        <v>—</v>
      </c>
      <c r="B1099" s="65" t="str">
        <f aca="false">IF(A1099="","（哨兵：Gov_Map 該列無 SRC_ID）",IF(COUNTIF($A$5:$A$794,A1099)&gt;0,"（哨兵：此 SRC_ID 已在上方 SRC 頁，查詢不會命中本列）","（哨兵：SRC 頁查無此 ID）"))</f>
        <v>（哨兵：SRC 頁查無此 ID）</v>
      </c>
      <c r="C1099" s="61" t="n">
        <v>309</v>
      </c>
      <c r="D1099" s="61" t="s">
        <v>10703</v>
      </c>
      <c r="E1099" s="61" t="s">
        <v>10703</v>
      </c>
      <c r="F1099" s="62" t="s">
        <v>814</v>
      </c>
    </row>
    <row r="1100" customFormat="false" ht="15" hidden="false" customHeight="false" outlineLevel="0" collapsed="false">
      <c r="A1100" s="92" t="str">
        <f aca="false">Gov_Map!$H310&amp;""</f>
        <v>SRC_PERF_009</v>
      </c>
      <c r="B1100" s="65" t="str">
        <f aca="false">IF(A1100="","（哨兵：Gov_Map 該列無 SRC_ID）",IF(COUNTIF($A$5:$A$794,A1100)&gt;0,"（哨兵：此 SRC_ID 已在上方 SRC 頁，查詢不會命中本列）","（哨兵：SRC 頁查無此 ID）"))</f>
        <v>（哨兵：此 SRC_ID 已在上方 SRC 頁，查詢不會命中本列）</v>
      </c>
      <c r="C1100" s="61" t="n">
        <v>310</v>
      </c>
      <c r="D1100" s="61" t="s">
        <v>10703</v>
      </c>
      <c r="E1100" s="61" t="s">
        <v>10703</v>
      </c>
      <c r="F1100" s="62" t="s">
        <v>814</v>
      </c>
    </row>
    <row r="1101" customFormat="false" ht="15" hidden="false" customHeight="false" outlineLevel="0" collapsed="false">
      <c r="A1101" s="92" t="str">
        <f aca="false">Gov_Map!$H311&amp;""</f>
        <v>SRC_PERF_009</v>
      </c>
      <c r="B1101" s="65" t="str">
        <f aca="false">IF(A1101="","（哨兵：Gov_Map 該列無 SRC_ID）",IF(COUNTIF($A$5:$A$794,A1101)&gt;0,"（哨兵：此 SRC_ID 已在上方 SRC 頁，查詢不會命中本列）","（哨兵：SRC 頁查無此 ID）"))</f>
        <v>（哨兵：此 SRC_ID 已在上方 SRC 頁，查詢不會命中本列）</v>
      </c>
      <c r="C1101" s="61" t="n">
        <v>311</v>
      </c>
      <c r="D1101" s="61" t="s">
        <v>10703</v>
      </c>
      <c r="E1101" s="61" t="s">
        <v>10703</v>
      </c>
      <c r="F1101" s="62" t="s">
        <v>814</v>
      </c>
    </row>
    <row r="1102" customFormat="false" ht="15" hidden="false" customHeight="false" outlineLevel="0" collapsed="false">
      <c r="A1102" s="92" t="str">
        <f aca="false">Gov_Map!$H312&amp;""</f>
        <v>SRC_PERF_009</v>
      </c>
      <c r="B1102" s="65" t="str">
        <f aca="false">IF(A1102="","（哨兵：Gov_Map 該列無 SRC_ID）",IF(COUNTIF($A$5:$A$794,A1102)&gt;0,"（哨兵：此 SRC_ID 已在上方 SRC 頁，查詢不會命中本列）","（哨兵：SRC 頁查無此 ID）"))</f>
        <v>（哨兵：此 SRC_ID 已在上方 SRC 頁，查詢不會命中本列）</v>
      </c>
      <c r="C1102" s="61" t="n">
        <v>312</v>
      </c>
      <c r="D1102" s="61" t="s">
        <v>10703</v>
      </c>
      <c r="E1102" s="61" t="s">
        <v>10703</v>
      </c>
      <c r="F1102" s="62" t="s">
        <v>814</v>
      </c>
    </row>
    <row r="1103" customFormat="false" ht="15" hidden="false" customHeight="false" outlineLevel="0" collapsed="false">
      <c r="A1103" s="92" t="str">
        <f aca="false">Gov_Map!$H313&amp;""</f>
        <v>SRC_PERF_009</v>
      </c>
      <c r="B1103" s="65" t="str">
        <f aca="false">IF(A1103="","（哨兵：Gov_Map 該列無 SRC_ID）",IF(COUNTIF($A$5:$A$794,A1103)&gt;0,"（哨兵：此 SRC_ID 已在上方 SRC 頁，查詢不會命中本列）","（哨兵：SRC 頁查無此 ID）"))</f>
        <v>（哨兵：此 SRC_ID 已在上方 SRC 頁，查詢不會命中本列）</v>
      </c>
      <c r="C1103" s="61" t="n">
        <v>313</v>
      </c>
      <c r="D1103" s="61" t="s">
        <v>10703</v>
      </c>
      <c r="E1103" s="61" t="s">
        <v>10703</v>
      </c>
      <c r="F1103" s="62" t="s">
        <v>814</v>
      </c>
    </row>
    <row r="1104" customFormat="false" ht="15" hidden="false" customHeight="false" outlineLevel="0" collapsed="false">
      <c r="A1104" s="92" t="str">
        <f aca="false">Gov_Map!$H314&amp;""</f>
        <v>SRC_PERF_009</v>
      </c>
      <c r="B1104" s="65" t="str">
        <f aca="false">IF(A1104="","（哨兵：Gov_Map 該列無 SRC_ID）",IF(COUNTIF($A$5:$A$794,A1104)&gt;0,"（哨兵：此 SRC_ID 已在上方 SRC 頁，查詢不會命中本列）","（哨兵：SRC 頁查無此 ID）"))</f>
        <v>（哨兵：此 SRC_ID 已在上方 SRC 頁，查詢不會命中本列）</v>
      </c>
      <c r="C1104" s="61" t="n">
        <v>314</v>
      </c>
      <c r="D1104" s="61" t="s">
        <v>10703</v>
      </c>
      <c r="E1104" s="61" t="s">
        <v>10703</v>
      </c>
      <c r="F1104" s="62" t="s">
        <v>814</v>
      </c>
    </row>
    <row r="1105" customFormat="false" ht="15" hidden="false" customHeight="false" outlineLevel="0" collapsed="false">
      <c r="A1105" s="92" t="str">
        <f aca="false">Gov_Map!$H315&amp;""</f>
        <v>SRC_PERF_010</v>
      </c>
      <c r="B1105" s="65" t="str">
        <f aca="false">IF(A1105="","（哨兵：Gov_Map 該列無 SRC_ID）",IF(COUNTIF($A$5:$A$794,A1105)&gt;0,"（哨兵：此 SRC_ID 已在上方 SRC 頁，查詢不會命中本列）","（哨兵：SRC 頁查無此 ID）"))</f>
        <v>（哨兵：此 SRC_ID 已在上方 SRC 頁，查詢不會命中本列）</v>
      </c>
      <c r="C1105" s="61" t="n">
        <v>315</v>
      </c>
      <c r="D1105" s="61" t="s">
        <v>10703</v>
      </c>
      <c r="E1105" s="61" t="s">
        <v>10703</v>
      </c>
      <c r="F1105" s="62" t="s">
        <v>814</v>
      </c>
    </row>
    <row r="1106" customFormat="false" ht="15" hidden="false" customHeight="false" outlineLevel="0" collapsed="false">
      <c r="A1106" s="92" t="str">
        <f aca="false">Gov_Map!$H316&amp;""</f>
        <v>SRC_PERF_010</v>
      </c>
      <c r="B1106" s="65" t="str">
        <f aca="false">IF(A1106="","（哨兵：Gov_Map 該列無 SRC_ID）",IF(COUNTIF($A$5:$A$794,A1106)&gt;0,"（哨兵：此 SRC_ID 已在上方 SRC 頁，查詢不會命中本列）","（哨兵：SRC 頁查無此 ID）"))</f>
        <v>（哨兵：此 SRC_ID 已在上方 SRC 頁，查詢不會命中本列）</v>
      </c>
      <c r="C1106" s="61" t="n">
        <v>316</v>
      </c>
      <c r="D1106" s="61" t="s">
        <v>10703</v>
      </c>
      <c r="E1106" s="61" t="s">
        <v>10703</v>
      </c>
      <c r="F1106" s="62" t="s">
        <v>814</v>
      </c>
    </row>
    <row r="1107" customFormat="false" ht="15" hidden="false" customHeight="false" outlineLevel="0" collapsed="false">
      <c r="A1107" s="92" t="str">
        <f aca="false">Gov_Map!$H317&amp;""</f>
        <v>SRC_PERF_010</v>
      </c>
      <c r="B1107" s="65" t="str">
        <f aca="false">IF(A1107="","（哨兵：Gov_Map 該列無 SRC_ID）",IF(COUNTIF($A$5:$A$794,A1107)&gt;0,"（哨兵：此 SRC_ID 已在上方 SRC 頁，查詢不會命中本列）","（哨兵：SRC 頁查無此 ID）"))</f>
        <v>（哨兵：此 SRC_ID 已在上方 SRC 頁，查詢不會命中本列）</v>
      </c>
      <c r="C1107" s="61" t="n">
        <v>317</v>
      </c>
      <c r="D1107" s="61" t="s">
        <v>10703</v>
      </c>
      <c r="E1107" s="61" t="s">
        <v>10703</v>
      </c>
      <c r="F1107" s="62" t="s">
        <v>814</v>
      </c>
    </row>
    <row r="1108" customFormat="false" ht="15" hidden="false" customHeight="false" outlineLevel="0" collapsed="false">
      <c r="A1108" s="92" t="str">
        <f aca="false">Gov_Map!$H318&amp;""</f>
        <v>SRC_PERF_010</v>
      </c>
      <c r="B1108" s="65" t="str">
        <f aca="false">IF(A1108="","（哨兵：Gov_Map 該列無 SRC_ID）",IF(COUNTIF($A$5:$A$794,A1108)&gt;0,"（哨兵：此 SRC_ID 已在上方 SRC 頁，查詢不會命中本列）","（哨兵：SRC 頁查無此 ID）"))</f>
        <v>（哨兵：此 SRC_ID 已在上方 SRC 頁，查詢不會命中本列）</v>
      </c>
      <c r="C1108" s="61" t="n">
        <v>318</v>
      </c>
      <c r="D1108" s="61" t="s">
        <v>10703</v>
      </c>
      <c r="E1108" s="61" t="s">
        <v>10703</v>
      </c>
      <c r="F1108" s="62" t="s">
        <v>814</v>
      </c>
    </row>
    <row r="1109" customFormat="false" ht="15" hidden="false" customHeight="false" outlineLevel="0" collapsed="false">
      <c r="A1109" s="92" t="str">
        <f aca="false">Gov_Map!$H319&amp;""</f>
        <v>SRC_PERF_010</v>
      </c>
      <c r="B1109" s="65" t="str">
        <f aca="false">IF(A1109="","（哨兵：Gov_Map 該列無 SRC_ID）",IF(COUNTIF($A$5:$A$794,A1109)&gt;0,"（哨兵：此 SRC_ID 已在上方 SRC 頁，查詢不會命中本列）","（哨兵：SRC 頁查無此 ID）"))</f>
        <v>（哨兵：此 SRC_ID 已在上方 SRC 頁，查詢不會命中本列）</v>
      </c>
      <c r="C1109" s="61" t="n">
        <v>319</v>
      </c>
      <c r="D1109" s="61" t="s">
        <v>10703</v>
      </c>
      <c r="E1109" s="61" t="s">
        <v>10703</v>
      </c>
      <c r="F1109" s="62" t="s">
        <v>814</v>
      </c>
    </row>
    <row r="1110" customFormat="false" ht="15" hidden="false" customHeight="false" outlineLevel="0" collapsed="false">
      <c r="A1110" s="92" t="str">
        <f aca="false">Gov_Map!$H320&amp;""</f>
        <v>SRC_PERF_004</v>
      </c>
      <c r="B1110" s="65" t="str">
        <f aca="false">IF(A1110="","（哨兵：Gov_Map 該列無 SRC_ID）",IF(COUNTIF($A$5:$A$794,A1110)&gt;0,"（哨兵：此 SRC_ID 已在上方 SRC 頁，查詢不會命中本列）","（哨兵：SRC 頁查無此 ID）"))</f>
        <v>（哨兵：此 SRC_ID 已在上方 SRC 頁，查詢不會命中本列）</v>
      </c>
      <c r="C1110" s="61" t="n">
        <v>320</v>
      </c>
      <c r="D1110" s="61" t="s">
        <v>10703</v>
      </c>
      <c r="E1110" s="61" t="s">
        <v>10703</v>
      </c>
      <c r="F1110" s="62" t="s">
        <v>814</v>
      </c>
    </row>
    <row r="1111" customFormat="false" ht="15" hidden="false" customHeight="false" outlineLevel="0" collapsed="false">
      <c r="A1111" s="92" t="str">
        <f aca="false">Gov_Map!$H321&amp;""</f>
        <v>SRC_PERF_004</v>
      </c>
      <c r="B1111" s="65" t="str">
        <f aca="false">IF(A1111="","（哨兵：Gov_Map 該列無 SRC_ID）",IF(COUNTIF($A$5:$A$794,A1111)&gt;0,"（哨兵：此 SRC_ID 已在上方 SRC 頁，查詢不會命中本列）","（哨兵：SRC 頁查無此 ID）"))</f>
        <v>（哨兵：此 SRC_ID 已在上方 SRC 頁，查詢不會命中本列）</v>
      </c>
      <c r="C1111" s="61" t="n">
        <v>321</v>
      </c>
      <c r="D1111" s="61" t="s">
        <v>10703</v>
      </c>
      <c r="E1111" s="61" t="s">
        <v>10703</v>
      </c>
      <c r="F1111" s="62" t="s">
        <v>814</v>
      </c>
    </row>
    <row r="1112" customFormat="false" ht="15" hidden="false" customHeight="false" outlineLevel="0" collapsed="false">
      <c r="A1112" s="92" t="str">
        <f aca="false">Gov_Map!$H322&amp;""</f>
        <v>SRC_PERF_004</v>
      </c>
      <c r="B1112" s="65" t="str">
        <f aca="false">IF(A1112="","（哨兵：Gov_Map 該列無 SRC_ID）",IF(COUNTIF($A$5:$A$794,A1112)&gt;0,"（哨兵：此 SRC_ID 已在上方 SRC 頁，查詢不會命中本列）","（哨兵：SRC 頁查無此 ID）"))</f>
        <v>（哨兵：此 SRC_ID 已在上方 SRC 頁，查詢不會命中本列）</v>
      </c>
      <c r="C1112" s="61" t="n">
        <v>322</v>
      </c>
      <c r="D1112" s="61" t="s">
        <v>10703</v>
      </c>
      <c r="E1112" s="61" t="s">
        <v>10703</v>
      </c>
      <c r="F1112" s="62" t="s">
        <v>814</v>
      </c>
    </row>
    <row r="1113" customFormat="false" ht="15" hidden="false" customHeight="false" outlineLevel="0" collapsed="false">
      <c r="A1113" s="92" t="str">
        <f aca="false">Gov_Map!$H323&amp;""</f>
        <v>SRC_PERF_004</v>
      </c>
      <c r="B1113" s="65" t="str">
        <f aca="false">IF(A1113="","（哨兵：Gov_Map 該列無 SRC_ID）",IF(COUNTIF($A$5:$A$794,A1113)&gt;0,"（哨兵：此 SRC_ID 已在上方 SRC 頁，查詢不會命中本列）","（哨兵：SRC 頁查無此 ID）"))</f>
        <v>（哨兵：此 SRC_ID 已在上方 SRC 頁，查詢不會命中本列）</v>
      </c>
      <c r="C1113" s="61" t="n">
        <v>323</v>
      </c>
      <c r="D1113" s="61" t="s">
        <v>10703</v>
      </c>
      <c r="E1113" s="61" t="s">
        <v>10703</v>
      </c>
      <c r="F1113" s="62" t="s">
        <v>814</v>
      </c>
    </row>
    <row r="1114" customFormat="false" ht="15" hidden="false" customHeight="false" outlineLevel="0" collapsed="false">
      <c r="A1114" s="92" t="str">
        <f aca="false">Gov_Map!$H324&amp;""</f>
        <v>SRC_PERF_004</v>
      </c>
      <c r="B1114" s="65" t="str">
        <f aca="false">IF(A1114="","（哨兵：Gov_Map 該列無 SRC_ID）",IF(COUNTIF($A$5:$A$794,A1114)&gt;0,"（哨兵：此 SRC_ID 已在上方 SRC 頁，查詢不會命中本列）","（哨兵：SRC 頁查無此 ID）"))</f>
        <v>（哨兵：此 SRC_ID 已在上方 SRC 頁，查詢不會命中本列）</v>
      </c>
      <c r="C1114" s="61" t="n">
        <v>324</v>
      </c>
      <c r="D1114" s="61" t="s">
        <v>10703</v>
      </c>
      <c r="E1114" s="61" t="s">
        <v>10703</v>
      </c>
      <c r="F1114" s="62" t="s">
        <v>814</v>
      </c>
    </row>
    <row r="1115" customFormat="false" ht="15" hidden="false" customHeight="false" outlineLevel="0" collapsed="false">
      <c r="A1115" s="92" t="str">
        <f aca="false">Gov_Map!$H325&amp;""</f>
        <v>SRC_PERF_001</v>
      </c>
      <c r="B1115" s="65" t="str">
        <f aca="false">IF(A1115="","（哨兵：Gov_Map 該列無 SRC_ID）",IF(COUNTIF($A$5:$A$794,A1115)&gt;0,"（哨兵：此 SRC_ID 已在上方 SRC 頁，查詢不會命中本列）","（哨兵：SRC 頁查無此 ID）"))</f>
        <v>（哨兵：此 SRC_ID 已在上方 SRC 頁，查詢不會命中本列）</v>
      </c>
      <c r="C1115" s="61" t="n">
        <v>325</v>
      </c>
      <c r="D1115" s="61" t="s">
        <v>10703</v>
      </c>
      <c r="E1115" s="61" t="s">
        <v>10703</v>
      </c>
      <c r="F1115" s="62" t="s">
        <v>814</v>
      </c>
    </row>
    <row r="1116" customFormat="false" ht="15" hidden="false" customHeight="false" outlineLevel="0" collapsed="false">
      <c r="A1116" s="92" t="str">
        <f aca="false">Gov_Map!$H326&amp;""</f>
        <v>SRC_PERF_001</v>
      </c>
      <c r="B1116" s="65" t="str">
        <f aca="false">IF(A1116="","（哨兵：Gov_Map 該列無 SRC_ID）",IF(COUNTIF($A$5:$A$794,A1116)&gt;0,"（哨兵：此 SRC_ID 已在上方 SRC 頁，查詢不會命中本列）","（哨兵：SRC 頁查無此 ID）"))</f>
        <v>（哨兵：此 SRC_ID 已在上方 SRC 頁，查詢不會命中本列）</v>
      </c>
      <c r="C1116" s="61" t="n">
        <v>326</v>
      </c>
      <c r="D1116" s="61" t="s">
        <v>10703</v>
      </c>
      <c r="E1116" s="61" t="s">
        <v>10703</v>
      </c>
      <c r="F1116" s="62" t="s">
        <v>814</v>
      </c>
    </row>
    <row r="1117" customFormat="false" ht="15" hidden="false" customHeight="false" outlineLevel="0" collapsed="false">
      <c r="A1117" s="92" t="str">
        <f aca="false">Gov_Map!$H327&amp;""</f>
        <v>SRC_PERF_001</v>
      </c>
      <c r="B1117" s="65" t="str">
        <f aca="false">IF(A1117="","（哨兵：Gov_Map 該列無 SRC_ID）",IF(COUNTIF($A$5:$A$794,A1117)&gt;0,"（哨兵：此 SRC_ID 已在上方 SRC 頁，查詢不會命中本列）","（哨兵：SRC 頁查無此 ID）"))</f>
        <v>（哨兵：此 SRC_ID 已在上方 SRC 頁，查詢不會命中本列）</v>
      </c>
      <c r="C1117" s="61" t="n">
        <v>327</v>
      </c>
      <c r="D1117" s="61" t="s">
        <v>10703</v>
      </c>
      <c r="E1117" s="61" t="s">
        <v>10703</v>
      </c>
      <c r="F1117" s="62" t="s">
        <v>814</v>
      </c>
    </row>
    <row r="1118" customFormat="false" ht="15" hidden="false" customHeight="false" outlineLevel="0" collapsed="false">
      <c r="A1118" s="92" t="str">
        <f aca="false">Gov_Map!$H328&amp;""</f>
        <v>SRC_PERF_001</v>
      </c>
      <c r="B1118" s="65" t="str">
        <f aca="false">IF(A1118="","（哨兵：Gov_Map 該列無 SRC_ID）",IF(COUNTIF($A$5:$A$794,A1118)&gt;0,"（哨兵：此 SRC_ID 已在上方 SRC 頁，查詢不會命中本列）","（哨兵：SRC 頁查無此 ID）"))</f>
        <v>（哨兵：此 SRC_ID 已在上方 SRC 頁，查詢不會命中本列）</v>
      </c>
      <c r="C1118" s="61" t="n">
        <v>328</v>
      </c>
      <c r="D1118" s="61" t="s">
        <v>10703</v>
      </c>
      <c r="E1118" s="61" t="s">
        <v>10703</v>
      </c>
      <c r="F1118" s="62" t="s">
        <v>814</v>
      </c>
    </row>
    <row r="1119" customFormat="false" ht="15" hidden="false" customHeight="false" outlineLevel="0" collapsed="false">
      <c r="A1119" s="92" t="str">
        <f aca="false">Gov_Map!$H329&amp;""</f>
        <v>SRC_PERF_001</v>
      </c>
      <c r="B1119" s="65" t="str">
        <f aca="false">IF(A1119="","（哨兵：Gov_Map 該列無 SRC_ID）",IF(COUNTIF($A$5:$A$794,A1119)&gt;0,"（哨兵：此 SRC_ID 已在上方 SRC 頁，查詢不會命中本列）","（哨兵：SRC 頁查無此 ID）"))</f>
        <v>（哨兵：此 SRC_ID 已在上方 SRC 頁，查詢不會命中本列）</v>
      </c>
      <c r="C1119" s="61" t="n">
        <v>329</v>
      </c>
      <c r="D1119" s="61" t="s">
        <v>10703</v>
      </c>
      <c r="E1119" s="61" t="s">
        <v>10703</v>
      </c>
      <c r="F1119" s="62" t="s">
        <v>814</v>
      </c>
    </row>
    <row r="1120" customFormat="false" ht="15" hidden="false" customHeight="false" outlineLevel="0" collapsed="false">
      <c r="A1120" s="92" t="str">
        <f aca="false">Gov_Map!$H330&amp;""</f>
        <v>SRC_PERF_002</v>
      </c>
      <c r="B1120" s="65" t="str">
        <f aca="false">IF(A1120="","（哨兵：Gov_Map 該列無 SRC_ID）",IF(COUNTIF($A$5:$A$794,A1120)&gt;0,"（哨兵：此 SRC_ID 已在上方 SRC 頁，查詢不會命中本列）","（哨兵：SRC 頁查無此 ID）"))</f>
        <v>（哨兵：此 SRC_ID 已在上方 SRC 頁，查詢不會命中本列）</v>
      </c>
      <c r="C1120" s="61" t="n">
        <v>330</v>
      </c>
      <c r="D1120" s="61" t="s">
        <v>10703</v>
      </c>
      <c r="E1120" s="61" t="s">
        <v>10703</v>
      </c>
      <c r="F1120" s="62" t="s">
        <v>814</v>
      </c>
    </row>
    <row r="1121" customFormat="false" ht="15" hidden="false" customHeight="false" outlineLevel="0" collapsed="false">
      <c r="A1121" s="92" t="str">
        <f aca="false">Gov_Map!$H331&amp;""</f>
        <v>SRC_PERF_002</v>
      </c>
      <c r="B1121" s="65" t="str">
        <f aca="false">IF(A1121="","（哨兵：Gov_Map 該列無 SRC_ID）",IF(COUNTIF($A$5:$A$794,A1121)&gt;0,"（哨兵：此 SRC_ID 已在上方 SRC 頁，查詢不會命中本列）","（哨兵：SRC 頁查無此 ID）"))</f>
        <v>（哨兵：此 SRC_ID 已在上方 SRC 頁，查詢不會命中本列）</v>
      </c>
      <c r="C1121" s="61" t="n">
        <v>331</v>
      </c>
      <c r="D1121" s="61" t="s">
        <v>10703</v>
      </c>
      <c r="E1121" s="61" t="s">
        <v>10703</v>
      </c>
      <c r="F1121" s="62" t="s">
        <v>814</v>
      </c>
    </row>
    <row r="1122" customFormat="false" ht="15" hidden="false" customHeight="false" outlineLevel="0" collapsed="false">
      <c r="A1122" s="92" t="str">
        <f aca="false">Gov_Map!$H332&amp;""</f>
        <v>SRC_PERF_002</v>
      </c>
      <c r="B1122" s="65" t="str">
        <f aca="false">IF(A1122="","（哨兵：Gov_Map 該列無 SRC_ID）",IF(COUNTIF($A$5:$A$794,A1122)&gt;0,"（哨兵：此 SRC_ID 已在上方 SRC 頁，查詢不會命中本列）","（哨兵：SRC 頁查無此 ID）"))</f>
        <v>（哨兵：此 SRC_ID 已在上方 SRC 頁，查詢不會命中本列）</v>
      </c>
      <c r="C1122" s="61" t="n">
        <v>332</v>
      </c>
      <c r="D1122" s="61" t="s">
        <v>10703</v>
      </c>
      <c r="E1122" s="61" t="s">
        <v>10703</v>
      </c>
      <c r="F1122" s="62" t="s">
        <v>814</v>
      </c>
    </row>
    <row r="1123" customFormat="false" ht="15" hidden="false" customHeight="false" outlineLevel="0" collapsed="false">
      <c r="A1123" s="92" t="str">
        <f aca="false">Gov_Map!$H333&amp;""</f>
        <v>SRC_PERF_002</v>
      </c>
      <c r="B1123" s="65" t="str">
        <f aca="false">IF(A1123="","（哨兵：Gov_Map 該列無 SRC_ID）",IF(COUNTIF($A$5:$A$794,A1123)&gt;0,"（哨兵：此 SRC_ID 已在上方 SRC 頁，查詢不會命中本列）","（哨兵：SRC 頁查無此 ID）"))</f>
        <v>（哨兵：此 SRC_ID 已在上方 SRC 頁，查詢不會命中本列）</v>
      </c>
      <c r="C1123" s="61" t="n">
        <v>333</v>
      </c>
      <c r="D1123" s="61" t="s">
        <v>10703</v>
      </c>
      <c r="E1123" s="61" t="s">
        <v>10703</v>
      </c>
      <c r="F1123" s="62" t="s">
        <v>814</v>
      </c>
    </row>
    <row r="1124" customFormat="false" ht="15" hidden="false" customHeight="false" outlineLevel="0" collapsed="false">
      <c r="A1124" s="92" t="str">
        <f aca="false">Gov_Map!$H334&amp;""</f>
        <v>SRC_PERF_002</v>
      </c>
      <c r="B1124" s="65" t="str">
        <f aca="false">IF(A1124="","（哨兵：Gov_Map 該列無 SRC_ID）",IF(COUNTIF($A$5:$A$794,A1124)&gt;0,"（哨兵：此 SRC_ID 已在上方 SRC 頁，查詢不會命中本列）","（哨兵：SRC 頁查無此 ID）"))</f>
        <v>（哨兵：此 SRC_ID 已在上方 SRC 頁，查詢不會命中本列）</v>
      </c>
      <c r="C1124" s="61" t="n">
        <v>334</v>
      </c>
      <c r="D1124" s="61" t="s">
        <v>10703</v>
      </c>
      <c r="E1124" s="61" t="s">
        <v>10703</v>
      </c>
      <c r="F1124" s="62" t="s">
        <v>814</v>
      </c>
    </row>
    <row r="1125" customFormat="false" ht="15" hidden="false" customHeight="false" outlineLevel="0" collapsed="false">
      <c r="A1125" s="92" t="str">
        <f aca="false">Gov_Map!$H335&amp;""</f>
        <v>SRC_PERF_014</v>
      </c>
      <c r="B1125" s="65" t="str">
        <f aca="false">IF(A1125="","（哨兵：Gov_Map 該列無 SRC_ID）",IF(COUNTIF($A$5:$A$794,A1125)&gt;0,"（哨兵：此 SRC_ID 已在上方 SRC 頁，查詢不會命中本列）","（哨兵：SRC 頁查無此 ID）"))</f>
        <v>（哨兵：此 SRC_ID 已在上方 SRC 頁，查詢不會命中本列）</v>
      </c>
      <c r="C1125" s="61" t="n">
        <v>335</v>
      </c>
      <c r="D1125" s="61" t="s">
        <v>10703</v>
      </c>
      <c r="E1125" s="61" t="s">
        <v>10703</v>
      </c>
      <c r="F1125" s="62" t="s">
        <v>814</v>
      </c>
    </row>
    <row r="1126" customFormat="false" ht="15" hidden="false" customHeight="false" outlineLevel="0" collapsed="false">
      <c r="A1126" s="92" t="str">
        <f aca="false">Gov_Map!$H336&amp;""</f>
        <v>SRC_PERF_014</v>
      </c>
      <c r="B1126" s="65" t="str">
        <f aca="false">IF(A1126="","（哨兵：Gov_Map 該列無 SRC_ID）",IF(COUNTIF($A$5:$A$794,A1126)&gt;0,"（哨兵：此 SRC_ID 已在上方 SRC 頁，查詢不會命中本列）","（哨兵：SRC 頁查無此 ID）"))</f>
        <v>（哨兵：此 SRC_ID 已在上方 SRC 頁，查詢不會命中本列）</v>
      </c>
      <c r="C1126" s="61" t="n">
        <v>336</v>
      </c>
      <c r="D1126" s="61" t="s">
        <v>10703</v>
      </c>
      <c r="E1126" s="61" t="s">
        <v>10703</v>
      </c>
      <c r="F1126" s="62" t="s">
        <v>814</v>
      </c>
    </row>
    <row r="1127" customFormat="false" ht="15" hidden="false" customHeight="false" outlineLevel="0" collapsed="false">
      <c r="A1127" s="92" t="str">
        <f aca="false">Gov_Map!$H337&amp;""</f>
        <v>SRC_PERF_014</v>
      </c>
      <c r="B1127" s="65" t="str">
        <f aca="false">IF(A1127="","（哨兵：Gov_Map 該列無 SRC_ID）",IF(COUNTIF($A$5:$A$794,A1127)&gt;0,"（哨兵：此 SRC_ID 已在上方 SRC 頁，查詢不會命中本列）","（哨兵：SRC 頁查無此 ID）"))</f>
        <v>（哨兵：此 SRC_ID 已在上方 SRC 頁，查詢不會命中本列）</v>
      </c>
      <c r="C1127" s="61" t="n">
        <v>337</v>
      </c>
      <c r="D1127" s="61" t="s">
        <v>10703</v>
      </c>
      <c r="E1127" s="61" t="s">
        <v>10703</v>
      </c>
      <c r="F1127" s="62" t="s">
        <v>814</v>
      </c>
    </row>
    <row r="1128" customFormat="false" ht="15" hidden="false" customHeight="false" outlineLevel="0" collapsed="false">
      <c r="A1128" s="92" t="str">
        <f aca="false">Gov_Map!$H338&amp;""</f>
        <v>SRC_PERF_014</v>
      </c>
      <c r="B1128" s="65" t="str">
        <f aca="false">IF(A1128="","（哨兵：Gov_Map 該列無 SRC_ID）",IF(COUNTIF($A$5:$A$794,A1128)&gt;0,"（哨兵：此 SRC_ID 已在上方 SRC 頁，查詢不會命中本列）","（哨兵：SRC 頁查無此 ID）"))</f>
        <v>（哨兵：此 SRC_ID 已在上方 SRC 頁，查詢不會命中本列）</v>
      </c>
      <c r="C1128" s="61" t="n">
        <v>338</v>
      </c>
      <c r="D1128" s="61" t="s">
        <v>10703</v>
      </c>
      <c r="E1128" s="61" t="s">
        <v>10703</v>
      </c>
      <c r="F1128" s="62" t="s">
        <v>814</v>
      </c>
    </row>
    <row r="1129" customFormat="false" ht="15" hidden="false" customHeight="false" outlineLevel="0" collapsed="false">
      <c r="A1129" s="92" t="str">
        <f aca="false">Gov_Map!$H339&amp;""</f>
        <v>SRC_PERF_014</v>
      </c>
      <c r="B1129" s="65" t="str">
        <f aca="false">IF(A1129="","（哨兵：Gov_Map 該列無 SRC_ID）",IF(COUNTIF($A$5:$A$794,A1129)&gt;0,"（哨兵：此 SRC_ID 已在上方 SRC 頁，查詢不會命中本列）","（哨兵：SRC 頁查無此 ID）"))</f>
        <v>（哨兵：此 SRC_ID 已在上方 SRC 頁，查詢不會命中本列）</v>
      </c>
      <c r="C1129" s="61" t="n">
        <v>339</v>
      </c>
      <c r="D1129" s="61" t="s">
        <v>10703</v>
      </c>
      <c r="E1129" s="61" t="s">
        <v>10703</v>
      </c>
      <c r="F1129" s="62" t="s">
        <v>814</v>
      </c>
    </row>
    <row r="1130" customFormat="false" ht="15" hidden="false" customHeight="false" outlineLevel="0" collapsed="false">
      <c r="A1130" s="92" t="str">
        <f aca="false">Gov_Map!$H340&amp;""</f>
        <v>SRC_PERF_015</v>
      </c>
      <c r="B1130" s="65" t="str">
        <f aca="false">IF(A1130="","（哨兵：Gov_Map 該列無 SRC_ID）",IF(COUNTIF($A$5:$A$794,A1130)&gt;0,"（哨兵：此 SRC_ID 已在上方 SRC 頁，查詢不會命中本列）","（哨兵：SRC 頁查無此 ID）"))</f>
        <v>（哨兵：此 SRC_ID 已在上方 SRC 頁，查詢不會命中本列）</v>
      </c>
      <c r="C1130" s="61" t="n">
        <v>340</v>
      </c>
      <c r="D1130" s="61" t="s">
        <v>10703</v>
      </c>
      <c r="E1130" s="61" t="s">
        <v>10703</v>
      </c>
      <c r="F1130" s="62" t="s">
        <v>814</v>
      </c>
    </row>
    <row r="1131" customFormat="false" ht="15" hidden="false" customHeight="false" outlineLevel="0" collapsed="false">
      <c r="A1131" s="92" t="str">
        <f aca="false">Gov_Map!$H341&amp;""</f>
        <v>SRC_PERF_015</v>
      </c>
      <c r="B1131" s="65" t="str">
        <f aca="false">IF(A1131="","（哨兵：Gov_Map 該列無 SRC_ID）",IF(COUNTIF($A$5:$A$794,A1131)&gt;0,"（哨兵：此 SRC_ID 已在上方 SRC 頁，查詢不會命中本列）","（哨兵：SRC 頁查無此 ID）"))</f>
        <v>（哨兵：此 SRC_ID 已在上方 SRC 頁，查詢不會命中本列）</v>
      </c>
      <c r="C1131" s="61" t="n">
        <v>341</v>
      </c>
      <c r="D1131" s="61" t="s">
        <v>10703</v>
      </c>
      <c r="E1131" s="61" t="s">
        <v>10703</v>
      </c>
      <c r="F1131" s="62" t="s">
        <v>814</v>
      </c>
    </row>
    <row r="1132" customFormat="false" ht="15" hidden="false" customHeight="false" outlineLevel="0" collapsed="false">
      <c r="A1132" s="92" t="str">
        <f aca="false">Gov_Map!$H342&amp;""</f>
        <v>SRC_PERF_015</v>
      </c>
      <c r="B1132" s="65" t="str">
        <f aca="false">IF(A1132="","（哨兵：Gov_Map 該列無 SRC_ID）",IF(COUNTIF($A$5:$A$794,A1132)&gt;0,"（哨兵：此 SRC_ID 已在上方 SRC 頁，查詢不會命中本列）","（哨兵：SRC 頁查無此 ID）"))</f>
        <v>（哨兵：此 SRC_ID 已在上方 SRC 頁，查詢不會命中本列）</v>
      </c>
      <c r="C1132" s="61" t="n">
        <v>342</v>
      </c>
      <c r="D1132" s="61" t="s">
        <v>10703</v>
      </c>
      <c r="E1132" s="61" t="s">
        <v>10703</v>
      </c>
      <c r="F1132" s="62" t="s">
        <v>814</v>
      </c>
    </row>
    <row r="1133" customFormat="false" ht="15" hidden="false" customHeight="false" outlineLevel="0" collapsed="false">
      <c r="A1133" s="92" t="str">
        <f aca="false">Gov_Map!$H343&amp;""</f>
        <v>SRC_PERF_015</v>
      </c>
      <c r="B1133" s="65" t="str">
        <f aca="false">IF(A1133="","（哨兵：Gov_Map 該列無 SRC_ID）",IF(COUNTIF($A$5:$A$794,A1133)&gt;0,"（哨兵：此 SRC_ID 已在上方 SRC 頁，查詢不會命中本列）","（哨兵：SRC 頁查無此 ID）"))</f>
        <v>（哨兵：此 SRC_ID 已在上方 SRC 頁，查詢不會命中本列）</v>
      </c>
      <c r="C1133" s="61" t="n">
        <v>343</v>
      </c>
      <c r="D1133" s="61" t="s">
        <v>10703</v>
      </c>
      <c r="E1133" s="61" t="s">
        <v>10703</v>
      </c>
      <c r="F1133" s="62" t="s">
        <v>814</v>
      </c>
    </row>
    <row r="1134" customFormat="false" ht="15" hidden="false" customHeight="false" outlineLevel="0" collapsed="false">
      <c r="A1134" s="92" t="str">
        <f aca="false">Gov_Map!$H344&amp;""</f>
        <v>SRC_PERF_015</v>
      </c>
      <c r="B1134" s="65" t="str">
        <f aca="false">IF(A1134="","（哨兵：Gov_Map 該列無 SRC_ID）",IF(COUNTIF($A$5:$A$794,A1134)&gt;0,"（哨兵：此 SRC_ID 已在上方 SRC 頁，查詢不會命中本列）","（哨兵：SRC 頁查無此 ID）"))</f>
        <v>（哨兵：此 SRC_ID 已在上方 SRC 頁，查詢不會命中本列）</v>
      </c>
      <c r="C1134" s="61" t="n">
        <v>344</v>
      </c>
      <c r="D1134" s="61" t="s">
        <v>10703</v>
      </c>
      <c r="E1134" s="61" t="s">
        <v>10703</v>
      </c>
      <c r="F1134" s="62" t="s">
        <v>814</v>
      </c>
    </row>
    <row r="1135" customFormat="false" ht="15" hidden="false" customHeight="false" outlineLevel="0" collapsed="false">
      <c r="A1135" s="92" t="str">
        <f aca="false">Gov_Map!$H345&amp;""</f>
        <v>SRC_PERF_042</v>
      </c>
      <c r="B1135" s="65" t="str">
        <f aca="false">IF(A1135="","（哨兵：Gov_Map 該列無 SRC_ID）",IF(COUNTIF($A$5:$A$794,A1135)&gt;0,"（哨兵：此 SRC_ID 已在上方 SRC 頁，查詢不會命中本列）","（哨兵：SRC 頁查無此 ID）"))</f>
        <v>（哨兵：此 SRC_ID 已在上方 SRC 頁，查詢不會命中本列）</v>
      </c>
      <c r="C1135" s="61" t="n">
        <v>345</v>
      </c>
      <c r="D1135" s="61" t="s">
        <v>10703</v>
      </c>
      <c r="E1135" s="61" t="s">
        <v>10703</v>
      </c>
      <c r="F1135" s="62" t="s">
        <v>814</v>
      </c>
    </row>
    <row r="1136" customFormat="false" ht="15" hidden="false" customHeight="false" outlineLevel="0" collapsed="false">
      <c r="A1136" s="92" t="str">
        <f aca="false">Gov_Map!$H346&amp;""</f>
        <v>SRC_PERF_009</v>
      </c>
      <c r="B1136" s="65" t="str">
        <f aca="false">IF(A1136="","（哨兵：Gov_Map 該列無 SRC_ID）",IF(COUNTIF($A$5:$A$794,A1136)&gt;0,"（哨兵：此 SRC_ID 已在上方 SRC 頁，查詢不會命中本列）","（哨兵：SRC 頁查無此 ID）"))</f>
        <v>（哨兵：此 SRC_ID 已在上方 SRC 頁，查詢不會命中本列）</v>
      </c>
      <c r="C1136" s="61" t="n">
        <v>346</v>
      </c>
      <c r="D1136" s="61" t="s">
        <v>10703</v>
      </c>
      <c r="E1136" s="61" t="s">
        <v>10703</v>
      </c>
      <c r="F1136" s="62" t="s">
        <v>814</v>
      </c>
    </row>
    <row r="1137" customFormat="false" ht="15" hidden="false" customHeight="false" outlineLevel="0" collapsed="false">
      <c r="A1137" s="92" t="str">
        <f aca="false">Gov_Map!$H347&amp;""</f>
        <v>SRC_PERF_009</v>
      </c>
      <c r="B1137" s="65" t="str">
        <f aca="false">IF(A1137="","（哨兵：Gov_Map 該列無 SRC_ID）",IF(COUNTIF($A$5:$A$794,A1137)&gt;0,"（哨兵：此 SRC_ID 已在上方 SRC 頁，查詢不會命中本列）","（哨兵：SRC 頁查無此 ID）"))</f>
        <v>（哨兵：此 SRC_ID 已在上方 SRC 頁，查詢不會命中本列）</v>
      </c>
      <c r="C1137" s="61" t="n">
        <v>347</v>
      </c>
      <c r="D1137" s="61" t="s">
        <v>10703</v>
      </c>
      <c r="E1137" s="61" t="s">
        <v>10703</v>
      </c>
      <c r="F1137" s="62" t="s">
        <v>814</v>
      </c>
    </row>
    <row r="1138" customFormat="false" ht="15" hidden="false" customHeight="false" outlineLevel="0" collapsed="false">
      <c r="A1138" s="92" t="str">
        <f aca="false">Gov_Map!$H348&amp;""</f>
        <v>SRC_PERF_009</v>
      </c>
      <c r="B1138" s="65" t="str">
        <f aca="false">IF(A1138="","（哨兵：Gov_Map 該列無 SRC_ID）",IF(COUNTIF($A$5:$A$794,A1138)&gt;0,"（哨兵：此 SRC_ID 已在上方 SRC 頁，查詢不會命中本列）","（哨兵：SRC 頁查無此 ID）"))</f>
        <v>（哨兵：此 SRC_ID 已在上方 SRC 頁，查詢不會命中本列）</v>
      </c>
      <c r="C1138" s="61" t="n">
        <v>348</v>
      </c>
      <c r="D1138" s="61" t="s">
        <v>10703</v>
      </c>
      <c r="E1138" s="61" t="s">
        <v>10703</v>
      </c>
      <c r="F1138" s="62" t="s">
        <v>814</v>
      </c>
    </row>
    <row r="1139" customFormat="false" ht="15" hidden="false" customHeight="false" outlineLevel="0" collapsed="false">
      <c r="A1139" s="92" t="str">
        <f aca="false">Gov_Map!$H349&amp;""</f>
        <v>SRC_PERF_009</v>
      </c>
      <c r="B1139" s="65" t="str">
        <f aca="false">IF(A1139="","（哨兵：Gov_Map 該列無 SRC_ID）",IF(COUNTIF($A$5:$A$794,A1139)&gt;0,"（哨兵：此 SRC_ID 已在上方 SRC 頁，查詢不會命中本列）","（哨兵：SRC 頁查無此 ID）"))</f>
        <v>（哨兵：此 SRC_ID 已在上方 SRC 頁，查詢不會命中本列）</v>
      </c>
      <c r="C1139" s="61" t="n">
        <v>349</v>
      </c>
      <c r="D1139" s="61" t="s">
        <v>10703</v>
      </c>
      <c r="E1139" s="61" t="s">
        <v>10703</v>
      </c>
      <c r="F1139" s="62" t="s">
        <v>814</v>
      </c>
    </row>
    <row r="1140" customFormat="false" ht="15" hidden="false" customHeight="false" outlineLevel="0" collapsed="false">
      <c r="A1140" s="92" t="str">
        <f aca="false">Gov_Map!$H350&amp;""</f>
        <v>—</v>
      </c>
      <c r="B1140" s="65" t="str">
        <f aca="false">IF(A1140="","（哨兵：Gov_Map 該列無 SRC_ID）",IF(COUNTIF($A$5:$A$794,A1140)&gt;0,"（哨兵：此 SRC_ID 已在上方 SRC 頁，查詢不會命中本列）","（哨兵：SRC 頁查無此 ID）"))</f>
        <v>（哨兵：SRC 頁查無此 ID）</v>
      </c>
      <c r="C1140" s="61" t="n">
        <v>350</v>
      </c>
      <c r="D1140" s="61" t="s">
        <v>10703</v>
      </c>
      <c r="E1140" s="61" t="s">
        <v>10703</v>
      </c>
      <c r="F1140" s="62" t="s">
        <v>814</v>
      </c>
    </row>
    <row r="1141" customFormat="false" ht="15" hidden="false" customHeight="false" outlineLevel="0" collapsed="false">
      <c r="A1141" s="92" t="str">
        <f aca="false">Gov_Map!$H351&amp;""</f>
        <v>—</v>
      </c>
      <c r="B1141" s="65" t="str">
        <f aca="false">IF(A1141="","（哨兵：Gov_Map 該列無 SRC_ID）",IF(COUNTIF($A$5:$A$794,A1141)&gt;0,"（哨兵：此 SRC_ID 已在上方 SRC 頁，查詢不會命中本列）","（哨兵：SRC 頁查無此 ID）"))</f>
        <v>（哨兵：SRC 頁查無此 ID）</v>
      </c>
      <c r="C1141" s="61" t="n">
        <v>351</v>
      </c>
      <c r="D1141" s="61" t="s">
        <v>10703</v>
      </c>
      <c r="E1141" s="61" t="s">
        <v>10703</v>
      </c>
      <c r="F1141" s="62" t="s">
        <v>814</v>
      </c>
    </row>
    <row r="1142" customFormat="false" ht="15" hidden="false" customHeight="false" outlineLevel="0" collapsed="false">
      <c r="A1142" s="92" t="str">
        <f aca="false">Gov_Map!$H352&amp;""</f>
        <v>—</v>
      </c>
      <c r="B1142" s="65" t="str">
        <f aca="false">IF(A1142="","（哨兵：Gov_Map 該列無 SRC_ID）",IF(COUNTIF($A$5:$A$794,A1142)&gt;0,"（哨兵：此 SRC_ID 已在上方 SRC 頁，查詢不會命中本列）","（哨兵：SRC 頁查無此 ID）"))</f>
        <v>（哨兵：SRC 頁查無此 ID）</v>
      </c>
      <c r="C1142" s="61" t="n">
        <v>352</v>
      </c>
      <c r="D1142" s="61" t="s">
        <v>10703</v>
      </c>
      <c r="E1142" s="61" t="s">
        <v>10703</v>
      </c>
      <c r="F1142" s="62" t="s">
        <v>814</v>
      </c>
    </row>
    <row r="1143" customFormat="false" ht="15" hidden="false" customHeight="false" outlineLevel="0" collapsed="false">
      <c r="A1143" s="92" t="str">
        <f aca="false">Gov_Map!$H353&amp;""</f>
        <v>—</v>
      </c>
      <c r="B1143" s="65" t="str">
        <f aca="false">IF(A1143="","（哨兵：Gov_Map 該列無 SRC_ID）",IF(COUNTIF($A$5:$A$794,A1143)&gt;0,"（哨兵：此 SRC_ID 已在上方 SRC 頁，查詢不會命中本列）","（哨兵：SRC 頁查無此 ID）"))</f>
        <v>（哨兵：SRC 頁查無此 ID）</v>
      </c>
      <c r="C1143" s="61" t="n">
        <v>353</v>
      </c>
      <c r="D1143" s="61" t="s">
        <v>10703</v>
      </c>
      <c r="E1143" s="61" t="s">
        <v>10703</v>
      </c>
      <c r="F1143" s="62" t="s">
        <v>814</v>
      </c>
    </row>
    <row r="1144" customFormat="false" ht="15" hidden="false" customHeight="false" outlineLevel="0" collapsed="false">
      <c r="A1144" s="92" t="str">
        <f aca="false">Gov_Map!$H354&amp;""</f>
        <v>—</v>
      </c>
      <c r="B1144" s="65" t="str">
        <f aca="false">IF(A1144="","（哨兵：Gov_Map 該列無 SRC_ID）",IF(COUNTIF($A$5:$A$794,A1144)&gt;0,"（哨兵：此 SRC_ID 已在上方 SRC 頁，查詢不會命中本列）","（哨兵：SRC 頁查無此 ID）"))</f>
        <v>（哨兵：SRC 頁查無此 ID）</v>
      </c>
      <c r="C1144" s="61" t="n">
        <v>354</v>
      </c>
      <c r="D1144" s="61" t="s">
        <v>10703</v>
      </c>
      <c r="E1144" s="61" t="s">
        <v>10703</v>
      </c>
      <c r="F1144" s="62" t="s">
        <v>814</v>
      </c>
    </row>
    <row r="1145" customFormat="false" ht="15" hidden="false" customHeight="false" outlineLevel="0" collapsed="false">
      <c r="A1145" s="92" t="str">
        <f aca="false">Gov_Map!$H355&amp;""</f>
        <v>—</v>
      </c>
      <c r="B1145" s="65" t="str">
        <f aca="false">IF(A1145="","（哨兵：Gov_Map 該列無 SRC_ID）",IF(COUNTIF($A$5:$A$794,A1145)&gt;0,"（哨兵：此 SRC_ID 已在上方 SRC 頁，查詢不會命中本列）","（哨兵：SRC 頁查無此 ID）"))</f>
        <v>（哨兵：SRC 頁查無此 ID）</v>
      </c>
      <c r="C1145" s="61" t="n">
        <v>355</v>
      </c>
      <c r="D1145" s="61" t="s">
        <v>10703</v>
      </c>
      <c r="E1145" s="61" t="s">
        <v>10703</v>
      </c>
      <c r="F1145" s="62" t="s">
        <v>814</v>
      </c>
    </row>
    <row r="1146" customFormat="false" ht="15" hidden="false" customHeight="false" outlineLevel="0" collapsed="false">
      <c r="A1146" s="92" t="str">
        <f aca="false">Gov_Map!$H356&amp;""</f>
        <v>—</v>
      </c>
      <c r="B1146" s="65" t="str">
        <f aca="false">IF(A1146="","（哨兵：Gov_Map 該列無 SRC_ID）",IF(COUNTIF($A$5:$A$794,A1146)&gt;0,"（哨兵：此 SRC_ID 已在上方 SRC 頁，查詢不會命中本列）","（哨兵：SRC 頁查無此 ID）"))</f>
        <v>（哨兵：SRC 頁查無此 ID）</v>
      </c>
      <c r="C1146" s="61" t="n">
        <v>356</v>
      </c>
      <c r="D1146" s="61" t="s">
        <v>10703</v>
      </c>
      <c r="E1146" s="61" t="s">
        <v>10703</v>
      </c>
      <c r="F1146" s="62" t="s">
        <v>814</v>
      </c>
    </row>
    <row r="1147" customFormat="false" ht="15" hidden="false" customHeight="false" outlineLevel="0" collapsed="false">
      <c r="A1147" s="92" t="str">
        <f aca="false">Gov_Map!$H357&amp;""</f>
        <v>—</v>
      </c>
      <c r="B1147" s="65" t="str">
        <f aca="false">IF(A1147="","（哨兵：Gov_Map 該列無 SRC_ID）",IF(COUNTIF($A$5:$A$794,A1147)&gt;0,"（哨兵：此 SRC_ID 已在上方 SRC 頁，查詢不會命中本列）","（哨兵：SRC 頁查無此 ID）"))</f>
        <v>（哨兵：SRC 頁查無此 ID）</v>
      </c>
      <c r="C1147" s="61" t="n">
        <v>357</v>
      </c>
      <c r="D1147" s="61" t="s">
        <v>10703</v>
      </c>
      <c r="E1147" s="61" t="s">
        <v>10703</v>
      </c>
      <c r="F1147" s="62" t="s">
        <v>814</v>
      </c>
    </row>
    <row r="1148" customFormat="false" ht="15" hidden="false" customHeight="false" outlineLevel="0" collapsed="false">
      <c r="A1148" s="92" t="str">
        <f aca="false">Gov_Map!$H358&amp;""</f>
        <v>—</v>
      </c>
      <c r="B1148" s="65" t="str">
        <f aca="false">IF(A1148="","（哨兵：Gov_Map 該列無 SRC_ID）",IF(COUNTIF($A$5:$A$794,A1148)&gt;0,"（哨兵：此 SRC_ID 已在上方 SRC 頁，查詢不會命中本列）","（哨兵：SRC 頁查無此 ID）"))</f>
        <v>（哨兵：SRC 頁查無此 ID）</v>
      </c>
      <c r="C1148" s="61" t="n">
        <v>358</v>
      </c>
      <c r="D1148" s="61" t="s">
        <v>10703</v>
      </c>
      <c r="E1148" s="61" t="s">
        <v>10703</v>
      </c>
      <c r="F1148" s="62" t="s">
        <v>814</v>
      </c>
    </row>
    <row r="1149" customFormat="false" ht="15" hidden="false" customHeight="false" outlineLevel="0" collapsed="false">
      <c r="A1149" s="92" t="str">
        <f aca="false">Gov_Map!$H359&amp;""</f>
        <v>—</v>
      </c>
      <c r="B1149" s="65" t="str">
        <f aca="false">IF(A1149="","（哨兵：Gov_Map 該列無 SRC_ID）",IF(COUNTIF($A$5:$A$794,A1149)&gt;0,"（哨兵：此 SRC_ID 已在上方 SRC 頁，查詢不會命中本列）","（哨兵：SRC 頁查無此 ID）"))</f>
        <v>（哨兵：SRC 頁查無此 ID）</v>
      </c>
      <c r="C1149" s="61" t="n">
        <v>359</v>
      </c>
      <c r="D1149" s="61" t="s">
        <v>10703</v>
      </c>
      <c r="E1149" s="61" t="s">
        <v>10703</v>
      </c>
      <c r="F1149" s="62" t="s">
        <v>814</v>
      </c>
    </row>
    <row r="1150" customFormat="false" ht="15" hidden="false" customHeight="false" outlineLevel="0" collapsed="false">
      <c r="A1150" s="92" t="str">
        <f aca="false">Gov_Map!$H360&amp;""</f>
        <v>—</v>
      </c>
      <c r="B1150" s="65" t="str">
        <f aca="false">IF(A1150="","（哨兵：Gov_Map 該列無 SRC_ID）",IF(COUNTIF($A$5:$A$794,A1150)&gt;0,"（哨兵：此 SRC_ID 已在上方 SRC 頁，查詢不會命中本列）","（哨兵：SRC 頁查無此 ID）"))</f>
        <v>（哨兵：SRC 頁查無此 ID）</v>
      </c>
      <c r="C1150" s="61" t="n">
        <v>360</v>
      </c>
      <c r="D1150" s="61" t="s">
        <v>10703</v>
      </c>
      <c r="E1150" s="61" t="s">
        <v>10703</v>
      </c>
      <c r="F1150" s="62" t="s">
        <v>814</v>
      </c>
    </row>
    <row r="1151" customFormat="false" ht="15" hidden="false" customHeight="false" outlineLevel="0" collapsed="false">
      <c r="A1151" s="92" t="str">
        <f aca="false">Gov_Map!$H361&amp;""</f>
        <v>SRC_MOD_020</v>
      </c>
      <c r="B1151" s="65" t="str">
        <f aca="false">IF(A1151="","（哨兵：Gov_Map 該列無 SRC_ID）",IF(COUNTIF($A$5:$A$794,A1151)&gt;0,"（哨兵：此 SRC_ID 已在上方 SRC 頁，查詢不會命中本列）","（哨兵：SRC 頁查無此 ID）"))</f>
        <v>（哨兵：此 SRC_ID 已在上方 SRC 頁，查詢不會命中本列）</v>
      </c>
      <c r="C1151" s="61" t="n">
        <v>361</v>
      </c>
      <c r="D1151" s="61" t="s">
        <v>10703</v>
      </c>
      <c r="E1151" s="61" t="s">
        <v>10703</v>
      </c>
      <c r="F1151" s="62" t="s">
        <v>814</v>
      </c>
    </row>
    <row r="1152" customFormat="false" ht="15" hidden="false" customHeight="false" outlineLevel="0" collapsed="false">
      <c r="A1152" s="92" t="str">
        <f aca="false">Gov_Map!$H362&amp;""</f>
        <v>SRC_MOD_021</v>
      </c>
      <c r="B1152" s="65" t="str">
        <f aca="false">IF(A1152="","（哨兵：Gov_Map 該列無 SRC_ID）",IF(COUNTIF($A$5:$A$794,A1152)&gt;0,"（哨兵：此 SRC_ID 已在上方 SRC 頁，查詢不會命中本列）","（哨兵：SRC 頁查無此 ID）"))</f>
        <v>（哨兵：此 SRC_ID 已在上方 SRC 頁，查詢不會命中本列）</v>
      </c>
      <c r="C1152" s="61" t="n">
        <v>362</v>
      </c>
      <c r="D1152" s="61" t="s">
        <v>10703</v>
      </c>
      <c r="E1152" s="61" t="s">
        <v>10703</v>
      </c>
      <c r="F1152" s="62" t="s">
        <v>814</v>
      </c>
    </row>
    <row r="1153" customFormat="false" ht="15" hidden="false" customHeight="false" outlineLevel="0" collapsed="false">
      <c r="A1153" s="92" t="str">
        <f aca="false">Gov_Map!$H363&amp;""</f>
        <v>SRC_MOD_022</v>
      </c>
      <c r="B1153" s="65" t="str">
        <f aca="false">IF(A1153="","（哨兵：Gov_Map 該列無 SRC_ID）",IF(COUNTIF($A$5:$A$794,A1153)&gt;0,"（哨兵：此 SRC_ID 已在上方 SRC 頁，查詢不會命中本列）","（哨兵：SRC 頁查無此 ID）"))</f>
        <v>（哨兵：此 SRC_ID 已在上方 SRC 頁，查詢不會命中本列）</v>
      </c>
      <c r="C1153" s="61" t="n">
        <v>363</v>
      </c>
      <c r="D1153" s="61" t="s">
        <v>10703</v>
      </c>
      <c r="E1153" s="61" t="s">
        <v>10703</v>
      </c>
      <c r="F1153" s="62" t="s">
        <v>814</v>
      </c>
    </row>
    <row r="1154" customFormat="false" ht="15" hidden="false" customHeight="false" outlineLevel="0" collapsed="false">
      <c r="A1154" s="92" t="str">
        <f aca="false">Gov_Map!$H364&amp;""</f>
        <v>SRC_MOD_023</v>
      </c>
      <c r="B1154" s="65" t="str">
        <f aca="false">IF(A1154="","（哨兵：Gov_Map 該列無 SRC_ID）",IF(COUNTIF($A$5:$A$794,A1154)&gt;0,"（哨兵：此 SRC_ID 已在上方 SRC 頁，查詢不會命中本列）","（哨兵：SRC 頁查無此 ID）"))</f>
        <v>（哨兵：此 SRC_ID 已在上方 SRC 頁，查詢不會命中本列）</v>
      </c>
      <c r="C1154" s="61" t="n">
        <v>364</v>
      </c>
      <c r="D1154" s="61" t="s">
        <v>10703</v>
      </c>
      <c r="E1154" s="61" t="s">
        <v>10703</v>
      </c>
      <c r="F1154" s="62" t="s">
        <v>814</v>
      </c>
    </row>
    <row r="1155" customFormat="false" ht="15" hidden="false" customHeight="false" outlineLevel="0" collapsed="false">
      <c r="A1155" s="92" t="str">
        <f aca="false">Gov_Map!$H365&amp;""</f>
        <v>SRC_MOD_024</v>
      </c>
      <c r="B1155" s="65" t="str">
        <f aca="false">IF(A1155="","（哨兵：Gov_Map 該列無 SRC_ID）",IF(COUNTIF($A$5:$A$794,A1155)&gt;0,"（哨兵：此 SRC_ID 已在上方 SRC 頁，查詢不會命中本列）","（哨兵：SRC 頁查無此 ID）"))</f>
        <v>（哨兵：此 SRC_ID 已在上方 SRC 頁，查詢不會命中本列）</v>
      </c>
      <c r="C1155" s="61" t="n">
        <v>365</v>
      </c>
      <c r="D1155" s="61" t="s">
        <v>10703</v>
      </c>
      <c r="E1155" s="61" t="s">
        <v>10703</v>
      </c>
      <c r="F1155" s="62" t="s">
        <v>814</v>
      </c>
    </row>
    <row r="1156" customFormat="false" ht="15" hidden="false" customHeight="false" outlineLevel="0" collapsed="false">
      <c r="A1156" s="92" t="str">
        <f aca="false">Gov_Map!$H366&amp;""</f>
        <v>SRC_MOD_025</v>
      </c>
      <c r="B1156" s="65" t="str">
        <f aca="false">IF(A1156="","（哨兵：Gov_Map 該列無 SRC_ID）",IF(COUNTIF($A$5:$A$794,A1156)&gt;0,"（哨兵：此 SRC_ID 已在上方 SRC 頁，查詢不會命中本列）","（哨兵：SRC 頁查無此 ID）"))</f>
        <v>（哨兵：此 SRC_ID 已在上方 SRC 頁，查詢不會命中本列）</v>
      </c>
      <c r="C1156" s="61" t="n">
        <v>366</v>
      </c>
      <c r="D1156" s="61" t="s">
        <v>10703</v>
      </c>
      <c r="E1156" s="61" t="s">
        <v>10703</v>
      </c>
      <c r="F1156" s="62" t="s">
        <v>814</v>
      </c>
    </row>
    <row r="1157" customFormat="false" ht="15" hidden="false" customHeight="false" outlineLevel="0" collapsed="false">
      <c r="A1157" s="92" t="str">
        <f aca="false">Gov_Map!$H367&amp;""</f>
        <v>SRC_MOD_026</v>
      </c>
      <c r="B1157" s="65" t="str">
        <f aca="false">IF(A1157="","（哨兵：Gov_Map 該列無 SRC_ID）",IF(COUNTIF($A$5:$A$794,A1157)&gt;0,"（哨兵：此 SRC_ID 已在上方 SRC 頁，查詢不會命中本列）","（哨兵：SRC 頁查無此 ID）"))</f>
        <v>（哨兵：此 SRC_ID 已在上方 SRC 頁，查詢不會命中本列）</v>
      </c>
      <c r="C1157" s="61" t="n">
        <v>367</v>
      </c>
      <c r="D1157" s="61" t="s">
        <v>10703</v>
      </c>
      <c r="E1157" s="61" t="s">
        <v>10703</v>
      </c>
      <c r="F1157" s="62" t="s">
        <v>814</v>
      </c>
    </row>
    <row r="1158" customFormat="false" ht="15" hidden="false" customHeight="false" outlineLevel="0" collapsed="false">
      <c r="A1158" s="92" t="str">
        <f aca="false">Gov_Map!$H368&amp;""</f>
        <v>SRC_MOD_027</v>
      </c>
      <c r="B1158" s="65" t="str">
        <f aca="false">IF(A1158="","（哨兵：Gov_Map 該列無 SRC_ID）",IF(COUNTIF($A$5:$A$794,A1158)&gt;0,"（哨兵：此 SRC_ID 已在上方 SRC 頁，查詢不會命中本列）","（哨兵：SRC 頁查無此 ID）"))</f>
        <v>（哨兵：此 SRC_ID 已在上方 SRC 頁，查詢不會命中本列）</v>
      </c>
      <c r="C1158" s="61" t="n">
        <v>368</v>
      </c>
      <c r="D1158" s="61" t="s">
        <v>10703</v>
      </c>
      <c r="E1158" s="61" t="s">
        <v>10703</v>
      </c>
      <c r="F1158" s="62" t="s">
        <v>814</v>
      </c>
    </row>
    <row r="1159" customFormat="false" ht="15" hidden="false" customHeight="false" outlineLevel="0" collapsed="false">
      <c r="A1159" s="92" t="str">
        <f aca="false">Gov_Map!$H369&amp;""</f>
        <v>SRC_MOD_028</v>
      </c>
      <c r="B1159" s="65" t="str">
        <f aca="false">IF(A1159="","（哨兵：Gov_Map 該列無 SRC_ID）",IF(COUNTIF($A$5:$A$794,A1159)&gt;0,"（哨兵：此 SRC_ID 已在上方 SRC 頁，查詢不會命中本列）","（哨兵：SRC 頁查無此 ID）"))</f>
        <v>（哨兵：此 SRC_ID 已在上方 SRC 頁，查詢不會命中本列）</v>
      </c>
      <c r="C1159" s="61" t="n">
        <v>369</v>
      </c>
      <c r="D1159" s="61" t="s">
        <v>10703</v>
      </c>
      <c r="E1159" s="61" t="s">
        <v>10703</v>
      </c>
      <c r="F1159" s="62" t="s">
        <v>814</v>
      </c>
    </row>
    <row r="1160" customFormat="false" ht="15" hidden="false" customHeight="false" outlineLevel="0" collapsed="false">
      <c r="A1160" s="92" t="str">
        <f aca="false">Gov_Map!$H370&amp;""</f>
        <v>SRC_MOD_049</v>
      </c>
      <c r="B1160" s="65" t="str">
        <f aca="false">IF(A1160="","（哨兵：Gov_Map 該列無 SRC_ID）",IF(COUNTIF($A$5:$A$794,A1160)&gt;0,"（哨兵：此 SRC_ID 已在上方 SRC 頁，查詢不會命中本列）","（哨兵：SRC 頁查無此 ID）"))</f>
        <v>（哨兵：此 SRC_ID 已在上方 SRC 頁，查詢不會命中本列）</v>
      </c>
      <c r="C1160" s="61" t="n">
        <v>370</v>
      </c>
      <c r="D1160" s="61" t="s">
        <v>10703</v>
      </c>
      <c r="E1160" s="61" t="s">
        <v>10703</v>
      </c>
      <c r="F1160" s="62" t="s">
        <v>814</v>
      </c>
    </row>
    <row r="1161" customFormat="false" ht="15" hidden="false" customHeight="false" outlineLevel="0" collapsed="false">
      <c r="A1161" s="92" t="str">
        <f aca="false">Gov_Map!$H371&amp;""</f>
        <v>SRC_PERF_029</v>
      </c>
      <c r="B1161" s="65" t="str">
        <f aca="false">IF(A1161="","（哨兵：Gov_Map 該列無 SRC_ID）",IF(COUNTIF($A$5:$A$794,A1161)&gt;0,"（哨兵：此 SRC_ID 已在上方 SRC 頁，查詢不會命中本列）","（哨兵：SRC 頁查無此 ID）"))</f>
        <v>（哨兵：此 SRC_ID 已在上方 SRC 頁，查詢不會命中本列）</v>
      </c>
      <c r="C1161" s="61" t="n">
        <v>371</v>
      </c>
      <c r="D1161" s="61" t="s">
        <v>10703</v>
      </c>
      <c r="E1161" s="61" t="s">
        <v>10703</v>
      </c>
      <c r="F1161" s="62" t="s">
        <v>814</v>
      </c>
    </row>
    <row r="1162" customFormat="false" ht="15" hidden="false" customHeight="false" outlineLevel="0" collapsed="false">
      <c r="A1162" s="92" t="str">
        <f aca="false">Gov_Map!$H372&amp;""</f>
        <v>SRC_PERF_030</v>
      </c>
      <c r="B1162" s="65" t="str">
        <f aca="false">IF(A1162="","（哨兵：Gov_Map 該列無 SRC_ID）",IF(COUNTIF($A$5:$A$794,A1162)&gt;0,"（哨兵：此 SRC_ID 已在上方 SRC 頁，查詢不會命中本列）","（哨兵：SRC 頁查無此 ID）"))</f>
        <v>（哨兵：此 SRC_ID 已在上方 SRC 頁，查詢不會命中本列）</v>
      </c>
      <c r="C1162" s="61" t="n">
        <v>372</v>
      </c>
      <c r="D1162" s="61" t="s">
        <v>10703</v>
      </c>
      <c r="E1162" s="61" t="s">
        <v>10703</v>
      </c>
      <c r="F1162" s="62" t="s">
        <v>814</v>
      </c>
    </row>
    <row r="1163" customFormat="false" ht="15" hidden="false" customHeight="false" outlineLevel="0" collapsed="false">
      <c r="A1163" s="92" t="str">
        <f aca="false">Gov_Map!$H373&amp;""</f>
        <v>—</v>
      </c>
      <c r="B1163" s="65" t="str">
        <f aca="false">IF(A1163="","（哨兵：Gov_Map 該列無 SRC_ID）",IF(COUNTIF($A$5:$A$794,A1163)&gt;0,"（哨兵：此 SRC_ID 已在上方 SRC 頁，查詢不會命中本列）","（哨兵：SRC 頁查無此 ID）"))</f>
        <v>（哨兵：SRC 頁查無此 ID）</v>
      </c>
      <c r="C1163" s="61" t="n">
        <v>373</v>
      </c>
      <c r="D1163" s="61" t="s">
        <v>10703</v>
      </c>
      <c r="E1163" s="61" t="s">
        <v>10703</v>
      </c>
      <c r="F1163" s="62" t="s">
        <v>814</v>
      </c>
    </row>
    <row r="1164" customFormat="false" ht="15" hidden="false" customHeight="false" outlineLevel="0" collapsed="false">
      <c r="A1164" s="92" t="str">
        <f aca="false">Gov_Map!$H374&amp;""</f>
        <v>SRC_PERF_031</v>
      </c>
      <c r="B1164" s="65" t="str">
        <f aca="false">IF(A1164="","（哨兵：Gov_Map 該列無 SRC_ID）",IF(COUNTIF($A$5:$A$794,A1164)&gt;0,"（哨兵：此 SRC_ID 已在上方 SRC 頁，查詢不會命中本列）","（哨兵：SRC 頁查無此 ID）"))</f>
        <v>（哨兵：此 SRC_ID 已在上方 SRC 頁，查詢不會命中本列）</v>
      </c>
      <c r="C1164" s="61" t="n">
        <v>374</v>
      </c>
      <c r="D1164" s="61" t="s">
        <v>10703</v>
      </c>
      <c r="E1164" s="61" t="s">
        <v>10703</v>
      </c>
      <c r="F1164" s="62" t="s">
        <v>814</v>
      </c>
    </row>
    <row r="1165" customFormat="false" ht="15" hidden="false" customHeight="false" outlineLevel="0" collapsed="false">
      <c r="A1165" s="92" t="str">
        <f aca="false">Gov_Map!$H375&amp;""</f>
        <v>SRC_PERF_031</v>
      </c>
      <c r="B1165" s="65" t="str">
        <f aca="false">IF(A1165="","（哨兵：Gov_Map 該列無 SRC_ID）",IF(COUNTIF($A$5:$A$794,A1165)&gt;0,"（哨兵：此 SRC_ID 已在上方 SRC 頁，查詢不會命中本列）","（哨兵：SRC 頁查無此 ID）"))</f>
        <v>（哨兵：此 SRC_ID 已在上方 SRC 頁，查詢不會命中本列）</v>
      </c>
      <c r="C1165" s="61" t="n">
        <v>375</v>
      </c>
      <c r="D1165" s="61" t="s">
        <v>10703</v>
      </c>
      <c r="E1165" s="61" t="s">
        <v>10703</v>
      </c>
      <c r="F1165" s="62" t="s">
        <v>814</v>
      </c>
    </row>
    <row r="1166" customFormat="false" ht="15" hidden="false" customHeight="false" outlineLevel="0" collapsed="false">
      <c r="A1166" s="92" t="str">
        <f aca="false">Gov_Map!$H376&amp;""</f>
        <v>SRC_PERF_031</v>
      </c>
      <c r="B1166" s="65" t="str">
        <f aca="false">IF(A1166="","（哨兵：Gov_Map 該列無 SRC_ID）",IF(COUNTIF($A$5:$A$794,A1166)&gt;0,"（哨兵：此 SRC_ID 已在上方 SRC 頁，查詢不會命中本列）","（哨兵：SRC 頁查無此 ID）"))</f>
        <v>（哨兵：此 SRC_ID 已在上方 SRC 頁，查詢不會命中本列）</v>
      </c>
      <c r="C1166" s="61" t="n">
        <v>376</v>
      </c>
      <c r="D1166" s="61" t="s">
        <v>10703</v>
      </c>
      <c r="E1166" s="61" t="s">
        <v>10703</v>
      </c>
      <c r="F1166" s="62" t="s">
        <v>814</v>
      </c>
    </row>
    <row r="1167" customFormat="false" ht="15" hidden="false" customHeight="false" outlineLevel="0" collapsed="false">
      <c r="A1167" s="92" t="str">
        <f aca="false">Gov_Map!$H377&amp;""</f>
        <v>SRC_PERF_032</v>
      </c>
      <c r="B1167" s="65" t="str">
        <f aca="false">IF(A1167="","（哨兵：Gov_Map 該列無 SRC_ID）",IF(COUNTIF($A$5:$A$794,A1167)&gt;0,"（哨兵：此 SRC_ID 已在上方 SRC 頁，查詢不會命中本列）","（哨兵：SRC 頁查無此 ID）"))</f>
        <v>（哨兵：此 SRC_ID 已在上方 SRC 頁，查詢不會命中本列）</v>
      </c>
      <c r="C1167" s="61" t="n">
        <v>377</v>
      </c>
      <c r="D1167" s="61" t="s">
        <v>10703</v>
      </c>
      <c r="E1167" s="61" t="s">
        <v>10703</v>
      </c>
      <c r="F1167" s="62" t="s">
        <v>814</v>
      </c>
    </row>
    <row r="1168" customFormat="false" ht="15" hidden="false" customHeight="false" outlineLevel="0" collapsed="false">
      <c r="A1168" s="92" t="str">
        <f aca="false">Gov_Map!$H378&amp;""</f>
        <v>SRC_PERF_035</v>
      </c>
      <c r="B1168" s="65" t="str">
        <f aca="false">IF(A1168="","（哨兵：Gov_Map 該列無 SRC_ID）",IF(COUNTIF($A$5:$A$794,A1168)&gt;0,"（哨兵：此 SRC_ID 已在上方 SRC 頁，查詢不會命中本列）","（哨兵：SRC 頁查無此 ID）"))</f>
        <v>（哨兵：此 SRC_ID 已在上方 SRC 頁，查詢不會命中本列）</v>
      </c>
      <c r="C1168" s="61" t="n">
        <v>378</v>
      </c>
      <c r="D1168" s="61" t="s">
        <v>10703</v>
      </c>
      <c r="E1168" s="61" t="s">
        <v>10703</v>
      </c>
      <c r="F1168" s="62" t="s">
        <v>814</v>
      </c>
    </row>
    <row r="1169" customFormat="false" ht="15" hidden="false" customHeight="false" outlineLevel="0" collapsed="false">
      <c r="A1169" s="92" t="str">
        <f aca="false">Gov_Map!$H379&amp;""</f>
        <v>SRC_PERF_035</v>
      </c>
      <c r="B1169" s="65" t="str">
        <f aca="false">IF(A1169="","（哨兵：Gov_Map 該列無 SRC_ID）",IF(COUNTIF($A$5:$A$794,A1169)&gt;0,"（哨兵：此 SRC_ID 已在上方 SRC 頁，查詢不會命中本列）","（哨兵：SRC 頁查無此 ID）"))</f>
        <v>（哨兵：此 SRC_ID 已在上方 SRC 頁，查詢不會命中本列）</v>
      </c>
      <c r="C1169" s="61" t="n">
        <v>379</v>
      </c>
      <c r="D1169" s="61" t="s">
        <v>10703</v>
      </c>
      <c r="E1169" s="61" t="s">
        <v>10703</v>
      </c>
      <c r="F1169" s="62" t="s">
        <v>814</v>
      </c>
    </row>
    <row r="1170" customFormat="false" ht="15" hidden="false" customHeight="false" outlineLevel="0" collapsed="false">
      <c r="A1170" s="92" t="str">
        <f aca="false">Gov_Map!$H380&amp;""</f>
        <v>SRC_PERF_035</v>
      </c>
      <c r="B1170" s="65" t="str">
        <f aca="false">IF(A1170="","（哨兵：Gov_Map 該列無 SRC_ID）",IF(COUNTIF($A$5:$A$794,A1170)&gt;0,"（哨兵：此 SRC_ID 已在上方 SRC 頁，查詢不會命中本列）","（哨兵：SRC 頁查無此 ID）"))</f>
        <v>（哨兵：此 SRC_ID 已在上方 SRC 頁，查詢不會命中本列）</v>
      </c>
      <c r="C1170" s="61" t="n">
        <v>380</v>
      </c>
      <c r="D1170" s="61" t="s">
        <v>10703</v>
      </c>
      <c r="E1170" s="61" t="s">
        <v>10703</v>
      </c>
      <c r="F1170" s="62" t="s">
        <v>814</v>
      </c>
    </row>
    <row r="1171" customFormat="false" ht="15" hidden="false" customHeight="false" outlineLevel="0" collapsed="false">
      <c r="A1171" s="92" t="str">
        <f aca="false">Gov_Map!$H381&amp;""</f>
        <v>SRC_PERF_035</v>
      </c>
      <c r="B1171" s="65" t="str">
        <f aca="false">IF(A1171="","（哨兵：Gov_Map 該列無 SRC_ID）",IF(COUNTIF($A$5:$A$794,A1171)&gt;0,"（哨兵：此 SRC_ID 已在上方 SRC 頁，查詢不會命中本列）","（哨兵：SRC 頁查無此 ID）"))</f>
        <v>（哨兵：此 SRC_ID 已在上方 SRC 頁，查詢不會命中本列）</v>
      </c>
      <c r="C1171" s="61" t="n">
        <v>381</v>
      </c>
      <c r="D1171" s="61" t="s">
        <v>10703</v>
      </c>
      <c r="E1171" s="61" t="s">
        <v>10703</v>
      </c>
      <c r="F1171" s="62" t="s">
        <v>814</v>
      </c>
    </row>
    <row r="1172" customFormat="false" ht="15" hidden="false" customHeight="false" outlineLevel="0" collapsed="false">
      <c r="A1172" s="92" t="str">
        <f aca="false">Gov_Map!$H382&amp;""</f>
        <v>SRC_PERF_028</v>
      </c>
      <c r="B1172" s="65" t="str">
        <f aca="false">IF(A1172="","（哨兵：Gov_Map 該列無 SRC_ID）",IF(COUNTIF($A$5:$A$794,A1172)&gt;0,"（哨兵：此 SRC_ID 已在上方 SRC 頁，查詢不會命中本列）","（哨兵：SRC 頁查無此 ID）"))</f>
        <v>（哨兵：此 SRC_ID 已在上方 SRC 頁，查詢不會命中本列）</v>
      </c>
      <c r="C1172" s="61" t="n">
        <v>382</v>
      </c>
      <c r="D1172" s="61" t="s">
        <v>10703</v>
      </c>
      <c r="E1172" s="61" t="s">
        <v>10703</v>
      </c>
      <c r="F1172" s="62" t="s">
        <v>814</v>
      </c>
    </row>
    <row r="1173" customFormat="false" ht="15" hidden="false" customHeight="false" outlineLevel="0" collapsed="false">
      <c r="A1173" s="92" t="str">
        <f aca="false">Gov_Map!$H383&amp;""</f>
        <v>SRC_PERF_025</v>
      </c>
      <c r="B1173" s="65" t="str">
        <f aca="false">IF(A1173="","（哨兵：Gov_Map 該列無 SRC_ID）",IF(COUNTIF($A$5:$A$794,A1173)&gt;0,"（哨兵：此 SRC_ID 已在上方 SRC 頁，查詢不會命中本列）","（哨兵：SRC 頁查無此 ID）"))</f>
        <v>（哨兵：此 SRC_ID 已在上方 SRC 頁，查詢不會命中本列）</v>
      </c>
      <c r="C1173" s="61" t="n">
        <v>383</v>
      </c>
      <c r="D1173" s="61" t="s">
        <v>10703</v>
      </c>
      <c r="E1173" s="61" t="s">
        <v>10703</v>
      </c>
      <c r="F1173" s="62" t="s">
        <v>814</v>
      </c>
    </row>
    <row r="1174" customFormat="false" ht="15" hidden="false" customHeight="false" outlineLevel="0" collapsed="false">
      <c r="A1174" s="92" t="str">
        <f aca="false">Gov_Map!$H384&amp;""</f>
        <v>SRC_PERF_027</v>
      </c>
      <c r="B1174" s="65" t="str">
        <f aca="false">IF(A1174="","（哨兵：Gov_Map 該列無 SRC_ID）",IF(COUNTIF($A$5:$A$794,A1174)&gt;0,"（哨兵：此 SRC_ID 已在上方 SRC 頁，查詢不會命中本列）","（哨兵：SRC 頁查無此 ID）"))</f>
        <v>（哨兵：此 SRC_ID 已在上方 SRC 頁，查詢不會命中本列）</v>
      </c>
      <c r="C1174" s="61" t="n">
        <v>384</v>
      </c>
      <c r="D1174" s="61" t="s">
        <v>10703</v>
      </c>
      <c r="E1174" s="61" t="s">
        <v>10703</v>
      </c>
      <c r="F1174" s="62" t="s">
        <v>814</v>
      </c>
    </row>
    <row r="1175" customFormat="false" ht="15" hidden="false" customHeight="false" outlineLevel="0" collapsed="false">
      <c r="A1175" s="92" t="str">
        <f aca="false">Gov_Map!$H385&amp;""</f>
        <v>SRC_PERF_076</v>
      </c>
      <c r="B1175" s="65" t="str">
        <f aca="false">IF(A1175="","（哨兵：Gov_Map 該列無 SRC_ID）",IF(COUNTIF($A$5:$A$794,A1175)&gt;0,"（哨兵：此 SRC_ID 已在上方 SRC 頁，查詢不會命中本列）","（哨兵：SRC 頁查無此 ID）"))</f>
        <v>（哨兵：此 SRC_ID 已在上方 SRC 頁，查詢不會命中本列）</v>
      </c>
      <c r="C1175" s="61" t="n">
        <v>385</v>
      </c>
      <c r="D1175" s="61" t="s">
        <v>10703</v>
      </c>
      <c r="E1175" s="61" t="s">
        <v>10703</v>
      </c>
      <c r="F1175" s="62" t="s">
        <v>814</v>
      </c>
    </row>
    <row r="1176" customFormat="false" ht="15" hidden="false" customHeight="false" outlineLevel="0" collapsed="false">
      <c r="A1176" s="92" t="str">
        <f aca="false">Gov_Map!$H386&amp;""</f>
        <v>—</v>
      </c>
      <c r="B1176" s="65" t="str">
        <f aca="false">IF(A1176="","（哨兵：Gov_Map 該列無 SRC_ID）",IF(COUNTIF($A$5:$A$794,A1176)&gt;0,"（哨兵：此 SRC_ID 已在上方 SRC 頁，查詢不會命中本列）","（哨兵：SRC 頁查無此 ID）"))</f>
        <v>（哨兵：SRC 頁查無此 ID）</v>
      </c>
      <c r="C1176" s="61" t="n">
        <v>386</v>
      </c>
      <c r="D1176" s="61" t="s">
        <v>10703</v>
      </c>
      <c r="E1176" s="61" t="s">
        <v>10703</v>
      </c>
      <c r="F1176" s="62" t="s">
        <v>814</v>
      </c>
    </row>
    <row r="1177" customFormat="false" ht="15" hidden="false" customHeight="false" outlineLevel="0" collapsed="false">
      <c r="A1177" s="92" t="str">
        <f aca="false">Gov_Map!$H387&amp;""</f>
        <v>SRC_HW_035</v>
      </c>
      <c r="B1177" s="65" t="str">
        <f aca="false">IF(A1177="","（哨兵：Gov_Map 該列無 SRC_ID）",IF(COUNTIF($A$5:$A$794,A1177)&gt;0,"（哨兵：此 SRC_ID 已在上方 SRC 頁，查詢不會命中本列）","（哨兵：SRC 頁查無此 ID）"))</f>
        <v>（哨兵：此 SRC_ID 已在上方 SRC 頁，查詢不會命中本列）</v>
      </c>
      <c r="C1177" s="61" t="n">
        <v>387</v>
      </c>
      <c r="D1177" s="61" t="s">
        <v>10703</v>
      </c>
      <c r="E1177" s="61" t="s">
        <v>10703</v>
      </c>
      <c r="F1177" s="62" t="s">
        <v>814</v>
      </c>
    </row>
    <row r="1178" customFormat="false" ht="15" hidden="false" customHeight="false" outlineLevel="0" collapsed="false">
      <c r="A1178" s="92" t="str">
        <f aca="false">Gov_Map!$H388&amp;""</f>
        <v>—</v>
      </c>
      <c r="B1178" s="65" t="str">
        <f aca="false">IF(A1178="","（哨兵：Gov_Map 該列無 SRC_ID）",IF(COUNTIF($A$5:$A$794,A1178)&gt;0,"（哨兵：此 SRC_ID 已在上方 SRC 頁，查詢不會命中本列）","（哨兵：SRC 頁查無此 ID）"))</f>
        <v>（哨兵：SRC 頁查無此 ID）</v>
      </c>
      <c r="C1178" s="61" t="n">
        <v>388</v>
      </c>
      <c r="D1178" s="61" t="s">
        <v>10703</v>
      </c>
      <c r="E1178" s="61" t="s">
        <v>10703</v>
      </c>
      <c r="F1178" s="62" t="s">
        <v>814</v>
      </c>
    </row>
    <row r="1179" customFormat="false" ht="15" hidden="false" customHeight="false" outlineLevel="0" collapsed="false">
      <c r="A1179" s="92" t="str">
        <f aca="false">Gov_Map!$H389&amp;""</f>
        <v>—</v>
      </c>
      <c r="B1179" s="65" t="str">
        <f aca="false">IF(A1179="","（哨兵：Gov_Map 該列無 SRC_ID）",IF(COUNTIF($A$5:$A$794,A1179)&gt;0,"（哨兵：此 SRC_ID 已在上方 SRC 頁，查詢不會命中本列）","（哨兵：SRC 頁查無此 ID）"))</f>
        <v>（哨兵：SRC 頁查無此 ID）</v>
      </c>
      <c r="C1179" s="61" t="n">
        <v>389</v>
      </c>
      <c r="D1179" s="61" t="s">
        <v>10703</v>
      </c>
      <c r="E1179" s="61" t="s">
        <v>10703</v>
      </c>
      <c r="F1179" s="62" t="s">
        <v>814</v>
      </c>
    </row>
    <row r="1180" customFormat="false" ht="15" hidden="false" customHeight="false" outlineLevel="0" collapsed="false">
      <c r="A1180" s="92" t="str">
        <f aca="false">Gov_Map!$H390&amp;""</f>
        <v>—</v>
      </c>
      <c r="B1180" s="65" t="str">
        <f aca="false">IF(A1180="","（哨兵：Gov_Map 該列無 SRC_ID）",IF(COUNTIF($A$5:$A$794,A1180)&gt;0,"（哨兵：此 SRC_ID 已在上方 SRC 頁，查詢不會命中本列）","（哨兵：SRC 頁查無此 ID）"))</f>
        <v>（哨兵：SRC 頁查無此 ID）</v>
      </c>
      <c r="C1180" s="61" t="n">
        <v>390</v>
      </c>
      <c r="D1180" s="61" t="s">
        <v>10703</v>
      </c>
      <c r="E1180" s="61" t="s">
        <v>10703</v>
      </c>
      <c r="F1180" s="62" t="s">
        <v>814</v>
      </c>
    </row>
    <row r="1181" customFormat="false" ht="15" hidden="false" customHeight="false" outlineLevel="0" collapsed="false">
      <c r="A1181" s="92" t="str">
        <f aca="false">Gov_Map!$H391&amp;""</f>
        <v>—</v>
      </c>
      <c r="B1181" s="65" t="str">
        <f aca="false">IF(A1181="","（哨兵：Gov_Map 該列無 SRC_ID）",IF(COUNTIF($A$5:$A$794,A1181)&gt;0,"（哨兵：此 SRC_ID 已在上方 SRC 頁，查詢不會命中本列）","（哨兵：SRC 頁查無此 ID）"))</f>
        <v>（哨兵：SRC 頁查無此 ID）</v>
      </c>
      <c r="C1181" s="61" t="n">
        <v>391</v>
      </c>
      <c r="D1181" s="61" t="s">
        <v>10703</v>
      </c>
      <c r="E1181" s="61" t="s">
        <v>10703</v>
      </c>
      <c r="F1181" s="62" t="s">
        <v>814</v>
      </c>
    </row>
    <row r="1182" customFormat="false" ht="15" hidden="false" customHeight="false" outlineLevel="0" collapsed="false">
      <c r="A1182" s="92" t="str">
        <f aca="false">Gov_Map!$H392&amp;""</f>
        <v>—</v>
      </c>
      <c r="B1182" s="65" t="str">
        <f aca="false">IF(A1182="","（哨兵：Gov_Map 該列無 SRC_ID）",IF(COUNTIF($A$5:$A$794,A1182)&gt;0,"（哨兵：此 SRC_ID 已在上方 SRC 頁，查詢不會命中本列）","（哨兵：SRC 頁查無此 ID）"))</f>
        <v>（哨兵：SRC 頁查無此 ID）</v>
      </c>
      <c r="C1182" s="61" t="n">
        <v>392</v>
      </c>
      <c r="D1182" s="61" t="s">
        <v>10703</v>
      </c>
      <c r="E1182" s="61" t="s">
        <v>10703</v>
      </c>
      <c r="F1182" s="62" t="s">
        <v>814</v>
      </c>
    </row>
    <row r="1183" customFormat="false" ht="15" hidden="false" customHeight="false" outlineLevel="0" collapsed="false">
      <c r="A1183" s="92" t="str">
        <f aca="false">Gov_Map!$H393&amp;""</f>
        <v>—</v>
      </c>
      <c r="B1183" s="65" t="str">
        <f aca="false">IF(A1183="","（哨兵：Gov_Map 該列無 SRC_ID）",IF(COUNTIF($A$5:$A$794,A1183)&gt;0,"（哨兵：此 SRC_ID 已在上方 SRC 頁，查詢不會命中本列）","（哨兵：SRC 頁查無此 ID）"))</f>
        <v>（哨兵：SRC 頁查無此 ID）</v>
      </c>
      <c r="C1183" s="61" t="n">
        <v>393</v>
      </c>
      <c r="D1183" s="61" t="s">
        <v>10703</v>
      </c>
      <c r="E1183" s="61" t="s">
        <v>10703</v>
      </c>
      <c r="F1183" s="62" t="s">
        <v>814</v>
      </c>
    </row>
    <row r="1184" customFormat="false" ht="15" hidden="false" customHeight="false" outlineLevel="0" collapsed="false">
      <c r="A1184" s="92" t="str">
        <f aca="false">Gov_Map!$H394&amp;""</f>
        <v>—</v>
      </c>
      <c r="B1184" s="65" t="str">
        <f aca="false">IF(A1184="","（哨兵：Gov_Map 該列無 SRC_ID）",IF(COUNTIF($A$5:$A$794,A1184)&gt;0,"（哨兵：此 SRC_ID 已在上方 SRC 頁，查詢不會命中本列）","（哨兵：SRC 頁查無此 ID）"))</f>
        <v>（哨兵：SRC 頁查無此 ID）</v>
      </c>
      <c r="C1184" s="61" t="n">
        <v>394</v>
      </c>
      <c r="D1184" s="61" t="s">
        <v>10703</v>
      </c>
      <c r="E1184" s="61" t="s">
        <v>10703</v>
      </c>
      <c r="F1184" s="62" t="s">
        <v>814</v>
      </c>
    </row>
    <row r="1185" customFormat="false" ht="15" hidden="false" customHeight="false" outlineLevel="0" collapsed="false">
      <c r="A1185" s="92" t="str">
        <f aca="false">Gov_Map!$H395&amp;""</f>
        <v>—</v>
      </c>
      <c r="B1185" s="65" t="str">
        <f aca="false">IF(A1185="","（哨兵：Gov_Map 該列無 SRC_ID）",IF(COUNTIF($A$5:$A$794,A1185)&gt;0,"（哨兵：此 SRC_ID 已在上方 SRC 頁，查詢不會命中本列）","（哨兵：SRC 頁查無此 ID）"))</f>
        <v>（哨兵：SRC 頁查無此 ID）</v>
      </c>
      <c r="C1185" s="61" t="n">
        <v>395</v>
      </c>
      <c r="D1185" s="61" t="s">
        <v>10703</v>
      </c>
      <c r="E1185" s="61" t="s">
        <v>10703</v>
      </c>
      <c r="F1185" s="62" t="s">
        <v>814</v>
      </c>
    </row>
    <row r="1186" customFormat="false" ht="15" hidden="false" customHeight="false" outlineLevel="0" collapsed="false">
      <c r="A1186" s="92" t="str">
        <f aca="false">Gov_Map!$H396&amp;""</f>
        <v>—</v>
      </c>
      <c r="B1186" s="65" t="str">
        <f aca="false">IF(A1186="","（哨兵：Gov_Map 該列無 SRC_ID）",IF(COUNTIF($A$5:$A$794,A1186)&gt;0,"（哨兵：此 SRC_ID 已在上方 SRC 頁，查詢不會命中本列）","（哨兵：SRC 頁查無此 ID）"))</f>
        <v>（哨兵：SRC 頁查無此 ID）</v>
      </c>
      <c r="C1186" s="61" t="n">
        <v>396</v>
      </c>
      <c r="D1186" s="61" t="s">
        <v>10703</v>
      </c>
      <c r="E1186" s="61" t="s">
        <v>10703</v>
      </c>
      <c r="F1186" s="62" t="s">
        <v>814</v>
      </c>
    </row>
    <row r="1187" customFormat="false" ht="15" hidden="false" customHeight="false" outlineLevel="0" collapsed="false">
      <c r="A1187" s="92" t="str">
        <f aca="false">Gov_Map!$H397&amp;""</f>
        <v>—</v>
      </c>
      <c r="B1187" s="65" t="str">
        <f aca="false">IF(A1187="","（哨兵：Gov_Map 該列無 SRC_ID）",IF(COUNTIF($A$5:$A$794,A1187)&gt;0,"（哨兵：此 SRC_ID 已在上方 SRC 頁，查詢不會命中本列）","（哨兵：SRC 頁查無此 ID）"))</f>
        <v>（哨兵：SRC 頁查無此 ID）</v>
      </c>
      <c r="C1187" s="61" t="n">
        <v>397</v>
      </c>
      <c r="D1187" s="61" t="s">
        <v>10703</v>
      </c>
      <c r="E1187" s="61" t="s">
        <v>10703</v>
      </c>
      <c r="F1187" s="62" t="s">
        <v>814</v>
      </c>
    </row>
    <row r="1188" customFormat="false" ht="15" hidden="false" customHeight="false" outlineLevel="0" collapsed="false">
      <c r="A1188" s="92" t="str">
        <f aca="false">Gov_Map!$H398&amp;""</f>
        <v>—</v>
      </c>
      <c r="B1188" s="65" t="str">
        <f aca="false">IF(A1188="","（哨兵：Gov_Map 該列無 SRC_ID）",IF(COUNTIF($A$5:$A$794,A1188)&gt;0,"（哨兵：此 SRC_ID 已在上方 SRC 頁，查詢不會命中本列）","（哨兵：SRC 頁查無此 ID）"))</f>
        <v>（哨兵：SRC 頁查無此 ID）</v>
      </c>
      <c r="C1188" s="61" t="n">
        <v>398</v>
      </c>
      <c r="D1188" s="61" t="s">
        <v>10703</v>
      </c>
      <c r="E1188" s="61" t="s">
        <v>10703</v>
      </c>
      <c r="F1188" s="62" t="s">
        <v>814</v>
      </c>
    </row>
    <row r="1189" customFormat="false" ht="15" hidden="false" customHeight="false" outlineLevel="0" collapsed="false">
      <c r="A1189" s="92" t="str">
        <f aca="false">Gov_Map!$H399&amp;""</f>
        <v>—</v>
      </c>
      <c r="B1189" s="65" t="str">
        <f aca="false">IF(A1189="","（哨兵：Gov_Map 該列無 SRC_ID）",IF(COUNTIF($A$5:$A$794,A1189)&gt;0,"（哨兵：此 SRC_ID 已在上方 SRC 頁，查詢不會命中本列）","（哨兵：SRC 頁查無此 ID）"))</f>
        <v>（哨兵：SRC 頁查無此 ID）</v>
      </c>
      <c r="C1189" s="61" t="n">
        <v>399</v>
      </c>
      <c r="D1189" s="61" t="s">
        <v>10703</v>
      </c>
      <c r="E1189" s="61" t="s">
        <v>10703</v>
      </c>
      <c r="F1189" s="62" t="s">
        <v>814</v>
      </c>
    </row>
    <row r="1190" customFormat="false" ht="15" hidden="false" customHeight="false" outlineLevel="0" collapsed="false">
      <c r="A1190" s="92" t="str">
        <f aca="false">Gov_Map!$H400&amp;""</f>
        <v>—</v>
      </c>
      <c r="B1190" s="65" t="str">
        <f aca="false">IF(A1190="","（哨兵：Gov_Map 該列無 SRC_ID）",IF(COUNTIF($A$5:$A$794,A1190)&gt;0,"（哨兵：此 SRC_ID 已在上方 SRC 頁，查詢不會命中本列）","（哨兵：SRC 頁查無此 ID）"))</f>
        <v>（哨兵：SRC 頁查無此 ID）</v>
      </c>
      <c r="C1190" s="61" t="n">
        <v>400</v>
      </c>
      <c r="D1190" s="61" t="s">
        <v>10703</v>
      </c>
      <c r="E1190" s="61" t="s">
        <v>10703</v>
      </c>
      <c r="F1190" s="62" t="s">
        <v>814</v>
      </c>
    </row>
    <row r="1191" customFormat="false" ht="15" hidden="false" customHeight="false" outlineLevel="0" collapsed="false">
      <c r="A1191" s="92" t="str">
        <f aca="false">Gov_Map!$H401&amp;""</f>
        <v>—</v>
      </c>
      <c r="B1191" s="65" t="str">
        <f aca="false">IF(A1191="","（哨兵：Gov_Map 該列無 SRC_ID）",IF(COUNTIF($A$5:$A$794,A1191)&gt;0,"（哨兵：此 SRC_ID 已在上方 SRC 頁，查詢不會命中本列）","（哨兵：SRC 頁查無此 ID）"))</f>
        <v>（哨兵：SRC 頁查無此 ID）</v>
      </c>
      <c r="C1191" s="61" t="n">
        <v>401</v>
      </c>
      <c r="D1191" s="61" t="s">
        <v>10703</v>
      </c>
      <c r="E1191" s="61" t="s">
        <v>10703</v>
      </c>
      <c r="F1191" s="62" t="s">
        <v>814</v>
      </c>
    </row>
    <row r="1192" customFormat="false" ht="15" hidden="false" customHeight="false" outlineLevel="0" collapsed="false">
      <c r="A1192" s="92" t="str">
        <f aca="false">Gov_Map!$H402&amp;""</f>
        <v>—</v>
      </c>
      <c r="B1192" s="65" t="str">
        <f aca="false">IF(A1192="","（哨兵：Gov_Map 該列無 SRC_ID）",IF(COUNTIF($A$5:$A$794,A1192)&gt;0,"（哨兵：此 SRC_ID 已在上方 SRC 頁，查詢不會命中本列）","（哨兵：SRC 頁查無此 ID）"))</f>
        <v>（哨兵：SRC 頁查無此 ID）</v>
      </c>
      <c r="C1192" s="61" t="n">
        <v>402</v>
      </c>
      <c r="D1192" s="61" t="s">
        <v>10703</v>
      </c>
      <c r="E1192" s="61" t="s">
        <v>10703</v>
      </c>
      <c r="F1192" s="62" t="s">
        <v>814</v>
      </c>
    </row>
    <row r="1193" customFormat="false" ht="15" hidden="false" customHeight="false" outlineLevel="0" collapsed="false">
      <c r="A1193" s="92" t="str">
        <f aca="false">Gov_Map!$H403&amp;""</f>
        <v>—</v>
      </c>
      <c r="B1193" s="65" t="str">
        <f aca="false">IF(A1193="","（哨兵：Gov_Map 該列無 SRC_ID）",IF(COUNTIF($A$5:$A$794,A1193)&gt;0,"（哨兵：此 SRC_ID 已在上方 SRC 頁，查詢不會命中本列）","（哨兵：SRC 頁查無此 ID）"))</f>
        <v>（哨兵：SRC 頁查無此 ID）</v>
      </c>
      <c r="C1193" s="61" t="n">
        <v>403</v>
      </c>
      <c r="D1193" s="61" t="s">
        <v>10703</v>
      </c>
      <c r="E1193" s="61" t="s">
        <v>10703</v>
      </c>
      <c r="F1193" s="62" t="s">
        <v>814</v>
      </c>
    </row>
    <row r="1194" customFormat="false" ht="15" hidden="false" customHeight="false" outlineLevel="0" collapsed="false">
      <c r="A1194" s="92" t="str">
        <f aca="false">Gov_Map!$H404&amp;""</f>
        <v>—</v>
      </c>
      <c r="B1194" s="65" t="str">
        <f aca="false">IF(A1194="","（哨兵：Gov_Map 該列無 SRC_ID）",IF(COUNTIF($A$5:$A$794,A1194)&gt;0,"（哨兵：此 SRC_ID 已在上方 SRC 頁，查詢不會命中本列）","（哨兵：SRC 頁查無此 ID）"))</f>
        <v>（哨兵：SRC 頁查無此 ID）</v>
      </c>
      <c r="C1194" s="61" t="n">
        <v>404</v>
      </c>
      <c r="D1194" s="61" t="s">
        <v>10703</v>
      </c>
      <c r="E1194" s="61" t="s">
        <v>10703</v>
      </c>
      <c r="F1194" s="62" t="s">
        <v>814</v>
      </c>
    </row>
    <row r="1195" customFormat="false" ht="15" hidden="false" customHeight="false" outlineLevel="0" collapsed="false">
      <c r="A1195" s="92" t="str">
        <f aca="false">Gov_Map!$H405&amp;""</f>
        <v>—</v>
      </c>
      <c r="B1195" s="65" t="str">
        <f aca="false">IF(A1195="","（哨兵：Gov_Map 該列無 SRC_ID）",IF(COUNTIF($A$5:$A$794,A1195)&gt;0,"（哨兵：此 SRC_ID 已在上方 SRC 頁，查詢不會命中本列）","（哨兵：SRC 頁查無此 ID）"))</f>
        <v>（哨兵：SRC 頁查無此 ID）</v>
      </c>
      <c r="C1195" s="61" t="n">
        <v>405</v>
      </c>
      <c r="D1195" s="61" t="s">
        <v>10703</v>
      </c>
      <c r="E1195" s="61" t="s">
        <v>10703</v>
      </c>
      <c r="F1195" s="62" t="s">
        <v>814</v>
      </c>
    </row>
    <row r="1196" customFormat="false" ht="15" hidden="false" customHeight="false" outlineLevel="0" collapsed="false">
      <c r="A1196" s="92" t="str">
        <f aca="false">Gov_Map!$H406&amp;""</f>
        <v>—</v>
      </c>
      <c r="B1196" s="65" t="str">
        <f aca="false">IF(A1196="","（哨兵：Gov_Map 該列無 SRC_ID）",IF(COUNTIF($A$5:$A$794,A1196)&gt;0,"（哨兵：此 SRC_ID 已在上方 SRC 頁，查詢不會命中本列）","（哨兵：SRC 頁查無此 ID）"))</f>
        <v>（哨兵：SRC 頁查無此 ID）</v>
      </c>
      <c r="C1196" s="61" t="n">
        <v>406</v>
      </c>
      <c r="D1196" s="61" t="s">
        <v>10703</v>
      </c>
      <c r="E1196" s="61" t="s">
        <v>10703</v>
      </c>
      <c r="F1196" s="62" t="s">
        <v>814</v>
      </c>
    </row>
    <row r="1197" customFormat="false" ht="15" hidden="false" customHeight="false" outlineLevel="0" collapsed="false">
      <c r="A1197" s="92" t="str">
        <f aca="false">Gov_Map!$H407&amp;""</f>
        <v>—</v>
      </c>
      <c r="B1197" s="65" t="str">
        <f aca="false">IF(A1197="","（哨兵：Gov_Map 該列無 SRC_ID）",IF(COUNTIF($A$5:$A$794,A1197)&gt;0,"（哨兵：此 SRC_ID 已在上方 SRC 頁，查詢不會命中本列）","（哨兵：SRC 頁查無此 ID）"))</f>
        <v>（哨兵：SRC 頁查無此 ID）</v>
      </c>
      <c r="C1197" s="61" t="n">
        <v>407</v>
      </c>
      <c r="D1197" s="61" t="s">
        <v>10703</v>
      </c>
      <c r="E1197" s="61" t="s">
        <v>10703</v>
      </c>
      <c r="F1197" s="62" t="s">
        <v>814</v>
      </c>
    </row>
    <row r="1198" customFormat="false" ht="15" hidden="false" customHeight="false" outlineLevel="0" collapsed="false">
      <c r="A1198" s="92" t="str">
        <f aca="false">Gov_Map!$H408&amp;""</f>
        <v>—</v>
      </c>
      <c r="B1198" s="65" t="str">
        <f aca="false">IF(A1198="","（哨兵：Gov_Map 該列無 SRC_ID）",IF(COUNTIF($A$5:$A$794,A1198)&gt;0,"（哨兵：此 SRC_ID 已在上方 SRC 頁，查詢不會命中本列）","（哨兵：SRC 頁查無此 ID）"))</f>
        <v>（哨兵：SRC 頁查無此 ID）</v>
      </c>
      <c r="C1198" s="61" t="n">
        <v>408</v>
      </c>
      <c r="D1198" s="61" t="s">
        <v>10703</v>
      </c>
      <c r="E1198" s="61" t="s">
        <v>10703</v>
      </c>
      <c r="F1198" s="62" t="s">
        <v>814</v>
      </c>
    </row>
    <row r="1199" customFormat="false" ht="15" hidden="false" customHeight="false" outlineLevel="0" collapsed="false">
      <c r="A1199" s="92" t="str">
        <f aca="false">Gov_Map!$H409&amp;""</f>
        <v>—</v>
      </c>
      <c r="B1199" s="65" t="str">
        <f aca="false">IF(A1199="","（哨兵：Gov_Map 該列無 SRC_ID）",IF(COUNTIF($A$5:$A$794,A1199)&gt;0,"（哨兵：此 SRC_ID 已在上方 SRC 頁，查詢不會命中本列）","（哨兵：SRC 頁查無此 ID）"))</f>
        <v>（哨兵：SRC 頁查無此 ID）</v>
      </c>
      <c r="C1199" s="61" t="n">
        <v>409</v>
      </c>
      <c r="D1199" s="61" t="s">
        <v>10703</v>
      </c>
      <c r="E1199" s="61" t="s">
        <v>10703</v>
      </c>
      <c r="F1199" s="62" t="s">
        <v>814</v>
      </c>
    </row>
    <row r="1200" customFormat="false" ht="15" hidden="false" customHeight="false" outlineLevel="0" collapsed="false">
      <c r="A1200" s="92" t="str">
        <f aca="false">Gov_Map!$H410&amp;""</f>
        <v>—</v>
      </c>
      <c r="B1200" s="65" t="str">
        <f aca="false">IF(A1200="","（哨兵：Gov_Map 該列無 SRC_ID）",IF(COUNTIF($A$5:$A$794,A1200)&gt;0,"（哨兵：此 SRC_ID 已在上方 SRC 頁，查詢不會命中本列）","（哨兵：SRC 頁查無此 ID）"))</f>
        <v>（哨兵：SRC 頁查無此 ID）</v>
      </c>
      <c r="C1200" s="61" t="n">
        <v>410</v>
      </c>
      <c r="D1200" s="61" t="s">
        <v>10703</v>
      </c>
      <c r="E1200" s="61" t="s">
        <v>10703</v>
      </c>
      <c r="F1200" s="62" t="s">
        <v>814</v>
      </c>
    </row>
    <row r="1201" customFormat="false" ht="15" hidden="false" customHeight="false" outlineLevel="0" collapsed="false">
      <c r="A1201" s="92" t="str">
        <f aca="false">Gov_Map!$H411&amp;""</f>
        <v>—</v>
      </c>
      <c r="B1201" s="65" t="str">
        <f aca="false">IF(A1201="","（哨兵：Gov_Map 該列無 SRC_ID）",IF(COUNTIF($A$5:$A$794,A1201)&gt;0,"（哨兵：此 SRC_ID 已在上方 SRC 頁，查詢不會命中本列）","（哨兵：SRC 頁查無此 ID）"))</f>
        <v>（哨兵：SRC 頁查無此 ID）</v>
      </c>
      <c r="C1201" s="61" t="n">
        <v>411</v>
      </c>
      <c r="D1201" s="61" t="s">
        <v>10703</v>
      </c>
      <c r="E1201" s="61" t="s">
        <v>10703</v>
      </c>
      <c r="F1201" s="62" t="s">
        <v>814</v>
      </c>
    </row>
    <row r="1202" customFormat="false" ht="15" hidden="false" customHeight="false" outlineLevel="0" collapsed="false">
      <c r="A1202" s="92" t="str">
        <f aca="false">Gov_Map!$H412&amp;""</f>
        <v>—</v>
      </c>
      <c r="B1202" s="65" t="str">
        <f aca="false">IF(A1202="","（哨兵：Gov_Map 該列無 SRC_ID）",IF(COUNTIF($A$5:$A$794,A1202)&gt;0,"（哨兵：此 SRC_ID 已在上方 SRC 頁，查詢不會命中本列）","（哨兵：SRC 頁查無此 ID）"))</f>
        <v>（哨兵：SRC 頁查無此 ID）</v>
      </c>
      <c r="C1202" s="61" t="n">
        <v>412</v>
      </c>
      <c r="D1202" s="61" t="s">
        <v>10703</v>
      </c>
      <c r="E1202" s="61" t="s">
        <v>10703</v>
      </c>
      <c r="F1202" s="62" t="s">
        <v>814</v>
      </c>
    </row>
    <row r="1203" customFormat="false" ht="15" hidden="false" customHeight="false" outlineLevel="0" collapsed="false">
      <c r="A1203" s="92" t="str">
        <f aca="false">Gov_Map!$H413&amp;""</f>
        <v>—</v>
      </c>
      <c r="B1203" s="65" t="str">
        <f aca="false">IF(A1203="","（哨兵：Gov_Map 該列無 SRC_ID）",IF(COUNTIF($A$5:$A$794,A1203)&gt;0,"（哨兵：此 SRC_ID 已在上方 SRC 頁，查詢不會命中本列）","（哨兵：SRC 頁查無此 ID）"))</f>
        <v>（哨兵：SRC 頁查無此 ID）</v>
      </c>
      <c r="C1203" s="61" t="n">
        <v>413</v>
      </c>
      <c r="D1203" s="61" t="s">
        <v>10703</v>
      </c>
      <c r="E1203" s="61" t="s">
        <v>10703</v>
      </c>
      <c r="F1203" s="62" t="s">
        <v>814</v>
      </c>
    </row>
    <row r="1204" customFormat="false" ht="15" hidden="false" customHeight="false" outlineLevel="0" collapsed="false">
      <c r="A1204" s="92" t="str">
        <f aca="false">Gov_Map!$H414&amp;""</f>
        <v>—</v>
      </c>
      <c r="B1204" s="65" t="str">
        <f aca="false">IF(A1204="","（哨兵：Gov_Map 該列無 SRC_ID）",IF(COUNTIF($A$5:$A$794,A1204)&gt;0,"（哨兵：此 SRC_ID 已在上方 SRC 頁，查詢不會命中本列）","（哨兵：SRC 頁查無此 ID）"))</f>
        <v>（哨兵：SRC 頁查無此 ID）</v>
      </c>
      <c r="C1204" s="61" t="n">
        <v>414</v>
      </c>
      <c r="D1204" s="61" t="s">
        <v>10703</v>
      </c>
      <c r="E1204" s="61" t="s">
        <v>10703</v>
      </c>
      <c r="F1204" s="62" t="s">
        <v>814</v>
      </c>
    </row>
    <row r="1205" customFormat="false" ht="15" hidden="false" customHeight="false" outlineLevel="0" collapsed="false">
      <c r="A1205" s="92" t="str">
        <f aca="false">Gov_Map!$H415&amp;""</f>
        <v>—</v>
      </c>
      <c r="B1205" s="65" t="str">
        <f aca="false">IF(A1205="","（哨兵：Gov_Map 該列無 SRC_ID）",IF(COUNTIF($A$5:$A$794,A1205)&gt;0,"（哨兵：此 SRC_ID 已在上方 SRC 頁，查詢不會命中本列）","（哨兵：SRC 頁查無此 ID）"))</f>
        <v>（哨兵：SRC 頁查無此 ID）</v>
      </c>
      <c r="C1205" s="61" t="n">
        <v>415</v>
      </c>
      <c r="D1205" s="61" t="s">
        <v>10703</v>
      </c>
      <c r="E1205" s="61" t="s">
        <v>10703</v>
      </c>
      <c r="F1205" s="62" t="s">
        <v>814</v>
      </c>
    </row>
    <row r="1206" customFormat="false" ht="15" hidden="false" customHeight="false" outlineLevel="0" collapsed="false">
      <c r="A1206" s="92" t="str">
        <f aca="false">Gov_Map!$H416&amp;""</f>
        <v>—</v>
      </c>
      <c r="B1206" s="65" t="str">
        <f aca="false">IF(A1206="","（哨兵：Gov_Map 該列無 SRC_ID）",IF(COUNTIF($A$5:$A$794,A1206)&gt;0,"（哨兵：此 SRC_ID 已在上方 SRC 頁，查詢不會命中本列）","（哨兵：SRC 頁查無此 ID）"))</f>
        <v>（哨兵：SRC 頁查無此 ID）</v>
      </c>
      <c r="C1206" s="61" t="n">
        <v>416</v>
      </c>
      <c r="D1206" s="61" t="s">
        <v>10703</v>
      </c>
      <c r="E1206" s="61" t="s">
        <v>10703</v>
      </c>
      <c r="F1206" s="62" t="s">
        <v>814</v>
      </c>
    </row>
    <row r="1207" customFormat="false" ht="15" hidden="false" customHeight="false" outlineLevel="0" collapsed="false">
      <c r="A1207" s="92" t="str">
        <f aca="false">Gov_Map!$H417&amp;""</f>
        <v>—</v>
      </c>
      <c r="B1207" s="65" t="str">
        <f aca="false">IF(A1207="","（哨兵：Gov_Map 該列無 SRC_ID）",IF(COUNTIF($A$5:$A$794,A1207)&gt;0,"（哨兵：此 SRC_ID 已在上方 SRC 頁，查詢不會命中本列）","（哨兵：SRC 頁查無此 ID）"))</f>
        <v>（哨兵：SRC 頁查無此 ID）</v>
      </c>
      <c r="C1207" s="61" t="n">
        <v>417</v>
      </c>
      <c r="D1207" s="61" t="s">
        <v>10703</v>
      </c>
      <c r="E1207" s="61" t="s">
        <v>10703</v>
      </c>
      <c r="F1207" s="62" t="s">
        <v>814</v>
      </c>
    </row>
    <row r="1208" customFormat="false" ht="15" hidden="false" customHeight="false" outlineLevel="0" collapsed="false">
      <c r="A1208" s="92" t="str">
        <f aca="false">Gov_Map!$H418&amp;""</f>
        <v>—</v>
      </c>
      <c r="B1208" s="65" t="str">
        <f aca="false">IF(A1208="","（哨兵：Gov_Map 該列無 SRC_ID）",IF(COUNTIF($A$5:$A$794,A1208)&gt;0,"（哨兵：此 SRC_ID 已在上方 SRC 頁，查詢不會命中本列）","（哨兵：SRC 頁查無此 ID）"))</f>
        <v>（哨兵：SRC 頁查無此 ID）</v>
      </c>
      <c r="C1208" s="61" t="n">
        <v>418</v>
      </c>
      <c r="D1208" s="61" t="s">
        <v>10703</v>
      </c>
      <c r="E1208" s="61" t="s">
        <v>10703</v>
      </c>
      <c r="F1208" s="62" t="s">
        <v>814</v>
      </c>
    </row>
    <row r="1209" customFormat="false" ht="15" hidden="false" customHeight="false" outlineLevel="0" collapsed="false">
      <c r="A1209" s="92" t="str">
        <f aca="false">Gov_Map!$H419&amp;""</f>
        <v>—</v>
      </c>
      <c r="B1209" s="65" t="str">
        <f aca="false">IF(A1209="","（哨兵：Gov_Map 該列無 SRC_ID）",IF(COUNTIF($A$5:$A$794,A1209)&gt;0,"（哨兵：此 SRC_ID 已在上方 SRC 頁，查詢不會命中本列）","（哨兵：SRC 頁查無此 ID）"))</f>
        <v>（哨兵：SRC 頁查無此 ID）</v>
      </c>
      <c r="C1209" s="61" t="n">
        <v>419</v>
      </c>
      <c r="D1209" s="61" t="s">
        <v>10703</v>
      </c>
      <c r="E1209" s="61" t="s">
        <v>10703</v>
      </c>
      <c r="F1209" s="62" t="s">
        <v>814</v>
      </c>
    </row>
    <row r="1210" customFormat="false" ht="15" hidden="false" customHeight="false" outlineLevel="0" collapsed="false">
      <c r="A1210" s="92" t="str">
        <f aca="false">Gov_Map!$H420&amp;""</f>
        <v>—</v>
      </c>
      <c r="B1210" s="65" t="str">
        <f aca="false">IF(A1210="","（哨兵：Gov_Map 該列無 SRC_ID）",IF(COUNTIF($A$5:$A$794,A1210)&gt;0,"（哨兵：此 SRC_ID 已在上方 SRC 頁，查詢不會命中本列）","（哨兵：SRC 頁查無此 ID）"))</f>
        <v>（哨兵：SRC 頁查無此 ID）</v>
      </c>
      <c r="C1210" s="61" t="n">
        <v>420</v>
      </c>
      <c r="D1210" s="61" t="s">
        <v>10703</v>
      </c>
      <c r="E1210" s="61" t="s">
        <v>10703</v>
      </c>
      <c r="F1210" s="62" t="s">
        <v>814</v>
      </c>
    </row>
    <row r="1211" customFormat="false" ht="15" hidden="false" customHeight="false" outlineLevel="0" collapsed="false">
      <c r="A1211" s="92" t="str">
        <f aca="false">Gov_Map!$H421&amp;""</f>
        <v>—</v>
      </c>
      <c r="B1211" s="65" t="str">
        <f aca="false">IF(A1211="","（哨兵：Gov_Map 該列無 SRC_ID）",IF(COUNTIF($A$5:$A$794,A1211)&gt;0,"（哨兵：此 SRC_ID 已在上方 SRC 頁，查詢不會命中本列）","（哨兵：SRC 頁查無此 ID）"))</f>
        <v>（哨兵：SRC 頁查無此 ID）</v>
      </c>
      <c r="C1211" s="61" t="n">
        <v>421</v>
      </c>
      <c r="D1211" s="61" t="s">
        <v>10703</v>
      </c>
      <c r="E1211" s="61" t="s">
        <v>10703</v>
      </c>
      <c r="F1211" s="62" t="s">
        <v>814</v>
      </c>
    </row>
    <row r="1212" customFormat="false" ht="15" hidden="false" customHeight="false" outlineLevel="0" collapsed="false">
      <c r="A1212" s="92" t="str">
        <f aca="false">Gov_Map!$H422&amp;""</f>
        <v>—</v>
      </c>
      <c r="B1212" s="65" t="str">
        <f aca="false">IF(A1212="","（哨兵：Gov_Map 該列無 SRC_ID）",IF(COUNTIF($A$5:$A$794,A1212)&gt;0,"（哨兵：此 SRC_ID 已在上方 SRC 頁，查詢不會命中本列）","（哨兵：SRC 頁查無此 ID）"))</f>
        <v>（哨兵：SRC 頁查無此 ID）</v>
      </c>
      <c r="C1212" s="61" t="n">
        <v>422</v>
      </c>
      <c r="D1212" s="61" t="s">
        <v>10703</v>
      </c>
      <c r="E1212" s="61" t="s">
        <v>10703</v>
      </c>
      <c r="F1212" s="62" t="s">
        <v>814</v>
      </c>
    </row>
    <row r="1213" customFormat="false" ht="15" hidden="false" customHeight="false" outlineLevel="0" collapsed="false">
      <c r="A1213" s="92" t="str">
        <f aca="false">Gov_Map!$H423&amp;""</f>
        <v>—</v>
      </c>
      <c r="B1213" s="65" t="str">
        <f aca="false">IF(A1213="","（哨兵：Gov_Map 該列無 SRC_ID）",IF(COUNTIF($A$5:$A$794,A1213)&gt;0,"（哨兵：此 SRC_ID 已在上方 SRC 頁，查詢不會命中本列）","（哨兵：SRC 頁查無此 ID）"))</f>
        <v>（哨兵：SRC 頁查無此 ID）</v>
      </c>
      <c r="C1213" s="61" t="n">
        <v>423</v>
      </c>
      <c r="D1213" s="61" t="s">
        <v>10703</v>
      </c>
      <c r="E1213" s="61" t="s">
        <v>10703</v>
      </c>
      <c r="F1213" s="62" t="s">
        <v>814</v>
      </c>
    </row>
    <row r="1214" customFormat="false" ht="15" hidden="false" customHeight="false" outlineLevel="0" collapsed="false">
      <c r="A1214" s="92" t="str">
        <f aca="false">Gov_Map!$H424&amp;""</f>
        <v>—</v>
      </c>
      <c r="B1214" s="65" t="str">
        <f aca="false">IF(A1214="","（哨兵：Gov_Map 該列無 SRC_ID）",IF(COUNTIF($A$5:$A$794,A1214)&gt;0,"（哨兵：此 SRC_ID 已在上方 SRC 頁，查詢不會命中本列）","（哨兵：SRC 頁查無此 ID）"))</f>
        <v>（哨兵：SRC 頁查無此 ID）</v>
      </c>
      <c r="C1214" s="61" t="n">
        <v>424</v>
      </c>
      <c r="D1214" s="61" t="s">
        <v>10703</v>
      </c>
      <c r="E1214" s="61" t="s">
        <v>10703</v>
      </c>
      <c r="F1214" s="62" t="s">
        <v>814</v>
      </c>
    </row>
    <row r="1215" customFormat="false" ht="15" hidden="false" customHeight="false" outlineLevel="0" collapsed="false">
      <c r="A1215" s="92" t="str">
        <f aca="false">Gov_Map!$H425&amp;""</f>
        <v>—</v>
      </c>
      <c r="B1215" s="65" t="str">
        <f aca="false">IF(A1215="","（哨兵：Gov_Map 該列無 SRC_ID）",IF(COUNTIF($A$5:$A$794,A1215)&gt;0,"（哨兵：此 SRC_ID 已在上方 SRC 頁，查詢不會命中本列）","（哨兵：SRC 頁查無此 ID）"))</f>
        <v>（哨兵：SRC 頁查無此 ID）</v>
      </c>
      <c r="C1215" s="61" t="n">
        <v>425</v>
      </c>
      <c r="D1215" s="61" t="s">
        <v>10703</v>
      </c>
      <c r="E1215" s="61" t="s">
        <v>10703</v>
      </c>
      <c r="F1215" s="62" t="s">
        <v>814</v>
      </c>
    </row>
    <row r="1216" customFormat="false" ht="15" hidden="false" customHeight="false" outlineLevel="0" collapsed="false">
      <c r="A1216" s="92" t="str">
        <f aca="false">Gov_Map!$H426&amp;""</f>
        <v>—</v>
      </c>
      <c r="B1216" s="65" t="str">
        <f aca="false">IF(A1216="","（哨兵：Gov_Map 該列無 SRC_ID）",IF(COUNTIF($A$5:$A$794,A1216)&gt;0,"（哨兵：此 SRC_ID 已在上方 SRC 頁，查詢不會命中本列）","（哨兵：SRC 頁查無此 ID）"))</f>
        <v>（哨兵：SRC 頁查無此 ID）</v>
      </c>
      <c r="C1216" s="61" t="n">
        <v>426</v>
      </c>
      <c r="D1216" s="61" t="s">
        <v>10703</v>
      </c>
      <c r="E1216" s="61" t="s">
        <v>10703</v>
      </c>
      <c r="F1216" s="62" t="s">
        <v>814</v>
      </c>
    </row>
    <row r="1217" customFormat="false" ht="15" hidden="false" customHeight="false" outlineLevel="0" collapsed="false">
      <c r="A1217" s="92" t="str">
        <f aca="false">Gov_Map!$H427&amp;""</f>
        <v>—</v>
      </c>
      <c r="B1217" s="65" t="str">
        <f aca="false">IF(A1217="","（哨兵：Gov_Map 該列無 SRC_ID）",IF(COUNTIF($A$5:$A$794,A1217)&gt;0,"（哨兵：此 SRC_ID 已在上方 SRC 頁，查詢不會命中本列）","（哨兵：SRC 頁查無此 ID）"))</f>
        <v>（哨兵：SRC 頁查無此 ID）</v>
      </c>
      <c r="C1217" s="61" t="n">
        <v>427</v>
      </c>
      <c r="D1217" s="61" t="s">
        <v>10703</v>
      </c>
      <c r="E1217" s="61" t="s">
        <v>10703</v>
      </c>
      <c r="F1217" s="62" t="s">
        <v>814</v>
      </c>
    </row>
    <row r="1218" customFormat="false" ht="15" hidden="false" customHeight="false" outlineLevel="0" collapsed="false">
      <c r="A1218" s="92" t="str">
        <f aca="false">Gov_Map!$H428&amp;""</f>
        <v>—</v>
      </c>
      <c r="B1218" s="65" t="str">
        <f aca="false">IF(A1218="","（哨兵：Gov_Map 該列無 SRC_ID）",IF(COUNTIF($A$5:$A$794,A1218)&gt;0,"（哨兵：此 SRC_ID 已在上方 SRC 頁，查詢不會命中本列）","（哨兵：SRC 頁查無此 ID）"))</f>
        <v>（哨兵：SRC 頁查無此 ID）</v>
      </c>
      <c r="C1218" s="61" t="n">
        <v>428</v>
      </c>
      <c r="D1218" s="61" t="s">
        <v>10703</v>
      </c>
      <c r="E1218" s="61" t="s">
        <v>10703</v>
      </c>
      <c r="F1218" s="62" t="s">
        <v>814</v>
      </c>
    </row>
    <row r="1219" customFormat="false" ht="15" hidden="false" customHeight="false" outlineLevel="0" collapsed="false">
      <c r="A1219" s="92" t="str">
        <f aca="false">Gov_Map!$H429&amp;""</f>
        <v>—</v>
      </c>
      <c r="B1219" s="65" t="str">
        <f aca="false">IF(A1219="","（哨兵：Gov_Map 該列無 SRC_ID）",IF(COUNTIF($A$5:$A$794,A1219)&gt;0,"（哨兵：此 SRC_ID 已在上方 SRC 頁，查詢不會命中本列）","（哨兵：SRC 頁查無此 ID）"))</f>
        <v>（哨兵：SRC 頁查無此 ID）</v>
      </c>
      <c r="C1219" s="61" t="n">
        <v>429</v>
      </c>
      <c r="D1219" s="61" t="s">
        <v>10703</v>
      </c>
      <c r="E1219" s="61" t="s">
        <v>10703</v>
      </c>
      <c r="F1219" s="62" t="s">
        <v>814</v>
      </c>
    </row>
    <row r="1220" customFormat="false" ht="15" hidden="false" customHeight="false" outlineLevel="0" collapsed="false">
      <c r="A1220" s="92" t="str">
        <f aca="false">Gov_Map!$H430&amp;""</f>
        <v>—</v>
      </c>
      <c r="B1220" s="65" t="str">
        <f aca="false">IF(A1220="","（哨兵：Gov_Map 該列無 SRC_ID）",IF(COUNTIF($A$5:$A$794,A1220)&gt;0,"（哨兵：此 SRC_ID 已在上方 SRC 頁，查詢不會命中本列）","（哨兵：SRC 頁查無此 ID）"))</f>
        <v>（哨兵：SRC 頁查無此 ID）</v>
      </c>
      <c r="C1220" s="61" t="n">
        <v>430</v>
      </c>
      <c r="D1220" s="61" t="s">
        <v>10703</v>
      </c>
      <c r="E1220" s="61" t="s">
        <v>10703</v>
      </c>
      <c r="F1220" s="62" t="s">
        <v>814</v>
      </c>
    </row>
    <row r="1221" customFormat="false" ht="15" hidden="false" customHeight="false" outlineLevel="0" collapsed="false">
      <c r="A1221" s="92" t="str">
        <f aca="false">Gov_Map!$H431&amp;""</f>
        <v>SRC_MOD_029</v>
      </c>
      <c r="B1221" s="65" t="str">
        <f aca="false">IF(A1221="","（哨兵：Gov_Map 該列無 SRC_ID）",IF(COUNTIF($A$5:$A$794,A1221)&gt;0,"（哨兵：此 SRC_ID 已在上方 SRC 頁，查詢不會命中本列）","（哨兵：SRC 頁查無此 ID）"))</f>
        <v>（哨兵：此 SRC_ID 已在上方 SRC 頁，查詢不會命中本列）</v>
      </c>
      <c r="C1221" s="61" t="n">
        <v>431</v>
      </c>
      <c r="D1221" s="61" t="s">
        <v>10703</v>
      </c>
      <c r="E1221" s="61" t="s">
        <v>10703</v>
      </c>
      <c r="F1221" s="62" t="s">
        <v>814</v>
      </c>
    </row>
    <row r="1222" customFormat="false" ht="15" hidden="false" customHeight="false" outlineLevel="0" collapsed="false">
      <c r="A1222" s="92" t="str">
        <f aca="false">Gov_Map!$H432&amp;""</f>
        <v>SRC_MOD_030</v>
      </c>
      <c r="B1222" s="65" t="str">
        <f aca="false">IF(A1222="","（哨兵：Gov_Map 該列無 SRC_ID）",IF(COUNTIF($A$5:$A$794,A1222)&gt;0,"（哨兵：此 SRC_ID 已在上方 SRC 頁，查詢不會命中本列）","（哨兵：SRC 頁查無此 ID）"))</f>
        <v>（哨兵：此 SRC_ID 已在上方 SRC 頁，查詢不會命中本列）</v>
      </c>
      <c r="C1222" s="61" t="n">
        <v>432</v>
      </c>
      <c r="D1222" s="61" t="s">
        <v>10703</v>
      </c>
      <c r="E1222" s="61" t="s">
        <v>10703</v>
      </c>
      <c r="F1222" s="62" t="s">
        <v>814</v>
      </c>
    </row>
    <row r="1223" customFormat="false" ht="15" hidden="false" customHeight="false" outlineLevel="0" collapsed="false">
      <c r="A1223" s="92" t="str">
        <f aca="false">Gov_Map!$H433&amp;""</f>
        <v>SRC_MOD_031</v>
      </c>
      <c r="B1223" s="65" t="str">
        <f aca="false">IF(A1223="","（哨兵：Gov_Map 該列無 SRC_ID）",IF(COUNTIF($A$5:$A$794,A1223)&gt;0,"（哨兵：此 SRC_ID 已在上方 SRC 頁，查詢不會命中本列）","（哨兵：SRC 頁查無此 ID）"))</f>
        <v>（哨兵：此 SRC_ID 已在上方 SRC 頁，查詢不會命中本列）</v>
      </c>
      <c r="C1223" s="61" t="n">
        <v>433</v>
      </c>
      <c r="D1223" s="61" t="s">
        <v>10703</v>
      </c>
      <c r="E1223" s="61" t="s">
        <v>10703</v>
      </c>
      <c r="F1223" s="62" t="s">
        <v>814</v>
      </c>
    </row>
    <row r="1224" customFormat="false" ht="15" hidden="false" customHeight="false" outlineLevel="0" collapsed="false">
      <c r="A1224" s="92" t="str">
        <f aca="false">Gov_Map!$H434&amp;""</f>
        <v>SRC_MOD_031</v>
      </c>
      <c r="B1224" s="65" t="str">
        <f aca="false">IF(A1224="","（哨兵：Gov_Map 該列無 SRC_ID）",IF(COUNTIF($A$5:$A$794,A1224)&gt;0,"（哨兵：此 SRC_ID 已在上方 SRC 頁，查詢不會命中本列）","（哨兵：SRC 頁查無此 ID）"))</f>
        <v>（哨兵：此 SRC_ID 已在上方 SRC 頁，查詢不會命中本列）</v>
      </c>
      <c r="C1224" s="61" t="n">
        <v>434</v>
      </c>
      <c r="D1224" s="61" t="s">
        <v>10703</v>
      </c>
      <c r="E1224" s="61" t="s">
        <v>10703</v>
      </c>
      <c r="F1224" s="62" t="s">
        <v>814</v>
      </c>
    </row>
    <row r="1225" customFormat="false" ht="15" hidden="false" customHeight="false" outlineLevel="0" collapsed="false">
      <c r="A1225" s="92" t="str">
        <f aca="false">Gov_Map!$H435&amp;""</f>
        <v>SRC_MOD_039</v>
      </c>
      <c r="B1225" s="65" t="str">
        <f aca="false">IF(A1225="","（哨兵：Gov_Map 該列無 SRC_ID）",IF(COUNTIF($A$5:$A$794,A1225)&gt;0,"（哨兵：此 SRC_ID 已在上方 SRC 頁，查詢不會命中本列）","（哨兵：SRC 頁查無此 ID）"))</f>
        <v>（哨兵：此 SRC_ID 已在上方 SRC 頁，查詢不會命中本列）</v>
      </c>
      <c r="C1225" s="61" t="n">
        <v>435</v>
      </c>
      <c r="D1225" s="61" t="s">
        <v>10703</v>
      </c>
      <c r="E1225" s="61" t="s">
        <v>10703</v>
      </c>
      <c r="F1225" s="62" t="s">
        <v>814</v>
      </c>
    </row>
    <row r="1226" customFormat="false" ht="15" hidden="false" customHeight="false" outlineLevel="0" collapsed="false">
      <c r="A1226" s="92" t="str">
        <f aca="false">Gov_Map!$H436&amp;""</f>
        <v>SRC_MOD_040</v>
      </c>
      <c r="B1226" s="65" t="str">
        <f aca="false">IF(A1226="","（哨兵：Gov_Map 該列無 SRC_ID）",IF(COUNTIF($A$5:$A$794,A1226)&gt;0,"（哨兵：此 SRC_ID 已在上方 SRC 頁，查詢不會命中本列）","（哨兵：SRC 頁查無此 ID）"))</f>
        <v>（哨兵：此 SRC_ID 已在上方 SRC 頁，查詢不會命中本列）</v>
      </c>
      <c r="C1226" s="61" t="n">
        <v>436</v>
      </c>
      <c r="D1226" s="61" t="s">
        <v>10703</v>
      </c>
      <c r="E1226" s="61" t="s">
        <v>10703</v>
      </c>
      <c r="F1226" s="62" t="s">
        <v>814</v>
      </c>
    </row>
    <row r="1227" customFormat="false" ht="15" hidden="false" customHeight="false" outlineLevel="0" collapsed="false">
      <c r="A1227" s="92" t="str">
        <f aca="false">Gov_Map!$H437&amp;""</f>
        <v>SRC_MOD_042</v>
      </c>
      <c r="B1227" s="65" t="str">
        <f aca="false">IF(A1227="","（哨兵：Gov_Map 該列無 SRC_ID）",IF(COUNTIF($A$5:$A$794,A1227)&gt;0,"（哨兵：此 SRC_ID 已在上方 SRC 頁，查詢不會命中本列）","（哨兵：SRC 頁查無此 ID）"))</f>
        <v>（哨兵：此 SRC_ID 已在上方 SRC 頁，查詢不會命中本列）</v>
      </c>
      <c r="C1227" s="61" t="n">
        <v>437</v>
      </c>
      <c r="D1227" s="61" t="s">
        <v>10703</v>
      </c>
      <c r="E1227" s="61" t="s">
        <v>10703</v>
      </c>
      <c r="F1227" s="62" t="s">
        <v>814</v>
      </c>
    </row>
    <row r="1228" customFormat="false" ht="15" hidden="false" customHeight="false" outlineLevel="0" collapsed="false">
      <c r="A1228" s="92" t="str">
        <f aca="false">Gov_Map!$H438&amp;""</f>
        <v>SRC_MOD_036</v>
      </c>
      <c r="B1228" s="65" t="str">
        <f aca="false">IF(A1228="","（哨兵：Gov_Map 該列無 SRC_ID）",IF(COUNTIF($A$5:$A$794,A1228)&gt;0,"（哨兵：此 SRC_ID 已在上方 SRC 頁，查詢不會命中本列）","（哨兵：SRC 頁查無此 ID）"))</f>
        <v>（哨兵：此 SRC_ID 已在上方 SRC 頁，查詢不會命中本列）</v>
      </c>
      <c r="C1228" s="61" t="n">
        <v>438</v>
      </c>
      <c r="D1228" s="61" t="s">
        <v>10703</v>
      </c>
      <c r="E1228" s="61" t="s">
        <v>10703</v>
      </c>
      <c r="F1228" s="62" t="s">
        <v>814</v>
      </c>
    </row>
    <row r="1229" customFormat="false" ht="15" hidden="false" customHeight="false" outlineLevel="0" collapsed="false">
      <c r="A1229" s="92" t="str">
        <f aca="false">Gov_Map!$H439&amp;""</f>
        <v>SRC_MOD_043</v>
      </c>
      <c r="B1229" s="65" t="str">
        <f aca="false">IF(A1229="","（哨兵：Gov_Map 該列無 SRC_ID）",IF(COUNTIF($A$5:$A$794,A1229)&gt;0,"（哨兵：此 SRC_ID 已在上方 SRC 頁，查詢不會命中本列）","（哨兵：SRC 頁查無此 ID）"))</f>
        <v>（哨兵：此 SRC_ID 已在上方 SRC 頁，查詢不會命中本列）</v>
      </c>
      <c r="C1229" s="61" t="n">
        <v>439</v>
      </c>
      <c r="D1229" s="61" t="s">
        <v>10703</v>
      </c>
      <c r="E1229" s="61" t="s">
        <v>10703</v>
      </c>
      <c r="F1229" s="62" t="s">
        <v>814</v>
      </c>
    </row>
    <row r="1230" customFormat="false" ht="15" hidden="false" customHeight="false" outlineLevel="0" collapsed="false">
      <c r="A1230" s="92" t="str">
        <f aca="false">Gov_Map!$H440&amp;""</f>
        <v>—</v>
      </c>
      <c r="B1230" s="65" t="str">
        <f aca="false">IF(A1230="","（哨兵：Gov_Map 該列無 SRC_ID）",IF(COUNTIF($A$5:$A$794,A1230)&gt;0,"（哨兵：此 SRC_ID 已在上方 SRC 頁，查詢不會命中本列）","（哨兵：SRC 頁查無此 ID）"))</f>
        <v>（哨兵：SRC 頁查無此 ID）</v>
      </c>
      <c r="C1230" s="61" t="n">
        <v>440</v>
      </c>
      <c r="D1230" s="61" t="s">
        <v>10703</v>
      </c>
      <c r="E1230" s="61" t="s">
        <v>10703</v>
      </c>
      <c r="F1230" s="62" t="s">
        <v>814</v>
      </c>
    </row>
    <row r="1231" customFormat="false" ht="15" hidden="false" customHeight="false" outlineLevel="0" collapsed="false">
      <c r="A1231" s="92" t="str">
        <f aca="false">Gov_Map!$H441&amp;""</f>
        <v>—</v>
      </c>
      <c r="B1231" s="65" t="str">
        <f aca="false">IF(A1231="","（哨兵：Gov_Map 該列無 SRC_ID）",IF(COUNTIF($A$5:$A$794,A1231)&gt;0,"（哨兵：此 SRC_ID 已在上方 SRC 頁，查詢不會命中本列）","（哨兵：SRC 頁查無此 ID）"))</f>
        <v>（哨兵：SRC 頁查無此 ID）</v>
      </c>
      <c r="C1231" s="61" t="n">
        <v>441</v>
      </c>
      <c r="D1231" s="61" t="s">
        <v>10703</v>
      </c>
      <c r="E1231" s="61" t="s">
        <v>10703</v>
      </c>
      <c r="F1231" s="62" t="s">
        <v>814</v>
      </c>
    </row>
    <row r="1232" customFormat="false" ht="15" hidden="false" customHeight="false" outlineLevel="0" collapsed="false">
      <c r="A1232" s="92" t="str">
        <f aca="false">Gov_Map!$H442&amp;""</f>
        <v>—</v>
      </c>
      <c r="B1232" s="65" t="str">
        <f aca="false">IF(A1232="","（哨兵：Gov_Map 該列無 SRC_ID）",IF(COUNTIF($A$5:$A$794,A1232)&gt;0,"（哨兵：此 SRC_ID 已在上方 SRC 頁，查詢不會命中本列）","（哨兵：SRC 頁查無此 ID）"))</f>
        <v>（哨兵：SRC 頁查無此 ID）</v>
      </c>
      <c r="C1232" s="61" t="n">
        <v>442</v>
      </c>
      <c r="D1232" s="61" t="s">
        <v>10703</v>
      </c>
      <c r="E1232" s="61" t="s">
        <v>10703</v>
      </c>
      <c r="F1232" s="62" t="s">
        <v>814</v>
      </c>
    </row>
    <row r="1233" customFormat="false" ht="15" hidden="false" customHeight="false" outlineLevel="0" collapsed="false">
      <c r="A1233" s="92" t="str">
        <f aca="false">Gov_Map!$H443&amp;""</f>
        <v>—</v>
      </c>
      <c r="B1233" s="65" t="str">
        <f aca="false">IF(A1233="","（哨兵：Gov_Map 該列無 SRC_ID）",IF(COUNTIF($A$5:$A$794,A1233)&gt;0,"（哨兵：此 SRC_ID 已在上方 SRC 頁，查詢不會命中本列）","（哨兵：SRC 頁查無此 ID）"))</f>
        <v>（哨兵：SRC 頁查無此 ID）</v>
      </c>
      <c r="C1233" s="61" t="n">
        <v>443</v>
      </c>
      <c r="D1233" s="61" t="s">
        <v>10703</v>
      </c>
      <c r="E1233" s="61" t="s">
        <v>10703</v>
      </c>
      <c r="F1233" s="62" t="s">
        <v>814</v>
      </c>
    </row>
    <row r="1234" customFormat="false" ht="15" hidden="false" customHeight="false" outlineLevel="0" collapsed="false">
      <c r="A1234" s="92" t="str">
        <f aca="false">Gov_Map!$H444&amp;""</f>
        <v>—</v>
      </c>
      <c r="B1234" s="65" t="str">
        <f aca="false">IF(A1234="","（哨兵：Gov_Map 該列無 SRC_ID）",IF(COUNTIF($A$5:$A$794,A1234)&gt;0,"（哨兵：此 SRC_ID 已在上方 SRC 頁，查詢不會命中本列）","（哨兵：SRC 頁查無此 ID）"))</f>
        <v>（哨兵：SRC 頁查無此 ID）</v>
      </c>
      <c r="C1234" s="61" t="n">
        <v>444</v>
      </c>
      <c r="D1234" s="61" t="s">
        <v>10703</v>
      </c>
      <c r="E1234" s="61" t="s">
        <v>10703</v>
      </c>
      <c r="F1234" s="62" t="s">
        <v>814</v>
      </c>
    </row>
    <row r="1235" customFormat="false" ht="15" hidden="false" customHeight="false" outlineLevel="0" collapsed="false">
      <c r="A1235" s="92" t="str">
        <f aca="false">Gov_Map!$H445&amp;""</f>
        <v>SRC_PRC_045</v>
      </c>
      <c r="B1235" s="65" t="str">
        <f aca="false">IF(A1235="","（哨兵：Gov_Map 該列無 SRC_ID）",IF(COUNTIF($A$5:$A$794,A1235)&gt;0,"（哨兵：此 SRC_ID 已在上方 SRC 頁，查詢不會命中本列）","（哨兵：SRC 頁查無此 ID）"))</f>
        <v>（哨兵：此 SRC_ID 已在上方 SRC 頁，查詢不會命中本列）</v>
      </c>
      <c r="C1235" s="61" t="n">
        <v>445</v>
      </c>
      <c r="D1235" s="61" t="s">
        <v>10703</v>
      </c>
      <c r="E1235" s="61" t="s">
        <v>10703</v>
      </c>
      <c r="F1235" s="62" t="s">
        <v>814</v>
      </c>
    </row>
    <row r="1236" customFormat="false" ht="15" hidden="false" customHeight="false" outlineLevel="0" collapsed="false">
      <c r="A1236" s="92" t="str">
        <f aca="false">Gov_Map!$H446&amp;""</f>
        <v>SRC_PRC_045</v>
      </c>
      <c r="B1236" s="65" t="str">
        <f aca="false">IF(A1236="","（哨兵：Gov_Map 該列無 SRC_ID）",IF(COUNTIF($A$5:$A$794,A1236)&gt;0,"（哨兵：此 SRC_ID 已在上方 SRC 頁，查詢不會命中本列）","（哨兵：SRC 頁查無此 ID）"))</f>
        <v>（哨兵：此 SRC_ID 已在上方 SRC 頁，查詢不會命中本列）</v>
      </c>
      <c r="C1236" s="61" t="n">
        <v>446</v>
      </c>
      <c r="D1236" s="61" t="s">
        <v>10703</v>
      </c>
      <c r="E1236" s="61" t="s">
        <v>10703</v>
      </c>
      <c r="F1236" s="62" t="s">
        <v>814</v>
      </c>
    </row>
    <row r="1237" customFormat="false" ht="15" hidden="false" customHeight="false" outlineLevel="0" collapsed="false">
      <c r="A1237" s="92" t="str">
        <f aca="false">Gov_Map!$H447&amp;""</f>
        <v>SRC_DEM_046</v>
      </c>
      <c r="B1237" s="65" t="str">
        <f aca="false">IF(A1237="","（哨兵：Gov_Map 該列無 SRC_ID）",IF(COUNTIF($A$5:$A$794,A1237)&gt;0,"（哨兵：此 SRC_ID 已在上方 SRC 頁，查詢不會命中本列）","（哨兵：SRC 頁查無此 ID）"))</f>
        <v>（哨兵：此 SRC_ID 已在上方 SRC 頁，查詢不會命中本列）</v>
      </c>
      <c r="C1237" s="61" t="n">
        <v>447</v>
      </c>
      <c r="D1237" s="61" t="s">
        <v>10703</v>
      </c>
      <c r="E1237" s="61" t="s">
        <v>10703</v>
      </c>
      <c r="F1237" s="62" t="s">
        <v>814</v>
      </c>
    </row>
    <row r="1238" customFormat="false" ht="15" hidden="false" customHeight="false" outlineLevel="0" collapsed="false">
      <c r="A1238" s="92" t="str">
        <f aca="false">Gov_Map!$H448&amp;""</f>
        <v>—</v>
      </c>
      <c r="B1238" s="65" t="str">
        <f aca="false">IF(A1238="","（哨兵：Gov_Map 該列無 SRC_ID）",IF(COUNTIF($A$5:$A$794,A1238)&gt;0,"（哨兵：此 SRC_ID 已在上方 SRC 頁，查詢不會命中本列）","（哨兵：SRC 頁查無此 ID）"))</f>
        <v>（哨兵：SRC 頁查無此 ID）</v>
      </c>
      <c r="C1238" s="61" t="n">
        <v>448</v>
      </c>
      <c r="D1238" s="61" t="s">
        <v>10703</v>
      </c>
      <c r="E1238" s="61" t="s">
        <v>10703</v>
      </c>
      <c r="F1238" s="62" t="s">
        <v>814</v>
      </c>
    </row>
    <row r="1239" customFormat="false" ht="15" hidden="false" customHeight="false" outlineLevel="0" collapsed="false">
      <c r="A1239" s="92" t="str">
        <f aca="false">Gov_Map!$H449&amp;""</f>
        <v>—</v>
      </c>
      <c r="B1239" s="65" t="str">
        <f aca="false">IF(A1239="","（哨兵：Gov_Map 該列無 SRC_ID）",IF(COUNTIF($A$5:$A$794,A1239)&gt;0,"（哨兵：此 SRC_ID 已在上方 SRC 頁，查詢不會命中本列）","（哨兵：SRC 頁查無此 ID）"))</f>
        <v>（哨兵：SRC 頁查無此 ID）</v>
      </c>
      <c r="C1239" s="61" t="n">
        <v>449</v>
      </c>
      <c r="D1239" s="61" t="s">
        <v>10703</v>
      </c>
      <c r="E1239" s="61" t="s">
        <v>10703</v>
      </c>
      <c r="F1239" s="62" t="s">
        <v>814</v>
      </c>
    </row>
    <row r="1240" customFormat="false" ht="15" hidden="false" customHeight="false" outlineLevel="0" collapsed="false">
      <c r="A1240" s="92" t="str">
        <f aca="false">Gov_Map!$H450&amp;""</f>
        <v>—</v>
      </c>
      <c r="B1240" s="65" t="str">
        <f aca="false">IF(A1240="","（哨兵：Gov_Map 該列無 SRC_ID）",IF(COUNTIF($A$5:$A$794,A1240)&gt;0,"（哨兵：此 SRC_ID 已在上方 SRC 頁，查詢不會命中本列）","（哨兵：SRC 頁查無此 ID）"))</f>
        <v>（哨兵：SRC 頁查無此 ID）</v>
      </c>
      <c r="C1240" s="61" t="n">
        <v>450</v>
      </c>
      <c r="D1240" s="61" t="s">
        <v>10703</v>
      </c>
      <c r="E1240" s="61" t="s">
        <v>10703</v>
      </c>
      <c r="F1240" s="62" t="s">
        <v>814</v>
      </c>
    </row>
    <row r="1241" customFormat="false" ht="15" hidden="false" customHeight="false" outlineLevel="0" collapsed="false">
      <c r="A1241" s="92" t="str">
        <f aca="false">Gov_Map!$H451&amp;""</f>
        <v>—</v>
      </c>
      <c r="B1241" s="65" t="str">
        <f aca="false">IF(A1241="","（哨兵：Gov_Map 該列無 SRC_ID）",IF(COUNTIF($A$5:$A$794,A1241)&gt;0,"（哨兵：此 SRC_ID 已在上方 SRC 頁，查詢不會命中本列）","（哨兵：SRC 頁查無此 ID）"))</f>
        <v>（哨兵：SRC 頁查無此 ID）</v>
      </c>
      <c r="C1241" s="61" t="n">
        <v>451</v>
      </c>
      <c r="D1241" s="61" t="s">
        <v>10703</v>
      </c>
      <c r="E1241" s="61" t="s">
        <v>10703</v>
      </c>
      <c r="F1241" s="62" t="s">
        <v>814</v>
      </c>
    </row>
    <row r="1242" customFormat="false" ht="15" hidden="false" customHeight="false" outlineLevel="0" collapsed="false">
      <c r="A1242" s="92" t="str">
        <f aca="false">Gov_Map!$H452&amp;""</f>
        <v>—</v>
      </c>
      <c r="B1242" s="65" t="str">
        <f aca="false">IF(A1242="","（哨兵：Gov_Map 該列無 SRC_ID）",IF(COUNTIF($A$5:$A$794,A1242)&gt;0,"（哨兵：此 SRC_ID 已在上方 SRC 頁，查詢不會命中本列）","（哨兵：SRC 頁查無此 ID）"))</f>
        <v>（哨兵：SRC 頁查無此 ID）</v>
      </c>
      <c r="C1242" s="61" t="n">
        <v>452</v>
      </c>
      <c r="D1242" s="61" t="s">
        <v>10703</v>
      </c>
      <c r="E1242" s="61" t="s">
        <v>10703</v>
      </c>
      <c r="F1242" s="62" t="s">
        <v>814</v>
      </c>
    </row>
    <row r="1243" customFormat="false" ht="15" hidden="false" customHeight="false" outlineLevel="0" collapsed="false">
      <c r="A1243" s="92" t="str">
        <f aca="false">Gov_Map!$H453&amp;""</f>
        <v>—</v>
      </c>
      <c r="B1243" s="65" t="str">
        <f aca="false">IF(A1243="","（哨兵：Gov_Map 該列無 SRC_ID）",IF(COUNTIF($A$5:$A$794,A1243)&gt;0,"（哨兵：此 SRC_ID 已在上方 SRC 頁，查詢不會命中本列）","（哨兵：SRC 頁查無此 ID）"))</f>
        <v>（哨兵：SRC 頁查無此 ID）</v>
      </c>
      <c r="C1243" s="61" t="n">
        <v>453</v>
      </c>
      <c r="D1243" s="61" t="s">
        <v>10703</v>
      </c>
      <c r="E1243" s="61" t="s">
        <v>10703</v>
      </c>
      <c r="F1243" s="62" t="s">
        <v>814</v>
      </c>
    </row>
    <row r="1244" customFormat="false" ht="15" hidden="false" customHeight="false" outlineLevel="0" collapsed="false">
      <c r="A1244" s="92" t="str">
        <f aca="false">Gov_Map!$H454&amp;""</f>
        <v>—</v>
      </c>
      <c r="B1244" s="65" t="str">
        <f aca="false">IF(A1244="","（哨兵：Gov_Map 該列無 SRC_ID）",IF(COUNTIF($A$5:$A$794,A1244)&gt;0,"（哨兵：此 SRC_ID 已在上方 SRC 頁，查詢不會命中本列）","（哨兵：SRC 頁查無此 ID）"))</f>
        <v>（哨兵：SRC 頁查無此 ID）</v>
      </c>
      <c r="C1244" s="61" t="n">
        <v>454</v>
      </c>
      <c r="D1244" s="61" t="s">
        <v>10703</v>
      </c>
      <c r="E1244" s="61" t="s">
        <v>10703</v>
      </c>
      <c r="F1244" s="62" t="s">
        <v>814</v>
      </c>
    </row>
    <row r="1245" customFormat="false" ht="15" hidden="false" customHeight="false" outlineLevel="0" collapsed="false">
      <c r="A1245" s="92" t="str">
        <f aca="false">Gov_Map!$H455&amp;""</f>
        <v>—</v>
      </c>
      <c r="B1245" s="65" t="str">
        <f aca="false">IF(A1245="","（哨兵：Gov_Map 該列無 SRC_ID）",IF(COUNTIF($A$5:$A$794,A1245)&gt;0,"（哨兵：此 SRC_ID 已在上方 SRC 頁，查詢不會命中本列）","（哨兵：SRC 頁查無此 ID）"))</f>
        <v>（哨兵：SRC 頁查無此 ID）</v>
      </c>
      <c r="C1245" s="61" t="n">
        <v>455</v>
      </c>
      <c r="D1245" s="61" t="s">
        <v>10703</v>
      </c>
      <c r="E1245" s="61" t="s">
        <v>10703</v>
      </c>
      <c r="F1245" s="62" t="s">
        <v>814</v>
      </c>
    </row>
    <row r="1246" customFormat="false" ht="15" hidden="false" customHeight="false" outlineLevel="0" collapsed="false">
      <c r="A1246" s="92" t="str">
        <f aca="false">Gov_Map!$H456&amp;""</f>
        <v>—</v>
      </c>
      <c r="B1246" s="65" t="str">
        <f aca="false">IF(A1246="","（哨兵：Gov_Map 該列無 SRC_ID）",IF(COUNTIF($A$5:$A$794,A1246)&gt;0,"（哨兵：此 SRC_ID 已在上方 SRC 頁，查詢不會命中本列）","（哨兵：SRC 頁查無此 ID）"))</f>
        <v>（哨兵：SRC 頁查無此 ID）</v>
      </c>
      <c r="C1246" s="61" t="n">
        <v>456</v>
      </c>
      <c r="D1246" s="61" t="s">
        <v>10703</v>
      </c>
      <c r="E1246" s="61" t="s">
        <v>10703</v>
      </c>
      <c r="F1246" s="62" t="s">
        <v>814</v>
      </c>
    </row>
    <row r="1247" customFormat="false" ht="15" hidden="false" customHeight="false" outlineLevel="0" collapsed="false">
      <c r="A1247" s="92" t="str">
        <f aca="false">Gov_Map!$H457&amp;""</f>
        <v>SRC_DEM_004</v>
      </c>
      <c r="B1247" s="65" t="str">
        <f aca="false">IF(A1247="","（哨兵：Gov_Map 該列無 SRC_ID）",IF(COUNTIF($A$5:$A$794,A1247)&gt;0,"（哨兵：此 SRC_ID 已在上方 SRC 頁，查詢不會命中本列）","（哨兵：SRC 頁查無此 ID）"))</f>
        <v>（哨兵：此 SRC_ID 已在上方 SRC 頁，查詢不會命中本列）</v>
      </c>
      <c r="C1247" s="61" t="n">
        <v>457</v>
      </c>
      <c r="D1247" s="61" t="s">
        <v>10703</v>
      </c>
      <c r="E1247" s="61" t="s">
        <v>10703</v>
      </c>
      <c r="F1247" s="62" t="s">
        <v>814</v>
      </c>
    </row>
    <row r="1248" customFormat="false" ht="15" hidden="false" customHeight="false" outlineLevel="0" collapsed="false">
      <c r="A1248" s="92" t="str">
        <f aca="false">Gov_Map!$H458&amp;""</f>
        <v>—</v>
      </c>
      <c r="B1248" s="65" t="str">
        <f aca="false">IF(A1248="","（哨兵：Gov_Map 該列無 SRC_ID）",IF(COUNTIF($A$5:$A$794,A1248)&gt;0,"（哨兵：此 SRC_ID 已在上方 SRC 頁，查詢不會命中本列）","（哨兵：SRC 頁查無此 ID）"))</f>
        <v>（哨兵：SRC 頁查無此 ID）</v>
      </c>
      <c r="C1248" s="61" t="n">
        <v>458</v>
      </c>
      <c r="D1248" s="61" t="s">
        <v>10703</v>
      </c>
      <c r="E1248" s="61" t="s">
        <v>10703</v>
      </c>
      <c r="F1248" s="62" t="s">
        <v>814</v>
      </c>
    </row>
    <row r="1249" customFormat="false" ht="15" hidden="false" customHeight="false" outlineLevel="0" collapsed="false">
      <c r="A1249" s="92" t="str">
        <f aca="false">Gov_Map!$H459&amp;""</f>
        <v>SRC_DEM_005</v>
      </c>
      <c r="B1249" s="65" t="str">
        <f aca="false">IF(A1249="","（哨兵：Gov_Map 該列無 SRC_ID）",IF(COUNTIF($A$5:$A$794,A1249)&gt;0,"（哨兵：此 SRC_ID 已在上方 SRC 頁，查詢不會命中本列）","（哨兵：SRC 頁查無此 ID）"))</f>
        <v>（哨兵：此 SRC_ID 已在上方 SRC 頁，查詢不會命中本列）</v>
      </c>
      <c r="C1249" s="61" t="n">
        <v>459</v>
      </c>
      <c r="D1249" s="61" t="s">
        <v>10703</v>
      </c>
      <c r="E1249" s="61" t="s">
        <v>10703</v>
      </c>
      <c r="F1249" s="62" t="s">
        <v>814</v>
      </c>
    </row>
    <row r="1250" customFormat="false" ht="15" hidden="false" customHeight="false" outlineLevel="0" collapsed="false">
      <c r="A1250" s="92" t="str">
        <f aca="false">Gov_Map!$H460&amp;""</f>
        <v>—</v>
      </c>
      <c r="B1250" s="65" t="str">
        <f aca="false">IF(A1250="","（哨兵：Gov_Map 該列無 SRC_ID）",IF(COUNTIF($A$5:$A$794,A1250)&gt;0,"（哨兵：此 SRC_ID 已在上方 SRC 頁，查詢不會命中本列）","（哨兵：SRC 頁查無此 ID）"))</f>
        <v>（哨兵：SRC 頁查無此 ID）</v>
      </c>
      <c r="C1250" s="61" t="n">
        <v>460</v>
      </c>
      <c r="D1250" s="61" t="s">
        <v>10703</v>
      </c>
      <c r="E1250" s="61" t="s">
        <v>10703</v>
      </c>
      <c r="F1250" s="62" t="s">
        <v>814</v>
      </c>
    </row>
    <row r="1251" customFormat="false" ht="15" hidden="false" customHeight="false" outlineLevel="0" collapsed="false">
      <c r="A1251" s="92" t="str">
        <f aca="false">Gov_Map!$H461&amp;""</f>
        <v>—</v>
      </c>
      <c r="B1251" s="65" t="str">
        <f aca="false">IF(A1251="","（哨兵：Gov_Map 該列無 SRC_ID）",IF(COUNTIF($A$5:$A$794,A1251)&gt;0,"（哨兵：此 SRC_ID 已在上方 SRC 頁，查詢不會命中本列）","（哨兵：SRC 頁查無此 ID）"))</f>
        <v>（哨兵：SRC 頁查無此 ID）</v>
      </c>
      <c r="C1251" s="61" t="n">
        <v>461</v>
      </c>
      <c r="D1251" s="61" t="s">
        <v>10703</v>
      </c>
      <c r="E1251" s="61" t="s">
        <v>10703</v>
      </c>
      <c r="F1251" s="62" t="s">
        <v>814</v>
      </c>
    </row>
    <row r="1252" customFormat="false" ht="15" hidden="false" customHeight="false" outlineLevel="0" collapsed="false">
      <c r="A1252" s="92" t="str">
        <f aca="false">Gov_Map!$H462&amp;""</f>
        <v>—</v>
      </c>
      <c r="B1252" s="65" t="str">
        <f aca="false">IF(A1252="","（哨兵：Gov_Map 該列無 SRC_ID）",IF(COUNTIF($A$5:$A$794,A1252)&gt;0,"（哨兵：此 SRC_ID 已在上方 SRC 頁，查詢不會命中本列）","（哨兵：SRC 頁查無此 ID）"))</f>
        <v>（哨兵：SRC 頁查無此 ID）</v>
      </c>
      <c r="C1252" s="61" t="n">
        <v>462</v>
      </c>
      <c r="D1252" s="61" t="s">
        <v>10703</v>
      </c>
      <c r="E1252" s="61" t="s">
        <v>10703</v>
      </c>
      <c r="F1252" s="62" t="s">
        <v>814</v>
      </c>
    </row>
    <row r="1253" customFormat="false" ht="15" hidden="false" customHeight="false" outlineLevel="0" collapsed="false">
      <c r="A1253" s="92" t="str">
        <f aca="false">Gov_Map!$H463&amp;""</f>
        <v>—</v>
      </c>
      <c r="B1253" s="65" t="str">
        <f aca="false">IF(A1253="","（哨兵：Gov_Map 該列無 SRC_ID）",IF(COUNTIF($A$5:$A$794,A1253)&gt;0,"（哨兵：此 SRC_ID 已在上方 SRC 頁，查詢不會命中本列）","（哨兵：SRC 頁查無此 ID）"))</f>
        <v>（哨兵：SRC 頁查無此 ID）</v>
      </c>
      <c r="C1253" s="61" t="n">
        <v>463</v>
      </c>
      <c r="D1253" s="61" t="s">
        <v>10703</v>
      </c>
      <c r="E1253" s="61" t="s">
        <v>10703</v>
      </c>
      <c r="F1253" s="62" t="s">
        <v>814</v>
      </c>
    </row>
    <row r="1254" customFormat="false" ht="15" hidden="false" customHeight="false" outlineLevel="0" collapsed="false">
      <c r="A1254" s="92" t="str">
        <f aca="false">Gov_Map!$H464&amp;""</f>
        <v>—</v>
      </c>
      <c r="B1254" s="65" t="str">
        <f aca="false">IF(A1254="","（哨兵：Gov_Map 該列無 SRC_ID）",IF(COUNTIF($A$5:$A$794,A1254)&gt;0,"（哨兵：此 SRC_ID 已在上方 SRC 頁，查詢不會命中本列）","（哨兵：SRC 頁查無此 ID）"))</f>
        <v>（哨兵：SRC 頁查無此 ID）</v>
      </c>
      <c r="C1254" s="61" t="n">
        <v>464</v>
      </c>
      <c r="D1254" s="61" t="s">
        <v>10703</v>
      </c>
      <c r="E1254" s="61" t="s">
        <v>10703</v>
      </c>
      <c r="F1254" s="62" t="s">
        <v>814</v>
      </c>
    </row>
    <row r="1255" customFormat="false" ht="15" hidden="false" customHeight="false" outlineLevel="0" collapsed="false">
      <c r="A1255" s="92" t="str">
        <f aca="false">Gov_Map!$H465&amp;""</f>
        <v>—</v>
      </c>
      <c r="B1255" s="65" t="str">
        <f aca="false">IF(A1255="","（哨兵：Gov_Map 該列無 SRC_ID）",IF(COUNTIF($A$5:$A$794,A1255)&gt;0,"（哨兵：此 SRC_ID 已在上方 SRC 頁，查詢不會命中本列）","（哨兵：SRC 頁查無此 ID）"))</f>
        <v>（哨兵：SRC 頁查無此 ID）</v>
      </c>
      <c r="C1255" s="61" t="n">
        <v>465</v>
      </c>
      <c r="D1255" s="61" t="s">
        <v>10703</v>
      </c>
      <c r="E1255" s="61" t="s">
        <v>10703</v>
      </c>
      <c r="F1255" s="62" t="s">
        <v>814</v>
      </c>
    </row>
    <row r="1256" customFormat="false" ht="15" hidden="false" customHeight="false" outlineLevel="0" collapsed="false">
      <c r="A1256" s="92" t="str">
        <f aca="false">Gov_Map!$H466&amp;""</f>
        <v>—</v>
      </c>
      <c r="B1256" s="65" t="str">
        <f aca="false">IF(A1256="","（哨兵：Gov_Map 該列無 SRC_ID）",IF(COUNTIF($A$5:$A$794,A1256)&gt;0,"（哨兵：此 SRC_ID 已在上方 SRC 頁，查詢不會命中本列）","（哨兵：SRC 頁查無此 ID）"))</f>
        <v>（哨兵：SRC 頁查無此 ID）</v>
      </c>
      <c r="C1256" s="61" t="n">
        <v>466</v>
      </c>
      <c r="D1256" s="61" t="s">
        <v>10703</v>
      </c>
      <c r="E1256" s="61" t="s">
        <v>10703</v>
      </c>
      <c r="F1256" s="62" t="s">
        <v>814</v>
      </c>
    </row>
    <row r="1257" customFormat="false" ht="15" hidden="false" customHeight="false" outlineLevel="0" collapsed="false">
      <c r="A1257" s="92" t="str">
        <f aca="false">Gov_Map!$H467&amp;""</f>
        <v>—</v>
      </c>
      <c r="B1257" s="65" t="str">
        <f aca="false">IF(A1257="","（哨兵：Gov_Map 該列無 SRC_ID）",IF(COUNTIF($A$5:$A$794,A1257)&gt;0,"（哨兵：此 SRC_ID 已在上方 SRC 頁，查詢不會命中本列）","（哨兵：SRC 頁查無此 ID）"))</f>
        <v>（哨兵：SRC 頁查無此 ID）</v>
      </c>
      <c r="C1257" s="61" t="n">
        <v>467</v>
      </c>
      <c r="D1257" s="61" t="s">
        <v>10703</v>
      </c>
      <c r="E1257" s="61" t="s">
        <v>10703</v>
      </c>
      <c r="F1257" s="62" t="s">
        <v>814</v>
      </c>
    </row>
    <row r="1258" customFormat="false" ht="15" hidden="false" customHeight="false" outlineLevel="0" collapsed="false">
      <c r="A1258" s="92" t="str">
        <f aca="false">Gov_Map!$H468&amp;""</f>
        <v>—</v>
      </c>
      <c r="B1258" s="65" t="str">
        <f aca="false">IF(A1258="","（哨兵：Gov_Map 該列無 SRC_ID）",IF(COUNTIF($A$5:$A$794,A1258)&gt;0,"（哨兵：此 SRC_ID 已在上方 SRC 頁，查詢不會命中本列）","（哨兵：SRC 頁查無此 ID）"))</f>
        <v>（哨兵：SRC 頁查無此 ID）</v>
      </c>
      <c r="C1258" s="61" t="n">
        <v>468</v>
      </c>
      <c r="D1258" s="61" t="s">
        <v>10703</v>
      </c>
      <c r="E1258" s="61" t="s">
        <v>10703</v>
      </c>
      <c r="F1258" s="62" t="s">
        <v>814</v>
      </c>
    </row>
    <row r="1259" customFormat="false" ht="15" hidden="false" customHeight="false" outlineLevel="0" collapsed="false">
      <c r="A1259" s="92" t="str">
        <f aca="false">Gov_Map!$H469&amp;""</f>
        <v>—</v>
      </c>
      <c r="B1259" s="65" t="str">
        <f aca="false">IF(A1259="","（哨兵：Gov_Map 該列無 SRC_ID）",IF(COUNTIF($A$5:$A$794,A1259)&gt;0,"（哨兵：此 SRC_ID 已在上方 SRC 頁，查詢不會命中本列）","（哨兵：SRC 頁查無此 ID）"))</f>
        <v>（哨兵：SRC 頁查無此 ID）</v>
      </c>
      <c r="C1259" s="61" t="n">
        <v>469</v>
      </c>
      <c r="D1259" s="61" t="s">
        <v>10703</v>
      </c>
      <c r="E1259" s="61" t="s">
        <v>10703</v>
      </c>
      <c r="F1259" s="62" t="s">
        <v>814</v>
      </c>
    </row>
    <row r="1260" customFormat="false" ht="15" hidden="false" customHeight="false" outlineLevel="0" collapsed="false">
      <c r="A1260" s="92" t="str">
        <f aca="false">Gov_Map!$H470&amp;""</f>
        <v>—</v>
      </c>
      <c r="B1260" s="65" t="str">
        <f aca="false">IF(A1260="","（哨兵：Gov_Map 該列無 SRC_ID）",IF(COUNTIF($A$5:$A$794,A1260)&gt;0,"（哨兵：此 SRC_ID 已在上方 SRC 頁，查詢不會命中本列）","（哨兵：SRC 頁查無此 ID）"))</f>
        <v>（哨兵：SRC 頁查無此 ID）</v>
      </c>
      <c r="C1260" s="61" t="n">
        <v>470</v>
      </c>
      <c r="D1260" s="61" t="s">
        <v>10703</v>
      </c>
      <c r="E1260" s="61" t="s">
        <v>10703</v>
      </c>
      <c r="F1260" s="62" t="s">
        <v>814</v>
      </c>
    </row>
    <row r="1261" customFormat="false" ht="15" hidden="false" customHeight="false" outlineLevel="0" collapsed="false">
      <c r="A1261" s="92" t="str">
        <f aca="false">Gov_Map!$H471&amp;""</f>
        <v>—</v>
      </c>
      <c r="B1261" s="65" t="str">
        <f aca="false">IF(A1261="","（哨兵：Gov_Map 該列無 SRC_ID）",IF(COUNTIF($A$5:$A$794,A1261)&gt;0,"（哨兵：此 SRC_ID 已在上方 SRC 頁，查詢不會命中本列）","（哨兵：SRC 頁查無此 ID）"))</f>
        <v>（哨兵：SRC 頁查無此 ID）</v>
      </c>
      <c r="C1261" s="61" t="n">
        <v>471</v>
      </c>
      <c r="D1261" s="61" t="s">
        <v>10703</v>
      </c>
      <c r="E1261" s="61" t="s">
        <v>10703</v>
      </c>
      <c r="F1261" s="62" t="s">
        <v>814</v>
      </c>
    </row>
    <row r="1262" customFormat="false" ht="15" hidden="false" customHeight="false" outlineLevel="0" collapsed="false">
      <c r="A1262" s="92" t="str">
        <f aca="false">Gov_Map!$H472&amp;""</f>
        <v>—</v>
      </c>
      <c r="B1262" s="65" t="str">
        <f aca="false">IF(A1262="","（哨兵：Gov_Map 該列無 SRC_ID）",IF(COUNTIF($A$5:$A$794,A1262)&gt;0,"（哨兵：此 SRC_ID 已在上方 SRC 頁，查詢不會命中本列）","（哨兵：SRC 頁查無此 ID）"))</f>
        <v>（哨兵：SRC 頁查無此 ID）</v>
      </c>
      <c r="C1262" s="61" t="n">
        <v>472</v>
      </c>
      <c r="D1262" s="61" t="s">
        <v>10703</v>
      </c>
      <c r="E1262" s="61" t="s">
        <v>10703</v>
      </c>
      <c r="F1262" s="62" t="s">
        <v>814</v>
      </c>
    </row>
    <row r="1263" customFormat="false" ht="15" hidden="false" customHeight="false" outlineLevel="0" collapsed="false">
      <c r="A1263" s="92" t="str">
        <f aca="false">Gov_Map!$H473&amp;""</f>
        <v>—</v>
      </c>
      <c r="B1263" s="65" t="str">
        <f aca="false">IF(A1263="","（哨兵：Gov_Map 該列無 SRC_ID）",IF(COUNTIF($A$5:$A$794,A1263)&gt;0,"（哨兵：此 SRC_ID 已在上方 SRC 頁，查詢不會命中本列）","（哨兵：SRC 頁查無此 ID）"))</f>
        <v>（哨兵：SRC 頁查無此 ID）</v>
      </c>
      <c r="C1263" s="61" t="n">
        <v>473</v>
      </c>
      <c r="D1263" s="61" t="s">
        <v>10703</v>
      </c>
      <c r="E1263" s="61" t="s">
        <v>10703</v>
      </c>
      <c r="F1263" s="62" t="s">
        <v>814</v>
      </c>
    </row>
    <row r="1264" customFormat="false" ht="15" hidden="false" customHeight="false" outlineLevel="0" collapsed="false">
      <c r="A1264" s="92" t="str">
        <f aca="false">Gov_Map!$H474&amp;""</f>
        <v>—</v>
      </c>
      <c r="B1264" s="65" t="str">
        <f aca="false">IF(A1264="","（哨兵：Gov_Map 該列無 SRC_ID）",IF(COUNTIF($A$5:$A$794,A1264)&gt;0,"（哨兵：此 SRC_ID 已在上方 SRC 頁，查詢不會命中本列）","（哨兵：SRC 頁查無此 ID）"))</f>
        <v>（哨兵：SRC 頁查無此 ID）</v>
      </c>
      <c r="C1264" s="61" t="n">
        <v>474</v>
      </c>
      <c r="D1264" s="61" t="s">
        <v>10703</v>
      </c>
      <c r="E1264" s="61" t="s">
        <v>10703</v>
      </c>
      <c r="F1264" s="62" t="s">
        <v>814</v>
      </c>
    </row>
    <row r="1265" customFormat="false" ht="15" hidden="false" customHeight="false" outlineLevel="0" collapsed="false">
      <c r="A1265" s="92" t="str">
        <f aca="false">Gov_Map!$H475&amp;""</f>
        <v>—</v>
      </c>
      <c r="B1265" s="65" t="str">
        <f aca="false">IF(A1265="","（哨兵：Gov_Map 該列無 SRC_ID）",IF(COUNTIF($A$5:$A$794,A1265)&gt;0,"（哨兵：此 SRC_ID 已在上方 SRC 頁，查詢不會命中本列）","（哨兵：SRC 頁查無此 ID）"))</f>
        <v>（哨兵：SRC 頁查無此 ID）</v>
      </c>
      <c r="C1265" s="61" t="n">
        <v>475</v>
      </c>
      <c r="D1265" s="61" t="s">
        <v>10703</v>
      </c>
      <c r="E1265" s="61" t="s">
        <v>10703</v>
      </c>
      <c r="F1265" s="62" t="s">
        <v>814</v>
      </c>
    </row>
    <row r="1266" customFormat="false" ht="15" hidden="false" customHeight="false" outlineLevel="0" collapsed="false">
      <c r="A1266" s="92" t="str">
        <f aca="false">Gov_Map!$H476&amp;""</f>
        <v>—</v>
      </c>
      <c r="B1266" s="65" t="str">
        <f aca="false">IF(A1266="","（哨兵：Gov_Map 該列無 SRC_ID）",IF(COUNTIF($A$5:$A$794,A1266)&gt;0,"（哨兵：此 SRC_ID 已在上方 SRC 頁，查詢不會命中本列）","（哨兵：SRC 頁查無此 ID）"))</f>
        <v>（哨兵：SRC 頁查無此 ID）</v>
      </c>
      <c r="C1266" s="61" t="n">
        <v>476</v>
      </c>
      <c r="D1266" s="61" t="s">
        <v>10703</v>
      </c>
      <c r="E1266" s="61" t="s">
        <v>10703</v>
      </c>
      <c r="F1266" s="62" t="s">
        <v>814</v>
      </c>
    </row>
    <row r="1267" customFormat="false" ht="15" hidden="false" customHeight="false" outlineLevel="0" collapsed="false">
      <c r="A1267" s="92" t="str">
        <f aca="false">Gov_Map!$H477&amp;""</f>
        <v>SRC_PRC_027</v>
      </c>
      <c r="B1267" s="65" t="str">
        <f aca="false">IF(A1267="","（哨兵：Gov_Map 該列無 SRC_ID）",IF(COUNTIF($A$5:$A$794,A1267)&gt;0,"（哨兵：此 SRC_ID 已在上方 SRC 頁，查詢不會命中本列）","（哨兵：SRC 頁查無此 ID）"))</f>
        <v>（哨兵：此 SRC_ID 已在上方 SRC 頁，查詢不會命中本列）</v>
      </c>
      <c r="C1267" s="61" t="n">
        <v>477</v>
      </c>
      <c r="D1267" s="61" t="s">
        <v>10703</v>
      </c>
      <c r="E1267" s="61" t="s">
        <v>10703</v>
      </c>
      <c r="F1267" s="62" t="s">
        <v>814</v>
      </c>
    </row>
    <row r="1268" customFormat="false" ht="15" hidden="false" customHeight="false" outlineLevel="0" collapsed="false">
      <c r="A1268" s="92" t="str">
        <f aca="false">Gov_Map!$H478&amp;""</f>
        <v>—</v>
      </c>
      <c r="B1268" s="65" t="str">
        <f aca="false">IF(A1268="","（哨兵：Gov_Map 該列無 SRC_ID）",IF(COUNTIF($A$5:$A$794,A1268)&gt;0,"（哨兵：此 SRC_ID 已在上方 SRC 頁，查詢不會命中本列）","（哨兵：SRC 頁查無此 ID）"))</f>
        <v>（哨兵：SRC 頁查無此 ID）</v>
      </c>
      <c r="C1268" s="61" t="n">
        <v>478</v>
      </c>
      <c r="D1268" s="61" t="s">
        <v>10703</v>
      </c>
      <c r="E1268" s="61" t="s">
        <v>10703</v>
      </c>
      <c r="F1268" s="62" t="s">
        <v>814</v>
      </c>
    </row>
    <row r="1269" customFormat="false" ht="15" hidden="false" customHeight="false" outlineLevel="0" collapsed="false">
      <c r="A1269" s="92" t="str">
        <f aca="false">Gov_Map!$H479&amp;""</f>
        <v>—</v>
      </c>
      <c r="B1269" s="65" t="str">
        <f aca="false">IF(A1269="","（哨兵：Gov_Map 該列無 SRC_ID）",IF(COUNTIF($A$5:$A$794,A1269)&gt;0,"（哨兵：此 SRC_ID 已在上方 SRC 頁，查詢不會命中本列）","（哨兵：SRC 頁查無此 ID）"))</f>
        <v>（哨兵：SRC 頁查無此 ID）</v>
      </c>
      <c r="C1269" s="61" t="n">
        <v>479</v>
      </c>
      <c r="D1269" s="61" t="s">
        <v>10703</v>
      </c>
      <c r="E1269" s="61" t="s">
        <v>10703</v>
      </c>
      <c r="F1269" s="62" t="s">
        <v>814</v>
      </c>
    </row>
    <row r="1270" customFormat="false" ht="15" hidden="false" customHeight="false" outlineLevel="0" collapsed="false">
      <c r="A1270" s="92" t="str">
        <f aca="false">Gov_Map!$H480&amp;""</f>
        <v>—</v>
      </c>
      <c r="B1270" s="65" t="str">
        <f aca="false">IF(A1270="","（哨兵：Gov_Map 該列無 SRC_ID）",IF(COUNTIF($A$5:$A$794,A1270)&gt;0,"（哨兵：此 SRC_ID 已在上方 SRC 頁，查詢不會命中本列）","（哨兵：SRC 頁查無此 ID）"))</f>
        <v>（哨兵：SRC 頁查無此 ID）</v>
      </c>
      <c r="C1270" s="61" t="n">
        <v>480</v>
      </c>
      <c r="D1270" s="61" t="s">
        <v>10703</v>
      </c>
      <c r="E1270" s="61" t="s">
        <v>10703</v>
      </c>
      <c r="F1270" s="62" t="s">
        <v>814</v>
      </c>
    </row>
    <row r="1271" customFormat="false" ht="15" hidden="false" customHeight="false" outlineLevel="0" collapsed="false">
      <c r="A1271" s="92" t="str">
        <f aca="false">Gov_Map!$H481&amp;""</f>
        <v>SRC_CAP_007</v>
      </c>
      <c r="B1271" s="65" t="str">
        <f aca="false">IF(A1271="","（哨兵：Gov_Map 該列無 SRC_ID）",IF(COUNTIF($A$5:$A$794,A1271)&gt;0,"（哨兵：此 SRC_ID 已在上方 SRC 頁，查詢不會命中本列）","（哨兵：SRC 頁查無此 ID）"))</f>
        <v>（哨兵：此 SRC_ID 已在上方 SRC 頁，查詢不會命中本列）</v>
      </c>
      <c r="C1271" s="61" t="n">
        <v>481</v>
      </c>
      <c r="D1271" s="61" t="s">
        <v>10703</v>
      </c>
      <c r="E1271" s="61" t="s">
        <v>10703</v>
      </c>
      <c r="F1271" s="62" t="s">
        <v>814</v>
      </c>
    </row>
    <row r="1272" customFormat="false" ht="15" hidden="false" customHeight="false" outlineLevel="0" collapsed="false">
      <c r="A1272" s="92" t="str">
        <f aca="false">Gov_Map!$H482&amp;""</f>
        <v>SRC_CAP_006</v>
      </c>
      <c r="B1272" s="65" t="str">
        <f aca="false">IF(A1272="","（哨兵：Gov_Map 該列無 SRC_ID）",IF(COUNTIF($A$5:$A$794,A1272)&gt;0,"（哨兵：此 SRC_ID 已在上方 SRC 頁，查詢不會命中本列）","（哨兵：SRC 頁查無此 ID）"))</f>
        <v>（哨兵：此 SRC_ID 已在上方 SRC 頁，查詢不會命中本列）</v>
      </c>
      <c r="C1272" s="61" t="n">
        <v>482</v>
      </c>
      <c r="D1272" s="61" t="s">
        <v>10703</v>
      </c>
      <c r="E1272" s="61" t="s">
        <v>10703</v>
      </c>
      <c r="F1272" s="62" t="s">
        <v>814</v>
      </c>
    </row>
    <row r="1273" customFormat="false" ht="15" hidden="false" customHeight="false" outlineLevel="0" collapsed="false">
      <c r="A1273" s="92" t="str">
        <f aca="false">Gov_Map!$H483&amp;""</f>
        <v>—</v>
      </c>
      <c r="B1273" s="65" t="str">
        <f aca="false">IF(A1273="","（哨兵：Gov_Map 該列無 SRC_ID）",IF(COUNTIF($A$5:$A$794,A1273)&gt;0,"（哨兵：此 SRC_ID 已在上方 SRC 頁，查詢不會命中本列）","（哨兵：SRC 頁查無此 ID）"))</f>
        <v>（哨兵：SRC 頁查無此 ID）</v>
      </c>
      <c r="C1273" s="61" t="n">
        <v>483</v>
      </c>
      <c r="D1273" s="61" t="s">
        <v>10703</v>
      </c>
      <c r="E1273" s="61" t="s">
        <v>10703</v>
      </c>
      <c r="F1273" s="62" t="s">
        <v>814</v>
      </c>
    </row>
    <row r="1274" customFormat="false" ht="15" hidden="false" customHeight="false" outlineLevel="0" collapsed="false">
      <c r="A1274" s="92" t="str">
        <f aca="false">Gov_Map!$H484&amp;""</f>
        <v>—</v>
      </c>
      <c r="B1274" s="65" t="str">
        <f aca="false">IF(A1274="","（哨兵：Gov_Map 該列無 SRC_ID）",IF(COUNTIF($A$5:$A$794,A1274)&gt;0,"（哨兵：此 SRC_ID 已在上方 SRC 頁，查詢不會命中本列）","（哨兵：SRC 頁查無此 ID）"))</f>
        <v>（哨兵：SRC 頁查無此 ID）</v>
      </c>
      <c r="C1274" s="61" t="n">
        <v>484</v>
      </c>
      <c r="D1274" s="61" t="s">
        <v>10703</v>
      </c>
      <c r="E1274" s="61" t="s">
        <v>10703</v>
      </c>
      <c r="F1274" s="62" t="s">
        <v>814</v>
      </c>
    </row>
    <row r="1275" customFormat="false" ht="15" hidden="false" customHeight="false" outlineLevel="0" collapsed="false">
      <c r="A1275" s="92" t="str">
        <f aca="false">Gov_Map!$H485&amp;""</f>
        <v>—</v>
      </c>
      <c r="B1275" s="65" t="str">
        <f aca="false">IF(A1275="","（哨兵：Gov_Map 該列無 SRC_ID）",IF(COUNTIF($A$5:$A$794,A1275)&gt;0,"（哨兵：此 SRC_ID 已在上方 SRC 頁，查詢不會命中本列）","（哨兵：SRC 頁查無此 ID）"))</f>
        <v>（哨兵：SRC 頁查無此 ID）</v>
      </c>
      <c r="C1275" s="61" t="n">
        <v>485</v>
      </c>
      <c r="D1275" s="61" t="s">
        <v>10703</v>
      </c>
      <c r="E1275" s="61" t="s">
        <v>10703</v>
      </c>
      <c r="F1275" s="62" t="s">
        <v>814</v>
      </c>
    </row>
    <row r="1276" customFormat="false" ht="15" hidden="false" customHeight="false" outlineLevel="0" collapsed="false">
      <c r="A1276" s="92" t="str">
        <f aca="false">Gov_Map!$H486&amp;""</f>
        <v>—</v>
      </c>
      <c r="B1276" s="65" t="str">
        <f aca="false">IF(A1276="","（哨兵：Gov_Map 該列無 SRC_ID）",IF(COUNTIF($A$5:$A$794,A1276)&gt;0,"（哨兵：此 SRC_ID 已在上方 SRC 頁，查詢不會命中本列）","（哨兵：SRC 頁查無此 ID）"))</f>
        <v>（哨兵：SRC 頁查無此 ID）</v>
      </c>
      <c r="C1276" s="61" t="n">
        <v>486</v>
      </c>
      <c r="D1276" s="61" t="s">
        <v>10703</v>
      </c>
      <c r="E1276" s="61" t="s">
        <v>10703</v>
      </c>
      <c r="F1276" s="62" t="s">
        <v>814</v>
      </c>
    </row>
    <row r="1277" customFormat="false" ht="15" hidden="false" customHeight="false" outlineLevel="0" collapsed="false">
      <c r="A1277" s="92" t="str">
        <f aca="false">Gov_Map!$H487&amp;""</f>
        <v>—</v>
      </c>
      <c r="B1277" s="65" t="str">
        <f aca="false">IF(A1277="","（哨兵：Gov_Map 該列無 SRC_ID）",IF(COUNTIF($A$5:$A$794,A1277)&gt;0,"（哨兵：此 SRC_ID 已在上方 SRC 頁，查詢不會命中本列）","（哨兵：SRC 頁查無此 ID）"))</f>
        <v>（哨兵：SRC 頁查無此 ID）</v>
      </c>
      <c r="C1277" s="61" t="n">
        <v>487</v>
      </c>
      <c r="D1277" s="61" t="s">
        <v>10703</v>
      </c>
      <c r="E1277" s="61" t="s">
        <v>10703</v>
      </c>
      <c r="F1277" s="62" t="s">
        <v>814</v>
      </c>
    </row>
    <row r="1278" customFormat="false" ht="15" hidden="false" customHeight="false" outlineLevel="0" collapsed="false">
      <c r="A1278" s="92" t="str">
        <f aca="false">Gov_Map!$H488&amp;""</f>
        <v>—</v>
      </c>
      <c r="B1278" s="65" t="str">
        <f aca="false">IF(A1278="","（哨兵：Gov_Map 該列無 SRC_ID）",IF(COUNTIF($A$5:$A$794,A1278)&gt;0,"（哨兵：此 SRC_ID 已在上方 SRC 頁，查詢不會命中本列）","（哨兵：SRC 頁查無此 ID）"))</f>
        <v>（哨兵：SRC 頁查無此 ID）</v>
      </c>
      <c r="C1278" s="61" t="n">
        <v>488</v>
      </c>
      <c r="D1278" s="61" t="s">
        <v>10703</v>
      </c>
      <c r="E1278" s="61" t="s">
        <v>10703</v>
      </c>
      <c r="F1278" s="62" t="s">
        <v>814</v>
      </c>
    </row>
    <row r="1279" customFormat="false" ht="15" hidden="false" customHeight="false" outlineLevel="0" collapsed="false">
      <c r="A1279" s="92" t="str">
        <f aca="false">Gov_Map!$H489&amp;""</f>
        <v>—</v>
      </c>
      <c r="B1279" s="65" t="str">
        <f aca="false">IF(A1279="","（哨兵：Gov_Map 該列無 SRC_ID）",IF(COUNTIF($A$5:$A$794,A1279)&gt;0,"（哨兵：此 SRC_ID 已在上方 SRC 頁，查詢不會命中本列）","（哨兵：SRC 頁查無此 ID）"))</f>
        <v>（哨兵：SRC 頁查無此 ID）</v>
      </c>
      <c r="C1279" s="61" t="n">
        <v>489</v>
      </c>
      <c r="D1279" s="61" t="s">
        <v>10703</v>
      </c>
      <c r="E1279" s="61" t="s">
        <v>10703</v>
      </c>
      <c r="F1279" s="62" t="s">
        <v>814</v>
      </c>
    </row>
    <row r="1280" customFormat="false" ht="15" hidden="false" customHeight="false" outlineLevel="0" collapsed="false">
      <c r="A1280" s="92" t="str">
        <f aca="false">Gov_Map!$H490&amp;""</f>
        <v>—</v>
      </c>
      <c r="B1280" s="65" t="str">
        <f aca="false">IF(A1280="","（哨兵：Gov_Map 該列無 SRC_ID）",IF(COUNTIF($A$5:$A$794,A1280)&gt;0,"（哨兵：此 SRC_ID 已在上方 SRC 頁，查詢不會命中本列）","（哨兵：SRC 頁查無此 ID）"))</f>
        <v>（哨兵：SRC 頁查無此 ID）</v>
      </c>
      <c r="C1280" s="61" t="n">
        <v>490</v>
      </c>
      <c r="D1280" s="61" t="s">
        <v>10703</v>
      </c>
      <c r="E1280" s="61" t="s">
        <v>10703</v>
      </c>
      <c r="F1280" s="62" t="s">
        <v>814</v>
      </c>
    </row>
    <row r="1281" customFormat="false" ht="15" hidden="false" customHeight="false" outlineLevel="0" collapsed="false">
      <c r="A1281" s="92" t="str">
        <f aca="false">Gov_Map!$H491&amp;""</f>
        <v>—</v>
      </c>
      <c r="B1281" s="65" t="str">
        <f aca="false">IF(A1281="","（哨兵：Gov_Map 該列無 SRC_ID）",IF(COUNTIF($A$5:$A$794,A1281)&gt;0,"（哨兵：此 SRC_ID 已在上方 SRC 頁，查詢不會命中本列）","（哨兵：SRC 頁查無此 ID）"))</f>
        <v>（哨兵：SRC 頁查無此 ID）</v>
      </c>
      <c r="C1281" s="61" t="n">
        <v>491</v>
      </c>
      <c r="D1281" s="61" t="s">
        <v>10703</v>
      </c>
      <c r="E1281" s="61" t="s">
        <v>10703</v>
      </c>
      <c r="F1281" s="62" t="s">
        <v>814</v>
      </c>
    </row>
    <row r="1282" customFormat="false" ht="15" hidden="false" customHeight="false" outlineLevel="0" collapsed="false">
      <c r="A1282" s="92" t="str">
        <f aca="false">Gov_Map!$H492&amp;""</f>
        <v>SRC_HAR_003</v>
      </c>
      <c r="B1282" s="65" t="str">
        <f aca="false">IF(A1282="","（哨兵：Gov_Map 該列無 SRC_ID）",IF(COUNTIF($A$5:$A$794,A1282)&gt;0,"（哨兵：此 SRC_ID 已在上方 SRC 頁，查詢不會命中本列）","（哨兵：SRC 頁查無此 ID）"))</f>
        <v>（哨兵：此 SRC_ID 已在上方 SRC 頁，查詢不會命中本列）</v>
      </c>
      <c r="C1282" s="61" t="n">
        <v>492</v>
      </c>
      <c r="D1282" s="61" t="s">
        <v>10703</v>
      </c>
      <c r="E1282" s="61" t="s">
        <v>10703</v>
      </c>
      <c r="F1282" s="62" t="s">
        <v>814</v>
      </c>
    </row>
    <row r="1283" customFormat="false" ht="15" hidden="false" customHeight="false" outlineLevel="0" collapsed="false">
      <c r="A1283" s="92" t="str">
        <f aca="false">Gov_Map!$H493&amp;""</f>
        <v>—</v>
      </c>
      <c r="B1283" s="65" t="str">
        <f aca="false">IF(A1283="","（哨兵：Gov_Map 該列無 SRC_ID）",IF(COUNTIF($A$5:$A$794,A1283)&gt;0,"（哨兵：此 SRC_ID 已在上方 SRC 頁，查詢不會命中本列）","（哨兵：SRC 頁查無此 ID）"))</f>
        <v>（哨兵：SRC 頁查無此 ID）</v>
      </c>
      <c r="C1283" s="61" t="n">
        <v>493</v>
      </c>
      <c r="D1283" s="61" t="s">
        <v>10703</v>
      </c>
      <c r="E1283" s="61" t="s">
        <v>10703</v>
      </c>
      <c r="F1283" s="62" t="s">
        <v>814</v>
      </c>
    </row>
    <row r="1284" customFormat="false" ht="15" hidden="false" customHeight="false" outlineLevel="0" collapsed="false">
      <c r="A1284" s="92" t="str">
        <f aca="false">Gov_Map!$H494&amp;""</f>
        <v>—</v>
      </c>
      <c r="B1284" s="65" t="str">
        <f aca="false">IF(A1284="","（哨兵：Gov_Map 該列無 SRC_ID）",IF(COUNTIF($A$5:$A$794,A1284)&gt;0,"（哨兵：此 SRC_ID 已在上方 SRC 頁，查詢不會命中本列）","（哨兵：SRC 頁查無此 ID）"))</f>
        <v>（哨兵：SRC 頁查無此 ID）</v>
      </c>
      <c r="C1284" s="61" t="n">
        <v>494</v>
      </c>
      <c r="D1284" s="61" t="s">
        <v>10703</v>
      </c>
      <c r="E1284" s="61" t="s">
        <v>10703</v>
      </c>
      <c r="F1284" s="62" t="s">
        <v>814</v>
      </c>
    </row>
    <row r="1285" customFormat="false" ht="15" hidden="false" customHeight="false" outlineLevel="0" collapsed="false">
      <c r="A1285" s="92" t="str">
        <f aca="false">Gov_Map!$H495&amp;""</f>
        <v>—</v>
      </c>
      <c r="B1285" s="65" t="str">
        <f aca="false">IF(A1285="","（哨兵：Gov_Map 該列無 SRC_ID）",IF(COUNTIF($A$5:$A$794,A1285)&gt;0,"（哨兵：此 SRC_ID 已在上方 SRC 頁，查詢不會命中本列）","（哨兵：SRC 頁查無此 ID）"))</f>
        <v>（哨兵：SRC 頁查無此 ID）</v>
      </c>
      <c r="C1285" s="61" t="n">
        <v>495</v>
      </c>
      <c r="D1285" s="61" t="s">
        <v>10703</v>
      </c>
      <c r="E1285" s="61" t="s">
        <v>10703</v>
      </c>
      <c r="F1285" s="62" t="s">
        <v>814</v>
      </c>
    </row>
    <row r="1286" customFormat="false" ht="15" hidden="false" customHeight="false" outlineLevel="0" collapsed="false">
      <c r="A1286" s="92" t="str">
        <f aca="false">Gov_Map!$H496&amp;""</f>
        <v>—</v>
      </c>
      <c r="B1286" s="65" t="str">
        <f aca="false">IF(A1286="","（哨兵：Gov_Map 該列無 SRC_ID）",IF(COUNTIF($A$5:$A$794,A1286)&gt;0,"（哨兵：此 SRC_ID 已在上方 SRC 頁，查詢不會命中本列）","（哨兵：SRC 頁查無此 ID）"))</f>
        <v>（哨兵：SRC 頁查無此 ID）</v>
      </c>
      <c r="C1286" s="61" t="n">
        <v>496</v>
      </c>
      <c r="D1286" s="61" t="s">
        <v>10703</v>
      </c>
      <c r="E1286" s="61" t="s">
        <v>10703</v>
      </c>
      <c r="F1286" s="62" t="s">
        <v>814</v>
      </c>
    </row>
    <row r="1287" customFormat="false" ht="15" hidden="false" customHeight="false" outlineLevel="0" collapsed="false">
      <c r="A1287" s="92" t="str">
        <f aca="false">Gov_Map!$H497&amp;""</f>
        <v>—</v>
      </c>
      <c r="B1287" s="65" t="str">
        <f aca="false">IF(A1287="","（哨兵：Gov_Map 該列無 SRC_ID）",IF(COUNTIF($A$5:$A$794,A1287)&gt;0,"（哨兵：此 SRC_ID 已在上方 SRC 頁，查詢不會命中本列）","（哨兵：SRC 頁查無此 ID）"))</f>
        <v>（哨兵：SRC 頁查無此 ID）</v>
      </c>
      <c r="C1287" s="61" t="n">
        <v>497</v>
      </c>
      <c r="D1287" s="61" t="s">
        <v>10703</v>
      </c>
      <c r="E1287" s="61" t="s">
        <v>10703</v>
      </c>
      <c r="F1287" s="62" t="s">
        <v>814</v>
      </c>
    </row>
    <row r="1288" customFormat="false" ht="15" hidden="false" customHeight="false" outlineLevel="0" collapsed="false">
      <c r="A1288" s="92" t="str">
        <f aca="false">Gov_Map!$H498&amp;""</f>
        <v>—</v>
      </c>
      <c r="B1288" s="65" t="str">
        <f aca="false">IF(A1288="","（哨兵：Gov_Map 該列無 SRC_ID）",IF(COUNTIF($A$5:$A$794,A1288)&gt;0,"（哨兵：此 SRC_ID 已在上方 SRC 頁，查詢不會命中本列）","（哨兵：SRC 頁查無此 ID）"))</f>
        <v>（哨兵：SRC 頁查無此 ID）</v>
      </c>
      <c r="C1288" s="61" t="n">
        <v>498</v>
      </c>
      <c r="D1288" s="61" t="s">
        <v>10703</v>
      </c>
      <c r="E1288" s="61" t="s">
        <v>10703</v>
      </c>
      <c r="F1288" s="62" t="s">
        <v>814</v>
      </c>
    </row>
    <row r="1289" customFormat="false" ht="15" hidden="false" customHeight="false" outlineLevel="0" collapsed="false">
      <c r="A1289" s="92" t="str">
        <f aca="false">Gov_Map!$H499&amp;""</f>
        <v>—</v>
      </c>
      <c r="B1289" s="65" t="str">
        <f aca="false">IF(A1289="","（哨兵：Gov_Map 該列無 SRC_ID）",IF(COUNTIF($A$5:$A$794,A1289)&gt;0,"（哨兵：此 SRC_ID 已在上方 SRC 頁，查詢不會命中本列）","（哨兵：SRC 頁查無此 ID）"))</f>
        <v>（哨兵：SRC 頁查無此 ID）</v>
      </c>
      <c r="C1289" s="61" t="n">
        <v>499</v>
      </c>
      <c r="D1289" s="61" t="s">
        <v>10703</v>
      </c>
      <c r="E1289" s="61" t="s">
        <v>10703</v>
      </c>
      <c r="F1289" s="62" t="s">
        <v>814</v>
      </c>
    </row>
    <row r="1290" customFormat="false" ht="15" hidden="false" customHeight="false" outlineLevel="0" collapsed="false">
      <c r="A1290" s="92" t="str">
        <f aca="false">Gov_Map!$H500&amp;""</f>
        <v>—</v>
      </c>
      <c r="B1290" s="65" t="str">
        <f aca="false">IF(A1290="","（哨兵：Gov_Map 該列無 SRC_ID）",IF(COUNTIF($A$5:$A$794,A1290)&gt;0,"（哨兵：此 SRC_ID 已在上方 SRC 頁，查詢不會命中本列）","（哨兵：SRC 頁查無此 ID）"))</f>
        <v>（哨兵：SRC 頁查無此 ID）</v>
      </c>
      <c r="C1290" s="61" t="n">
        <v>500</v>
      </c>
      <c r="D1290" s="61" t="s">
        <v>10703</v>
      </c>
      <c r="E1290" s="61" t="s">
        <v>10703</v>
      </c>
      <c r="F1290" s="62" t="s">
        <v>814</v>
      </c>
    </row>
    <row r="1291" customFormat="false" ht="15" hidden="false" customHeight="false" outlineLevel="0" collapsed="false">
      <c r="A1291" s="92" t="str">
        <f aca="false">Gov_Map!$H501&amp;""</f>
        <v>—</v>
      </c>
      <c r="B1291" s="65" t="str">
        <f aca="false">IF(A1291="","（哨兵：Gov_Map 該列無 SRC_ID）",IF(COUNTIF($A$5:$A$794,A1291)&gt;0,"（哨兵：此 SRC_ID 已在上方 SRC 頁，查詢不會命中本列）","（哨兵：SRC 頁查無此 ID）"))</f>
        <v>（哨兵：SRC 頁查無此 ID）</v>
      </c>
      <c r="C1291" s="61" t="n">
        <v>501</v>
      </c>
      <c r="D1291" s="61" t="s">
        <v>10703</v>
      </c>
      <c r="E1291" s="61" t="s">
        <v>10703</v>
      </c>
      <c r="F1291" s="62" t="s">
        <v>814</v>
      </c>
    </row>
    <row r="1292" customFormat="false" ht="15" hidden="false" customHeight="false" outlineLevel="0" collapsed="false">
      <c r="A1292" s="92" t="str">
        <f aca="false">Gov_Map!$H502&amp;""</f>
        <v>SRC_HAR_002</v>
      </c>
      <c r="B1292" s="65" t="str">
        <f aca="false">IF(A1292="","（哨兵：Gov_Map 該列無 SRC_ID）",IF(COUNTIF($A$5:$A$794,A1292)&gt;0,"（哨兵：此 SRC_ID 已在上方 SRC 頁，查詢不會命中本列）","（哨兵：SRC 頁查無此 ID）"))</f>
        <v>（哨兵：此 SRC_ID 已在上方 SRC 頁，查詢不會命中本列）</v>
      </c>
      <c r="C1292" s="61" t="n">
        <v>502</v>
      </c>
      <c r="D1292" s="61" t="s">
        <v>10703</v>
      </c>
      <c r="E1292" s="61" t="s">
        <v>10703</v>
      </c>
      <c r="F1292" s="62" t="s">
        <v>814</v>
      </c>
    </row>
    <row r="1293" customFormat="false" ht="15" hidden="false" customHeight="false" outlineLevel="0" collapsed="false">
      <c r="A1293" s="92" t="str">
        <f aca="false">Gov_Map!$H503&amp;""</f>
        <v>SRC_CAP_020</v>
      </c>
      <c r="B1293" s="65" t="str">
        <f aca="false">IF(A1293="","（哨兵：Gov_Map 該列無 SRC_ID）",IF(COUNTIF($A$5:$A$794,A1293)&gt;0,"（哨兵：此 SRC_ID 已在上方 SRC 頁，查詢不會命中本列）","（哨兵：SRC 頁查無此 ID）"))</f>
        <v>（哨兵：此 SRC_ID 已在上方 SRC 頁，查詢不會命中本列）</v>
      </c>
      <c r="C1293" s="61" t="n">
        <v>503</v>
      </c>
      <c r="D1293" s="61" t="s">
        <v>10703</v>
      </c>
      <c r="E1293" s="61" t="s">
        <v>10703</v>
      </c>
      <c r="F1293" s="62" t="s">
        <v>814</v>
      </c>
    </row>
    <row r="1294" customFormat="false" ht="15" hidden="false" customHeight="false" outlineLevel="0" collapsed="false">
      <c r="A1294" s="92" t="str">
        <f aca="false">Gov_Map!$H504&amp;""</f>
        <v>SRC_CAP_020</v>
      </c>
      <c r="B1294" s="65" t="str">
        <f aca="false">IF(A1294="","（哨兵：Gov_Map 該列無 SRC_ID）",IF(COUNTIF($A$5:$A$794,A1294)&gt;0,"（哨兵：此 SRC_ID 已在上方 SRC 頁，查詢不會命中本列）","（哨兵：SRC 頁查無此 ID）"))</f>
        <v>（哨兵：此 SRC_ID 已在上方 SRC 頁，查詢不會命中本列）</v>
      </c>
      <c r="C1294" s="61" t="n">
        <v>504</v>
      </c>
      <c r="D1294" s="61" t="s">
        <v>10703</v>
      </c>
      <c r="E1294" s="61" t="s">
        <v>10703</v>
      </c>
      <c r="F1294" s="62" t="s">
        <v>814</v>
      </c>
    </row>
    <row r="1295" customFormat="false" ht="15" hidden="false" customHeight="false" outlineLevel="0" collapsed="false">
      <c r="A1295" s="92" t="str">
        <f aca="false">Gov_Map!$H505&amp;""</f>
        <v>SRC_CAP_021</v>
      </c>
      <c r="B1295" s="65" t="str">
        <f aca="false">IF(A1295="","（哨兵：Gov_Map 該列無 SRC_ID）",IF(COUNTIF($A$5:$A$794,A1295)&gt;0,"（哨兵：此 SRC_ID 已在上方 SRC 頁，查詢不會命中本列）","（哨兵：SRC 頁查無此 ID）"))</f>
        <v>（哨兵：此 SRC_ID 已在上方 SRC 頁，查詢不會命中本列）</v>
      </c>
      <c r="C1295" s="61" t="n">
        <v>505</v>
      </c>
      <c r="D1295" s="61" t="s">
        <v>10703</v>
      </c>
      <c r="E1295" s="61" t="s">
        <v>10703</v>
      </c>
      <c r="F1295" s="62" t="s">
        <v>814</v>
      </c>
    </row>
    <row r="1296" customFormat="false" ht="15" hidden="false" customHeight="false" outlineLevel="0" collapsed="false">
      <c r="A1296" s="92" t="str">
        <f aca="false">Gov_Map!$H506&amp;""</f>
        <v>SRC_CAP_012</v>
      </c>
      <c r="B1296" s="65" t="str">
        <f aca="false">IF(A1296="","（哨兵：Gov_Map 該列無 SRC_ID）",IF(COUNTIF($A$5:$A$794,A1296)&gt;0,"（哨兵：此 SRC_ID 已在上方 SRC 頁，查詢不會命中本列）","（哨兵：SRC 頁查無此 ID）"))</f>
        <v>（哨兵：此 SRC_ID 已在上方 SRC 頁，查詢不會命中本列）</v>
      </c>
      <c r="C1296" s="61" t="n">
        <v>506</v>
      </c>
      <c r="D1296" s="61" t="s">
        <v>10703</v>
      </c>
      <c r="E1296" s="61" t="s">
        <v>10703</v>
      </c>
      <c r="F1296" s="62" t="s">
        <v>814</v>
      </c>
    </row>
    <row r="1297" customFormat="false" ht="15" hidden="false" customHeight="false" outlineLevel="0" collapsed="false">
      <c r="A1297" s="92" t="str">
        <f aca="false">Gov_Map!$H507&amp;""</f>
        <v>SRC_CAP_012</v>
      </c>
      <c r="B1297" s="65" t="str">
        <f aca="false">IF(A1297="","（哨兵：Gov_Map 該列無 SRC_ID）",IF(COUNTIF($A$5:$A$794,A1297)&gt;0,"（哨兵：此 SRC_ID 已在上方 SRC 頁，查詢不會命中本列）","（哨兵：SRC 頁查無此 ID）"))</f>
        <v>（哨兵：此 SRC_ID 已在上方 SRC 頁，查詢不會命中本列）</v>
      </c>
      <c r="C1297" s="61" t="n">
        <v>507</v>
      </c>
      <c r="D1297" s="61" t="s">
        <v>10703</v>
      </c>
      <c r="E1297" s="61" t="s">
        <v>10703</v>
      </c>
      <c r="F1297" s="62" t="s">
        <v>814</v>
      </c>
    </row>
    <row r="1298" customFormat="false" ht="15" hidden="false" customHeight="false" outlineLevel="0" collapsed="false">
      <c r="A1298" s="92" t="str">
        <f aca="false">Gov_Map!$H508&amp;""</f>
        <v>—</v>
      </c>
      <c r="B1298" s="65" t="str">
        <f aca="false">IF(A1298="","（哨兵：Gov_Map 該列無 SRC_ID）",IF(COUNTIF($A$5:$A$794,A1298)&gt;0,"（哨兵：此 SRC_ID 已在上方 SRC 頁，查詢不會命中本列）","（哨兵：SRC 頁查無此 ID）"))</f>
        <v>（哨兵：SRC 頁查無此 ID）</v>
      </c>
      <c r="C1298" s="61" t="n">
        <v>508</v>
      </c>
      <c r="D1298" s="61" t="s">
        <v>10703</v>
      </c>
      <c r="E1298" s="61" t="s">
        <v>10703</v>
      </c>
      <c r="F1298" s="62" t="s">
        <v>814</v>
      </c>
    </row>
    <row r="1299" customFormat="false" ht="15" hidden="false" customHeight="false" outlineLevel="0" collapsed="false">
      <c r="A1299" s="92" t="str">
        <f aca="false">Gov_Map!$H509&amp;""</f>
        <v>—</v>
      </c>
      <c r="B1299" s="65" t="str">
        <f aca="false">IF(A1299="","（哨兵：Gov_Map 該列無 SRC_ID）",IF(COUNTIF($A$5:$A$794,A1299)&gt;0,"（哨兵：此 SRC_ID 已在上方 SRC 頁，查詢不會命中本列）","（哨兵：SRC 頁查無此 ID）"))</f>
        <v>（哨兵：SRC 頁查無此 ID）</v>
      </c>
      <c r="C1299" s="61" t="n">
        <v>509</v>
      </c>
      <c r="D1299" s="61" t="s">
        <v>10703</v>
      </c>
      <c r="E1299" s="61" t="s">
        <v>10703</v>
      </c>
      <c r="F1299" s="62" t="s">
        <v>814</v>
      </c>
    </row>
    <row r="1300" customFormat="false" ht="15" hidden="false" customHeight="false" outlineLevel="0" collapsed="false">
      <c r="A1300" s="92" t="str">
        <f aca="false">Gov_Map!$H510&amp;""</f>
        <v>—</v>
      </c>
      <c r="B1300" s="65" t="str">
        <f aca="false">IF(A1300="","（哨兵：Gov_Map 該列無 SRC_ID）",IF(COUNTIF($A$5:$A$794,A1300)&gt;0,"（哨兵：此 SRC_ID 已在上方 SRC 頁，查詢不會命中本列）","（哨兵：SRC 頁查無此 ID）"))</f>
        <v>（哨兵：SRC 頁查無此 ID）</v>
      </c>
      <c r="C1300" s="61" t="n">
        <v>510</v>
      </c>
      <c r="D1300" s="61" t="s">
        <v>10703</v>
      </c>
      <c r="E1300" s="61" t="s">
        <v>10703</v>
      </c>
      <c r="F1300" s="62" t="s">
        <v>814</v>
      </c>
    </row>
    <row r="1301" customFormat="false" ht="15" hidden="false" customHeight="false" outlineLevel="0" collapsed="false">
      <c r="A1301" s="92" t="str">
        <f aca="false">Gov_Map!$H511&amp;""</f>
        <v>—</v>
      </c>
      <c r="B1301" s="65" t="str">
        <f aca="false">IF(A1301="","（哨兵：Gov_Map 該列無 SRC_ID）",IF(COUNTIF($A$5:$A$794,A1301)&gt;0,"（哨兵：此 SRC_ID 已在上方 SRC 頁，查詢不會命中本列）","（哨兵：SRC 頁查無此 ID）"))</f>
        <v>（哨兵：SRC 頁查無此 ID）</v>
      </c>
      <c r="C1301" s="61" t="n">
        <v>511</v>
      </c>
      <c r="D1301" s="61" t="s">
        <v>10703</v>
      </c>
      <c r="E1301" s="61" t="s">
        <v>10703</v>
      </c>
      <c r="F1301" s="62" t="s">
        <v>814</v>
      </c>
    </row>
    <row r="1302" customFormat="false" ht="15" hidden="false" customHeight="false" outlineLevel="0" collapsed="false">
      <c r="A1302" s="92" t="str">
        <f aca="false">Gov_Map!$H512&amp;""</f>
        <v>SRC_HW_037</v>
      </c>
      <c r="B1302" s="65" t="str">
        <f aca="false">IF(A1302="","（哨兵：Gov_Map 該列無 SRC_ID）",IF(COUNTIF($A$5:$A$794,A1302)&gt;0,"（哨兵：此 SRC_ID 已在上方 SRC 頁，查詢不會命中本列）","（哨兵：SRC 頁查無此 ID）"))</f>
        <v>（哨兵：此 SRC_ID 已在上方 SRC 頁，查詢不會命中本列）</v>
      </c>
      <c r="C1302" s="61" t="n">
        <v>512</v>
      </c>
      <c r="D1302" s="61" t="s">
        <v>10703</v>
      </c>
      <c r="E1302" s="61" t="s">
        <v>10703</v>
      </c>
      <c r="F1302" s="62" t="s">
        <v>814</v>
      </c>
    </row>
    <row r="1303" customFormat="false" ht="15" hidden="false" customHeight="false" outlineLevel="0" collapsed="false">
      <c r="A1303" s="92" t="str">
        <f aca="false">Gov_Map!$H513&amp;""</f>
        <v>—</v>
      </c>
      <c r="B1303" s="65" t="str">
        <f aca="false">IF(A1303="","（哨兵：Gov_Map 該列無 SRC_ID）",IF(COUNTIF($A$5:$A$794,A1303)&gt;0,"（哨兵：此 SRC_ID 已在上方 SRC 頁，查詢不會命中本列）","（哨兵：SRC 頁查無此 ID）"))</f>
        <v>（哨兵：SRC 頁查無此 ID）</v>
      </c>
      <c r="C1303" s="61" t="n">
        <v>513</v>
      </c>
      <c r="D1303" s="61" t="s">
        <v>10703</v>
      </c>
      <c r="E1303" s="61" t="s">
        <v>10703</v>
      </c>
      <c r="F1303" s="62" t="s">
        <v>814</v>
      </c>
    </row>
    <row r="1304" customFormat="false" ht="15" hidden="false" customHeight="false" outlineLevel="0" collapsed="false">
      <c r="A1304" s="92" t="str">
        <f aca="false">Gov_Map!$H514&amp;""</f>
        <v>—</v>
      </c>
      <c r="B1304" s="65" t="str">
        <f aca="false">IF(A1304="","（哨兵：Gov_Map 該列無 SRC_ID）",IF(COUNTIF($A$5:$A$794,A1304)&gt;0,"（哨兵：此 SRC_ID 已在上方 SRC 頁，查詢不會命中本列）","（哨兵：SRC 頁查無此 ID）"))</f>
        <v>（哨兵：SRC 頁查無此 ID）</v>
      </c>
      <c r="C1304" s="61" t="n">
        <v>514</v>
      </c>
      <c r="D1304" s="61" t="s">
        <v>10703</v>
      </c>
      <c r="E1304" s="61" t="s">
        <v>10703</v>
      </c>
      <c r="F1304" s="62" t="s">
        <v>814</v>
      </c>
    </row>
    <row r="1305" customFormat="false" ht="15" hidden="false" customHeight="false" outlineLevel="0" collapsed="false">
      <c r="A1305" s="92" t="str">
        <f aca="false">Gov_Map!$H515&amp;""</f>
        <v>SRC_MOD_046</v>
      </c>
      <c r="B1305" s="65" t="str">
        <f aca="false">IF(A1305="","（哨兵：Gov_Map 該列無 SRC_ID）",IF(COUNTIF($A$5:$A$794,A1305)&gt;0,"（哨兵：此 SRC_ID 已在上方 SRC 頁，查詢不會命中本列）","（哨兵：SRC 頁查無此 ID）"))</f>
        <v>（哨兵：此 SRC_ID 已在上方 SRC 頁，查詢不會命中本列）</v>
      </c>
      <c r="C1305" s="61" t="n">
        <v>515</v>
      </c>
      <c r="D1305" s="61" t="s">
        <v>10703</v>
      </c>
      <c r="E1305" s="61" t="s">
        <v>10703</v>
      </c>
      <c r="F1305" s="62" t="s">
        <v>814</v>
      </c>
    </row>
    <row r="1306" customFormat="false" ht="15" hidden="false" customHeight="false" outlineLevel="0" collapsed="false">
      <c r="A1306" s="92" t="str">
        <f aca="false">Gov_Map!$H516&amp;""</f>
        <v>—</v>
      </c>
      <c r="B1306" s="65" t="str">
        <f aca="false">IF(A1306="","（哨兵：Gov_Map 該列無 SRC_ID）",IF(COUNTIF($A$5:$A$794,A1306)&gt;0,"（哨兵：此 SRC_ID 已在上方 SRC 頁，查詢不會命中本列）","（哨兵：SRC 頁查無此 ID）"))</f>
        <v>（哨兵：SRC 頁查無此 ID）</v>
      </c>
      <c r="C1306" s="61" t="n">
        <v>516</v>
      </c>
      <c r="D1306" s="61" t="s">
        <v>10703</v>
      </c>
      <c r="E1306" s="61" t="s">
        <v>10703</v>
      </c>
      <c r="F1306" s="62" t="s">
        <v>814</v>
      </c>
    </row>
    <row r="1307" customFormat="false" ht="15" hidden="false" customHeight="false" outlineLevel="0" collapsed="false">
      <c r="A1307" s="92" t="str">
        <f aca="false">Gov_Map!$H517&amp;""</f>
        <v>—</v>
      </c>
      <c r="B1307" s="65" t="str">
        <f aca="false">IF(A1307="","（哨兵：Gov_Map 該列無 SRC_ID）",IF(COUNTIF($A$5:$A$794,A1307)&gt;0,"（哨兵：此 SRC_ID 已在上方 SRC 頁，查詢不會命中本列）","（哨兵：SRC 頁查無此 ID）"))</f>
        <v>（哨兵：SRC 頁查無此 ID）</v>
      </c>
      <c r="C1307" s="61" t="n">
        <v>517</v>
      </c>
      <c r="D1307" s="61" t="s">
        <v>10703</v>
      </c>
      <c r="E1307" s="61" t="s">
        <v>10703</v>
      </c>
      <c r="F1307" s="62" t="s">
        <v>814</v>
      </c>
    </row>
    <row r="1308" customFormat="false" ht="15" hidden="false" customHeight="false" outlineLevel="0" collapsed="false">
      <c r="A1308" s="92" t="str">
        <f aca="false">Gov_Map!$H518&amp;""</f>
        <v>—</v>
      </c>
      <c r="B1308" s="65" t="str">
        <f aca="false">IF(A1308="","（哨兵：Gov_Map 該列無 SRC_ID）",IF(COUNTIF($A$5:$A$794,A1308)&gt;0,"（哨兵：此 SRC_ID 已在上方 SRC 頁，查詢不會命中本列）","（哨兵：SRC 頁查無此 ID）"))</f>
        <v>（哨兵：SRC 頁查無此 ID）</v>
      </c>
      <c r="C1308" s="61" t="n">
        <v>518</v>
      </c>
      <c r="D1308" s="61" t="s">
        <v>10703</v>
      </c>
      <c r="E1308" s="61" t="s">
        <v>10703</v>
      </c>
      <c r="F1308" s="62" t="s">
        <v>814</v>
      </c>
    </row>
    <row r="1309" customFormat="false" ht="15" hidden="false" customHeight="false" outlineLevel="0" collapsed="false">
      <c r="A1309" s="92" t="str">
        <f aca="false">Gov_Map!$H519&amp;""</f>
        <v>—</v>
      </c>
      <c r="B1309" s="65" t="str">
        <f aca="false">IF(A1309="","（哨兵：Gov_Map 該列無 SRC_ID）",IF(COUNTIF($A$5:$A$794,A1309)&gt;0,"（哨兵：此 SRC_ID 已在上方 SRC 頁，查詢不會命中本列）","（哨兵：SRC 頁查無此 ID）"))</f>
        <v>（哨兵：SRC 頁查無此 ID）</v>
      </c>
      <c r="C1309" s="61" t="n">
        <v>519</v>
      </c>
      <c r="D1309" s="61" t="s">
        <v>10703</v>
      </c>
      <c r="E1309" s="61" t="s">
        <v>10703</v>
      </c>
      <c r="F1309" s="62" t="s">
        <v>814</v>
      </c>
    </row>
    <row r="1310" customFormat="false" ht="15" hidden="false" customHeight="false" outlineLevel="0" collapsed="false">
      <c r="A1310" s="92" t="str">
        <f aca="false">Gov_Map!$H520&amp;""</f>
        <v>—</v>
      </c>
      <c r="B1310" s="65" t="str">
        <f aca="false">IF(A1310="","（哨兵：Gov_Map 該列無 SRC_ID）",IF(COUNTIF($A$5:$A$794,A1310)&gt;0,"（哨兵：此 SRC_ID 已在上方 SRC 頁，查詢不會命中本列）","（哨兵：SRC 頁查無此 ID）"))</f>
        <v>（哨兵：SRC 頁查無此 ID）</v>
      </c>
      <c r="C1310" s="61" t="n">
        <v>520</v>
      </c>
      <c r="D1310" s="61" t="s">
        <v>10703</v>
      </c>
      <c r="E1310" s="61" t="s">
        <v>10703</v>
      </c>
      <c r="F1310" s="62" t="s">
        <v>814</v>
      </c>
    </row>
    <row r="1311" customFormat="false" ht="15" hidden="false" customHeight="false" outlineLevel="0" collapsed="false">
      <c r="A1311" s="92" t="str">
        <f aca="false">Gov_Map!$H521&amp;""</f>
        <v>—</v>
      </c>
      <c r="B1311" s="65" t="str">
        <f aca="false">IF(A1311="","（哨兵：Gov_Map 該列無 SRC_ID）",IF(COUNTIF($A$5:$A$794,A1311)&gt;0,"（哨兵：此 SRC_ID 已在上方 SRC 頁，查詢不會命中本列）","（哨兵：SRC 頁查無此 ID）"))</f>
        <v>（哨兵：SRC 頁查無此 ID）</v>
      </c>
      <c r="C1311" s="61" t="n">
        <v>521</v>
      </c>
      <c r="D1311" s="61" t="s">
        <v>10703</v>
      </c>
      <c r="E1311" s="61" t="s">
        <v>10703</v>
      </c>
      <c r="F1311" s="62" t="s">
        <v>814</v>
      </c>
    </row>
    <row r="1312" customFormat="false" ht="15" hidden="false" customHeight="false" outlineLevel="0" collapsed="false">
      <c r="A1312" s="92" t="str">
        <f aca="false">Gov_Map!$H522&amp;""</f>
        <v>—</v>
      </c>
      <c r="B1312" s="65" t="str">
        <f aca="false">IF(A1312="","（哨兵：Gov_Map 該列無 SRC_ID）",IF(COUNTIF($A$5:$A$794,A1312)&gt;0,"（哨兵：此 SRC_ID 已在上方 SRC 頁，查詢不會命中本列）","（哨兵：SRC 頁查無此 ID）"))</f>
        <v>（哨兵：SRC 頁查無此 ID）</v>
      </c>
      <c r="C1312" s="61" t="n">
        <v>522</v>
      </c>
      <c r="D1312" s="61" t="s">
        <v>10703</v>
      </c>
      <c r="E1312" s="61" t="s">
        <v>10703</v>
      </c>
      <c r="F1312" s="62" t="s">
        <v>814</v>
      </c>
    </row>
    <row r="1313" customFormat="false" ht="15" hidden="false" customHeight="false" outlineLevel="0" collapsed="false">
      <c r="A1313" s="92" t="str">
        <f aca="false">Gov_Map!$H523&amp;""</f>
        <v>SRC_PERF_036</v>
      </c>
      <c r="B1313" s="65" t="str">
        <f aca="false">IF(A1313="","（哨兵：Gov_Map 該列無 SRC_ID）",IF(COUNTIF($A$5:$A$794,A1313)&gt;0,"（哨兵：此 SRC_ID 已在上方 SRC 頁，查詢不會命中本列）","（哨兵：SRC 頁查無此 ID）"))</f>
        <v>（哨兵：此 SRC_ID 已在上方 SRC 頁，查詢不會命中本列）</v>
      </c>
      <c r="C1313" s="61" t="n">
        <v>523</v>
      </c>
      <c r="D1313" s="61" t="s">
        <v>10703</v>
      </c>
      <c r="E1313" s="61" t="s">
        <v>10703</v>
      </c>
      <c r="F1313" s="62" t="s">
        <v>814</v>
      </c>
    </row>
    <row r="1314" customFormat="false" ht="15" hidden="false" customHeight="false" outlineLevel="0" collapsed="false">
      <c r="A1314" s="92" t="str">
        <f aca="false">Gov_Map!$H524&amp;""</f>
        <v>SRC_PERF_037</v>
      </c>
      <c r="B1314" s="65" t="str">
        <f aca="false">IF(A1314="","（哨兵：Gov_Map 該列無 SRC_ID）",IF(COUNTIF($A$5:$A$794,A1314)&gt;0,"（哨兵：此 SRC_ID 已在上方 SRC 頁，查詢不會命中本列）","（哨兵：SRC 頁查無此 ID）"))</f>
        <v>（哨兵：此 SRC_ID 已在上方 SRC 頁，查詢不會命中本列）</v>
      </c>
      <c r="C1314" s="61" t="n">
        <v>524</v>
      </c>
      <c r="D1314" s="61" t="s">
        <v>10703</v>
      </c>
      <c r="E1314" s="61" t="s">
        <v>10703</v>
      </c>
      <c r="F1314" s="62" t="s">
        <v>814</v>
      </c>
    </row>
    <row r="1315" customFormat="false" ht="15" hidden="false" customHeight="false" outlineLevel="0" collapsed="false">
      <c r="A1315" s="92" t="str">
        <f aca="false">Gov_Map!$H525&amp;""</f>
        <v>—</v>
      </c>
      <c r="B1315" s="65" t="str">
        <f aca="false">IF(A1315="","（哨兵：Gov_Map 該列無 SRC_ID）",IF(COUNTIF($A$5:$A$794,A1315)&gt;0,"（哨兵：此 SRC_ID 已在上方 SRC 頁，查詢不會命中本列）","（哨兵：SRC 頁查無此 ID）"))</f>
        <v>（哨兵：SRC 頁查無此 ID）</v>
      </c>
      <c r="C1315" s="61" t="n">
        <v>525</v>
      </c>
      <c r="D1315" s="61" t="s">
        <v>10703</v>
      </c>
      <c r="E1315" s="61" t="s">
        <v>10703</v>
      </c>
      <c r="F1315" s="62" t="s">
        <v>814</v>
      </c>
    </row>
    <row r="1316" customFormat="false" ht="15" hidden="false" customHeight="false" outlineLevel="0" collapsed="false">
      <c r="A1316" s="92" t="str">
        <f aca="false">Gov_Map!$H526&amp;""</f>
        <v>—</v>
      </c>
      <c r="B1316" s="65" t="str">
        <f aca="false">IF(A1316="","（哨兵：Gov_Map 該列無 SRC_ID）",IF(COUNTIF($A$5:$A$794,A1316)&gt;0,"（哨兵：此 SRC_ID 已在上方 SRC 頁，查詢不會命中本列）","（哨兵：SRC 頁查無此 ID）"))</f>
        <v>（哨兵：SRC 頁查無此 ID）</v>
      </c>
      <c r="C1316" s="61" t="n">
        <v>526</v>
      </c>
      <c r="D1316" s="61" t="s">
        <v>10703</v>
      </c>
      <c r="E1316" s="61" t="s">
        <v>10703</v>
      </c>
      <c r="F1316" s="62" t="s">
        <v>814</v>
      </c>
    </row>
    <row r="1317" customFormat="false" ht="15" hidden="false" customHeight="false" outlineLevel="0" collapsed="false">
      <c r="A1317" s="92" t="str">
        <f aca="false">Gov_Map!$H527&amp;""</f>
        <v>—</v>
      </c>
      <c r="B1317" s="65" t="str">
        <f aca="false">IF(A1317="","（哨兵：Gov_Map 該列無 SRC_ID）",IF(COUNTIF($A$5:$A$794,A1317)&gt;0,"（哨兵：此 SRC_ID 已在上方 SRC 頁，查詢不會命中本列）","（哨兵：SRC 頁查無此 ID）"))</f>
        <v>（哨兵：SRC 頁查無此 ID）</v>
      </c>
      <c r="C1317" s="61" t="n">
        <v>527</v>
      </c>
      <c r="D1317" s="61" t="s">
        <v>10703</v>
      </c>
      <c r="E1317" s="61" t="s">
        <v>10703</v>
      </c>
      <c r="F1317" s="62" t="s">
        <v>814</v>
      </c>
    </row>
    <row r="1318" customFormat="false" ht="15" hidden="false" customHeight="false" outlineLevel="0" collapsed="false">
      <c r="A1318" s="92" t="str">
        <f aca="false">Gov_Map!$H528&amp;""</f>
        <v>SRC_MOD_046</v>
      </c>
      <c r="B1318" s="65" t="str">
        <f aca="false">IF(A1318="","（哨兵：Gov_Map 該列無 SRC_ID）",IF(COUNTIF($A$5:$A$794,A1318)&gt;0,"（哨兵：此 SRC_ID 已在上方 SRC 頁，查詢不會命中本列）","（哨兵：SRC 頁查無此 ID）"))</f>
        <v>（哨兵：此 SRC_ID 已在上方 SRC 頁，查詢不會命中本列）</v>
      </c>
      <c r="C1318" s="61" t="n">
        <v>528</v>
      </c>
      <c r="D1318" s="61" t="s">
        <v>10703</v>
      </c>
      <c r="E1318" s="61" t="s">
        <v>10703</v>
      </c>
      <c r="F1318" s="62" t="s">
        <v>814</v>
      </c>
    </row>
    <row r="1319" customFormat="false" ht="15" hidden="false" customHeight="false" outlineLevel="0" collapsed="false">
      <c r="A1319" s="92" t="str">
        <f aca="false">Gov_Map!$H529&amp;""</f>
        <v>—</v>
      </c>
      <c r="B1319" s="65" t="str">
        <f aca="false">IF(A1319="","（哨兵：Gov_Map 該列無 SRC_ID）",IF(COUNTIF($A$5:$A$794,A1319)&gt;0,"（哨兵：此 SRC_ID 已在上方 SRC 頁，查詢不會命中本列）","（哨兵：SRC 頁查無此 ID）"))</f>
        <v>（哨兵：SRC 頁查無此 ID）</v>
      </c>
      <c r="C1319" s="61" t="n">
        <v>529</v>
      </c>
      <c r="D1319" s="61" t="s">
        <v>10703</v>
      </c>
      <c r="E1319" s="61" t="s">
        <v>10703</v>
      </c>
      <c r="F1319" s="62" t="s">
        <v>814</v>
      </c>
    </row>
    <row r="1320" customFormat="false" ht="15" hidden="false" customHeight="false" outlineLevel="0" collapsed="false">
      <c r="A1320" s="92" t="str">
        <f aca="false">Gov_Map!$H530&amp;""</f>
        <v>SRC_DEM_001</v>
      </c>
      <c r="B1320" s="65" t="str">
        <f aca="false">IF(A1320="","（哨兵：Gov_Map 該列無 SRC_ID）",IF(COUNTIF($A$5:$A$794,A1320)&gt;0,"（哨兵：此 SRC_ID 已在上方 SRC 頁，查詢不會命中本列）","（哨兵：SRC 頁查無此 ID）"))</f>
        <v>（哨兵：此 SRC_ID 已在上方 SRC 頁，查詢不會命中本列）</v>
      </c>
      <c r="C1320" s="61" t="n">
        <v>530</v>
      </c>
      <c r="D1320" s="61" t="s">
        <v>10703</v>
      </c>
      <c r="E1320" s="61" t="s">
        <v>10703</v>
      </c>
      <c r="F1320" s="62" t="s">
        <v>814</v>
      </c>
    </row>
    <row r="1321" customFormat="false" ht="15" hidden="false" customHeight="false" outlineLevel="0" collapsed="false">
      <c r="A1321" s="92" t="str">
        <f aca="false">Gov_Map!$H531&amp;""</f>
        <v>—</v>
      </c>
      <c r="B1321" s="65" t="str">
        <f aca="false">IF(A1321="","（哨兵：Gov_Map 該列無 SRC_ID）",IF(COUNTIF($A$5:$A$794,A1321)&gt;0,"（哨兵：此 SRC_ID 已在上方 SRC 頁，查詢不會命中本列）","（哨兵：SRC 頁查無此 ID）"))</f>
        <v>（哨兵：SRC 頁查無此 ID）</v>
      </c>
      <c r="C1321" s="61" t="n">
        <v>531</v>
      </c>
      <c r="D1321" s="61" t="s">
        <v>10703</v>
      </c>
      <c r="E1321" s="61" t="s">
        <v>10703</v>
      </c>
      <c r="F1321" s="62" t="s">
        <v>814</v>
      </c>
    </row>
    <row r="1322" customFormat="false" ht="15" hidden="false" customHeight="false" outlineLevel="0" collapsed="false">
      <c r="A1322" s="92" t="str">
        <f aca="false">Gov_Map!$H532&amp;""</f>
        <v>—</v>
      </c>
      <c r="B1322" s="65" t="str">
        <f aca="false">IF(A1322="","（哨兵：Gov_Map 該列無 SRC_ID）",IF(COUNTIF($A$5:$A$794,A1322)&gt;0,"（哨兵：此 SRC_ID 已在上方 SRC 頁，查詢不會命中本列）","（哨兵：SRC 頁查無此 ID）"))</f>
        <v>（哨兵：SRC 頁查無此 ID）</v>
      </c>
      <c r="C1322" s="61" t="n">
        <v>532</v>
      </c>
      <c r="D1322" s="61" t="s">
        <v>10703</v>
      </c>
      <c r="E1322" s="61" t="s">
        <v>10703</v>
      </c>
      <c r="F1322" s="62" t="s">
        <v>814</v>
      </c>
    </row>
    <row r="1323" customFormat="false" ht="15" hidden="false" customHeight="false" outlineLevel="0" collapsed="false">
      <c r="A1323" s="92" t="str">
        <f aca="false">Gov_Map!$H533&amp;""</f>
        <v>—</v>
      </c>
      <c r="B1323" s="65" t="str">
        <f aca="false">IF(A1323="","（哨兵：Gov_Map 該列無 SRC_ID）",IF(COUNTIF($A$5:$A$794,A1323)&gt;0,"（哨兵：此 SRC_ID 已在上方 SRC 頁，查詢不會命中本列）","（哨兵：SRC 頁查無此 ID）"))</f>
        <v>（哨兵：SRC 頁查無此 ID）</v>
      </c>
      <c r="C1323" s="61" t="n">
        <v>533</v>
      </c>
      <c r="D1323" s="61" t="s">
        <v>10703</v>
      </c>
      <c r="E1323" s="61" t="s">
        <v>10703</v>
      </c>
      <c r="F1323" s="62" t="s">
        <v>814</v>
      </c>
    </row>
    <row r="1324" customFormat="false" ht="15" hidden="false" customHeight="false" outlineLevel="0" collapsed="false">
      <c r="A1324" s="92" t="str">
        <f aca="false">Gov_Map!$H534&amp;""</f>
        <v>—</v>
      </c>
      <c r="B1324" s="65" t="str">
        <f aca="false">IF(A1324="","（哨兵：Gov_Map 該列無 SRC_ID）",IF(COUNTIF($A$5:$A$794,A1324)&gt;0,"（哨兵：此 SRC_ID 已在上方 SRC 頁，查詢不會命中本列）","（哨兵：SRC 頁查無此 ID）"))</f>
        <v>（哨兵：SRC 頁查無此 ID）</v>
      </c>
      <c r="C1324" s="61" t="n">
        <v>534</v>
      </c>
      <c r="D1324" s="61" t="s">
        <v>10703</v>
      </c>
      <c r="E1324" s="61" t="s">
        <v>10703</v>
      </c>
      <c r="F1324" s="62" t="s">
        <v>814</v>
      </c>
    </row>
    <row r="1325" customFormat="false" ht="15" hidden="false" customHeight="false" outlineLevel="0" collapsed="false">
      <c r="A1325" s="92" t="str">
        <f aca="false">Gov_Map!$H535&amp;""</f>
        <v>—</v>
      </c>
      <c r="B1325" s="65" t="str">
        <f aca="false">IF(A1325="","（哨兵：Gov_Map 該列無 SRC_ID）",IF(COUNTIF($A$5:$A$794,A1325)&gt;0,"（哨兵：此 SRC_ID 已在上方 SRC 頁，查詢不會命中本列）","（哨兵：SRC 頁查無此 ID）"))</f>
        <v>（哨兵：SRC 頁查無此 ID）</v>
      </c>
      <c r="C1325" s="61" t="n">
        <v>535</v>
      </c>
      <c r="D1325" s="61" t="s">
        <v>10703</v>
      </c>
      <c r="E1325" s="61" t="s">
        <v>10703</v>
      </c>
      <c r="F1325" s="62" t="s">
        <v>814</v>
      </c>
    </row>
    <row r="1326" customFormat="false" ht="15" hidden="false" customHeight="false" outlineLevel="0" collapsed="false">
      <c r="A1326" s="92" t="str">
        <f aca="false">Gov_Map!$H536&amp;""</f>
        <v>SRC_MOD_031</v>
      </c>
      <c r="B1326" s="65" t="str">
        <f aca="false">IF(A1326="","（哨兵：Gov_Map 該列無 SRC_ID）",IF(COUNTIF($A$5:$A$794,A1326)&gt;0,"（哨兵：此 SRC_ID 已在上方 SRC 頁，查詢不會命中本列）","（哨兵：SRC 頁查無此 ID）"))</f>
        <v>（哨兵：此 SRC_ID 已在上方 SRC 頁，查詢不會命中本列）</v>
      </c>
      <c r="C1326" s="61" t="n">
        <v>536</v>
      </c>
      <c r="D1326" s="61" t="s">
        <v>10703</v>
      </c>
      <c r="E1326" s="61" t="s">
        <v>10703</v>
      </c>
      <c r="F1326" s="62" t="s">
        <v>814</v>
      </c>
    </row>
    <row r="1327" customFormat="false" ht="15" hidden="false" customHeight="false" outlineLevel="0" collapsed="false">
      <c r="A1327" s="92" t="str">
        <f aca="false">Gov_Map!$H537&amp;""</f>
        <v>—</v>
      </c>
      <c r="B1327" s="65" t="str">
        <f aca="false">IF(A1327="","（哨兵：Gov_Map 該列無 SRC_ID）",IF(COUNTIF($A$5:$A$794,A1327)&gt;0,"（哨兵：此 SRC_ID 已在上方 SRC 頁，查詢不會命中本列）","（哨兵：SRC 頁查無此 ID）"))</f>
        <v>（哨兵：SRC 頁查無此 ID）</v>
      </c>
      <c r="C1327" s="61" t="n">
        <v>537</v>
      </c>
      <c r="D1327" s="61" t="s">
        <v>10703</v>
      </c>
      <c r="E1327" s="61" t="s">
        <v>10703</v>
      </c>
      <c r="F1327" s="62" t="s">
        <v>814</v>
      </c>
    </row>
    <row r="1328" customFormat="false" ht="15" hidden="false" customHeight="false" outlineLevel="0" collapsed="false">
      <c r="A1328" s="92" t="str">
        <f aca="false">Gov_Map!$H538&amp;""</f>
        <v>—</v>
      </c>
      <c r="B1328" s="65" t="str">
        <f aca="false">IF(A1328="","（哨兵：Gov_Map 該列無 SRC_ID）",IF(COUNTIF($A$5:$A$794,A1328)&gt;0,"（哨兵：此 SRC_ID 已在上方 SRC 頁，查詢不會命中本列）","（哨兵：SRC 頁查無此 ID）"))</f>
        <v>（哨兵：SRC 頁查無此 ID）</v>
      </c>
      <c r="C1328" s="61" t="n">
        <v>538</v>
      </c>
      <c r="D1328" s="61" t="s">
        <v>10703</v>
      </c>
      <c r="E1328" s="61" t="s">
        <v>10703</v>
      </c>
      <c r="F1328" s="62" t="s">
        <v>814</v>
      </c>
    </row>
    <row r="1329" customFormat="false" ht="15" hidden="false" customHeight="false" outlineLevel="0" collapsed="false">
      <c r="A1329" s="92" t="str">
        <f aca="false">Gov_Map!$H539&amp;""</f>
        <v>—</v>
      </c>
      <c r="B1329" s="65" t="str">
        <f aca="false">IF(A1329="","（哨兵：Gov_Map 該列無 SRC_ID）",IF(COUNTIF($A$5:$A$794,A1329)&gt;0,"（哨兵：此 SRC_ID 已在上方 SRC 頁，查詢不會命中本列）","（哨兵：SRC 頁查無此 ID）"))</f>
        <v>（哨兵：SRC 頁查無此 ID）</v>
      </c>
      <c r="C1329" s="61" t="n">
        <v>539</v>
      </c>
      <c r="D1329" s="61" t="s">
        <v>10703</v>
      </c>
      <c r="E1329" s="61" t="s">
        <v>10703</v>
      </c>
      <c r="F1329" s="62" t="s">
        <v>814</v>
      </c>
    </row>
    <row r="1330" customFormat="false" ht="15" hidden="false" customHeight="false" outlineLevel="0" collapsed="false">
      <c r="A1330" s="92" t="str">
        <f aca="false">Gov_Map!$H540&amp;""</f>
        <v>—</v>
      </c>
      <c r="B1330" s="65" t="str">
        <f aca="false">IF(A1330="","（哨兵：Gov_Map 該列無 SRC_ID）",IF(COUNTIF($A$5:$A$794,A1330)&gt;0,"（哨兵：此 SRC_ID 已在上方 SRC 頁，查詢不會命中本列）","（哨兵：SRC 頁查無此 ID）"))</f>
        <v>（哨兵：SRC 頁查無此 ID）</v>
      </c>
      <c r="C1330" s="61" t="n">
        <v>540</v>
      </c>
      <c r="D1330" s="61" t="s">
        <v>10703</v>
      </c>
      <c r="E1330" s="61" t="s">
        <v>10703</v>
      </c>
      <c r="F1330" s="62" t="s">
        <v>814</v>
      </c>
    </row>
    <row r="1331" customFormat="false" ht="15" hidden="false" customHeight="false" outlineLevel="0" collapsed="false">
      <c r="A1331" s="92" t="str">
        <f aca="false">Gov_Map!$H541&amp;""</f>
        <v>—</v>
      </c>
      <c r="B1331" s="65" t="str">
        <f aca="false">IF(A1331="","（哨兵：Gov_Map 該列無 SRC_ID）",IF(COUNTIF($A$5:$A$794,A1331)&gt;0,"（哨兵：此 SRC_ID 已在上方 SRC 頁，查詢不會命中本列）","（哨兵：SRC 頁查無此 ID）"))</f>
        <v>（哨兵：SRC 頁查無此 ID）</v>
      </c>
      <c r="C1331" s="61" t="n">
        <v>541</v>
      </c>
      <c r="D1331" s="61" t="s">
        <v>10703</v>
      </c>
      <c r="E1331" s="61" t="s">
        <v>10703</v>
      </c>
      <c r="F1331" s="62" t="s">
        <v>814</v>
      </c>
    </row>
    <row r="1332" customFormat="false" ht="15" hidden="false" customHeight="false" outlineLevel="0" collapsed="false">
      <c r="A1332" s="92" t="str">
        <f aca="false">Gov_Map!$H542&amp;""</f>
        <v>—</v>
      </c>
      <c r="B1332" s="65" t="str">
        <f aca="false">IF(A1332="","（哨兵：Gov_Map 該列無 SRC_ID）",IF(COUNTIF($A$5:$A$794,A1332)&gt;0,"（哨兵：此 SRC_ID 已在上方 SRC 頁，查詢不會命中本列）","（哨兵：SRC 頁查無此 ID）"))</f>
        <v>（哨兵：SRC 頁查無此 ID）</v>
      </c>
      <c r="C1332" s="61" t="n">
        <v>542</v>
      </c>
      <c r="D1332" s="61" t="s">
        <v>10703</v>
      </c>
      <c r="E1332" s="61" t="s">
        <v>10703</v>
      </c>
      <c r="F1332" s="62" t="s">
        <v>814</v>
      </c>
    </row>
    <row r="1333" customFormat="false" ht="15" hidden="false" customHeight="false" outlineLevel="0" collapsed="false">
      <c r="A1333" s="92" t="str">
        <f aca="false">Gov_Map!$H543&amp;""</f>
        <v>—</v>
      </c>
      <c r="B1333" s="65" t="str">
        <f aca="false">IF(A1333="","（哨兵：Gov_Map 該列無 SRC_ID）",IF(COUNTIF($A$5:$A$794,A1333)&gt;0,"（哨兵：此 SRC_ID 已在上方 SRC 頁，查詢不會命中本列）","（哨兵：SRC 頁查無此 ID）"))</f>
        <v>（哨兵：SRC 頁查無此 ID）</v>
      </c>
      <c r="C1333" s="61" t="n">
        <v>543</v>
      </c>
      <c r="D1333" s="61" t="s">
        <v>10703</v>
      </c>
      <c r="E1333" s="61" t="s">
        <v>10703</v>
      </c>
      <c r="F1333" s="62" t="s">
        <v>814</v>
      </c>
    </row>
    <row r="1334" customFormat="false" ht="15" hidden="false" customHeight="false" outlineLevel="0" collapsed="false">
      <c r="A1334" s="92" t="str">
        <f aca="false">Gov_Map!$H544&amp;""</f>
        <v>—</v>
      </c>
      <c r="B1334" s="65" t="str">
        <f aca="false">IF(A1334="","（哨兵：Gov_Map 該列無 SRC_ID）",IF(COUNTIF($A$5:$A$794,A1334)&gt;0,"（哨兵：此 SRC_ID 已在上方 SRC 頁，查詢不會命中本列）","（哨兵：SRC 頁查無此 ID）"))</f>
        <v>（哨兵：SRC 頁查無此 ID）</v>
      </c>
      <c r="C1334" s="61" t="n">
        <v>544</v>
      </c>
      <c r="D1334" s="61" t="s">
        <v>10703</v>
      </c>
      <c r="E1334" s="61" t="s">
        <v>10703</v>
      </c>
      <c r="F1334" s="62" t="s">
        <v>814</v>
      </c>
    </row>
    <row r="1335" customFormat="false" ht="15" hidden="false" customHeight="false" outlineLevel="0" collapsed="false">
      <c r="A1335" s="92" t="str">
        <f aca="false">Gov_Map!$H545&amp;""</f>
        <v>—</v>
      </c>
      <c r="B1335" s="65" t="str">
        <f aca="false">IF(A1335="","（哨兵：Gov_Map 該列無 SRC_ID）",IF(COUNTIF($A$5:$A$794,A1335)&gt;0,"（哨兵：此 SRC_ID 已在上方 SRC 頁，查詢不會命中本列）","（哨兵：SRC 頁查無此 ID）"))</f>
        <v>（哨兵：SRC 頁查無此 ID）</v>
      </c>
      <c r="C1335" s="61" t="n">
        <v>545</v>
      </c>
      <c r="D1335" s="61" t="s">
        <v>10703</v>
      </c>
      <c r="E1335" s="61" t="s">
        <v>10703</v>
      </c>
      <c r="F1335" s="62" t="s">
        <v>814</v>
      </c>
    </row>
    <row r="1336" customFormat="false" ht="15" hidden="false" customHeight="false" outlineLevel="0" collapsed="false">
      <c r="A1336" s="92" t="str">
        <f aca="false">Gov_Map!$H546&amp;""</f>
        <v>—</v>
      </c>
      <c r="B1336" s="65" t="str">
        <f aca="false">IF(A1336="","（哨兵：Gov_Map 該列無 SRC_ID）",IF(COUNTIF($A$5:$A$794,A1336)&gt;0,"（哨兵：此 SRC_ID 已在上方 SRC 頁，查詢不會命中本列）","（哨兵：SRC 頁查無此 ID）"))</f>
        <v>（哨兵：SRC 頁查無此 ID）</v>
      </c>
      <c r="C1336" s="61" t="n">
        <v>546</v>
      </c>
      <c r="D1336" s="61" t="s">
        <v>10703</v>
      </c>
      <c r="E1336" s="61" t="s">
        <v>10703</v>
      </c>
      <c r="F1336" s="62" t="s">
        <v>814</v>
      </c>
    </row>
    <row r="1337" customFormat="false" ht="15" hidden="false" customHeight="false" outlineLevel="0" collapsed="false">
      <c r="A1337" s="92" t="str">
        <f aca="false">Gov_Map!$H547&amp;""</f>
        <v>—</v>
      </c>
      <c r="B1337" s="65" t="str">
        <f aca="false">IF(A1337="","（哨兵：Gov_Map 該列無 SRC_ID）",IF(COUNTIF($A$5:$A$794,A1337)&gt;0,"（哨兵：此 SRC_ID 已在上方 SRC 頁，查詢不會命中本列）","（哨兵：SRC 頁查無此 ID）"))</f>
        <v>（哨兵：SRC 頁查無此 ID）</v>
      </c>
      <c r="C1337" s="61" t="n">
        <v>547</v>
      </c>
      <c r="D1337" s="61" t="s">
        <v>10703</v>
      </c>
      <c r="E1337" s="61" t="s">
        <v>10703</v>
      </c>
      <c r="F1337" s="62" t="s">
        <v>814</v>
      </c>
    </row>
    <row r="1338" customFormat="false" ht="15" hidden="false" customHeight="false" outlineLevel="0" collapsed="false">
      <c r="A1338" s="92" t="str">
        <f aca="false">Gov_Map!$H548&amp;""</f>
        <v>—</v>
      </c>
      <c r="B1338" s="65" t="str">
        <f aca="false">IF(A1338="","（哨兵：Gov_Map 該列無 SRC_ID）",IF(COUNTIF($A$5:$A$794,A1338)&gt;0,"（哨兵：此 SRC_ID 已在上方 SRC 頁，查詢不會命中本列）","（哨兵：SRC 頁查無此 ID）"))</f>
        <v>（哨兵：SRC 頁查無此 ID）</v>
      </c>
      <c r="C1338" s="61" t="n">
        <v>548</v>
      </c>
      <c r="D1338" s="61" t="s">
        <v>10703</v>
      </c>
      <c r="E1338" s="61" t="s">
        <v>10703</v>
      </c>
      <c r="F1338" s="62" t="s">
        <v>814</v>
      </c>
    </row>
    <row r="1339" customFormat="false" ht="15" hidden="false" customHeight="false" outlineLevel="0" collapsed="false">
      <c r="A1339" s="92" t="str">
        <f aca="false">Gov_Map!$H549&amp;""</f>
        <v>SRC_MOD_034</v>
      </c>
      <c r="B1339" s="65" t="str">
        <f aca="false">IF(A1339="","（哨兵：Gov_Map 該列無 SRC_ID）",IF(COUNTIF($A$5:$A$794,A1339)&gt;0,"（哨兵：此 SRC_ID 已在上方 SRC 頁，查詢不會命中本列）","（哨兵：SRC 頁查無此 ID）"))</f>
        <v>（哨兵：此 SRC_ID 已在上方 SRC 頁，查詢不會命中本列）</v>
      </c>
      <c r="C1339" s="61" t="n">
        <v>549</v>
      </c>
      <c r="D1339" s="61" t="s">
        <v>10703</v>
      </c>
      <c r="E1339" s="61" t="s">
        <v>10703</v>
      </c>
      <c r="F1339" s="62" t="s">
        <v>814</v>
      </c>
    </row>
    <row r="1340" customFormat="false" ht="15" hidden="false" customHeight="false" outlineLevel="0" collapsed="false">
      <c r="A1340" s="92" t="str">
        <f aca="false">Gov_Map!$H550&amp;""</f>
        <v>SRC_MOD_033</v>
      </c>
      <c r="B1340" s="65" t="str">
        <f aca="false">IF(A1340="","（哨兵：Gov_Map 該列無 SRC_ID）",IF(COUNTIF($A$5:$A$794,A1340)&gt;0,"（哨兵：此 SRC_ID 已在上方 SRC 頁，查詢不會命中本列）","（哨兵：SRC 頁查無此 ID）"))</f>
        <v>（哨兵：此 SRC_ID 已在上方 SRC 頁，查詢不會命中本列）</v>
      </c>
      <c r="C1340" s="61" t="n">
        <v>550</v>
      </c>
      <c r="D1340" s="61" t="s">
        <v>10703</v>
      </c>
      <c r="E1340" s="61" t="s">
        <v>10703</v>
      </c>
      <c r="F1340" s="62" t="s">
        <v>814</v>
      </c>
    </row>
    <row r="1341" customFormat="false" ht="15" hidden="false" customHeight="false" outlineLevel="0" collapsed="false">
      <c r="A1341" s="92" t="str">
        <f aca="false">Gov_Map!$H551&amp;""</f>
        <v>SRC_MOD_033</v>
      </c>
      <c r="B1341" s="65" t="str">
        <f aca="false">IF(A1341="","（哨兵：Gov_Map 該列無 SRC_ID）",IF(COUNTIF($A$5:$A$794,A1341)&gt;0,"（哨兵：此 SRC_ID 已在上方 SRC 頁，查詢不會命中本列）","（哨兵：SRC 頁查無此 ID）"))</f>
        <v>（哨兵：此 SRC_ID 已在上方 SRC 頁，查詢不會命中本列）</v>
      </c>
      <c r="C1341" s="61" t="n">
        <v>551</v>
      </c>
      <c r="D1341" s="61" t="s">
        <v>10703</v>
      </c>
      <c r="E1341" s="61" t="s">
        <v>10703</v>
      </c>
      <c r="F1341" s="62" t="s">
        <v>814</v>
      </c>
    </row>
    <row r="1342" customFormat="false" ht="15" hidden="false" customHeight="false" outlineLevel="0" collapsed="false">
      <c r="A1342" s="92" t="str">
        <f aca="false">Gov_Map!$H552&amp;""</f>
        <v>SRC_MOD_033</v>
      </c>
      <c r="B1342" s="65" t="str">
        <f aca="false">IF(A1342="","（哨兵：Gov_Map 該列無 SRC_ID）",IF(COUNTIF($A$5:$A$794,A1342)&gt;0,"（哨兵：此 SRC_ID 已在上方 SRC 頁，查詢不會命中本列）","（哨兵：SRC 頁查無此 ID）"))</f>
        <v>（哨兵：此 SRC_ID 已在上方 SRC 頁，查詢不會命中本列）</v>
      </c>
      <c r="C1342" s="61" t="n">
        <v>552</v>
      </c>
      <c r="D1342" s="61" t="s">
        <v>10703</v>
      </c>
      <c r="E1342" s="61" t="s">
        <v>10703</v>
      </c>
      <c r="F1342" s="62" t="s">
        <v>814</v>
      </c>
    </row>
    <row r="1343" customFormat="false" ht="15" hidden="false" customHeight="false" outlineLevel="0" collapsed="false">
      <c r="A1343" s="92" t="str">
        <f aca="false">Gov_Map!$H553&amp;""</f>
        <v>—</v>
      </c>
      <c r="B1343" s="65" t="str">
        <f aca="false">IF(A1343="","（哨兵：Gov_Map 該列無 SRC_ID）",IF(COUNTIF($A$5:$A$794,A1343)&gt;0,"（哨兵：此 SRC_ID 已在上方 SRC 頁，查詢不會命中本列）","（哨兵：SRC 頁查無此 ID）"))</f>
        <v>（哨兵：SRC 頁查無此 ID）</v>
      </c>
      <c r="C1343" s="61" t="n">
        <v>553</v>
      </c>
      <c r="D1343" s="61" t="s">
        <v>10703</v>
      </c>
      <c r="E1343" s="61" t="s">
        <v>10703</v>
      </c>
      <c r="F1343" s="62" t="s">
        <v>814</v>
      </c>
    </row>
    <row r="1344" customFormat="false" ht="15" hidden="false" customHeight="false" outlineLevel="0" collapsed="false">
      <c r="A1344" s="92" t="str">
        <f aca="false">Gov_Map!$H554&amp;""</f>
        <v>—</v>
      </c>
      <c r="B1344" s="65" t="str">
        <f aca="false">IF(A1344="","（哨兵：Gov_Map 該列無 SRC_ID）",IF(COUNTIF($A$5:$A$794,A1344)&gt;0,"（哨兵：此 SRC_ID 已在上方 SRC 頁，查詢不會命中本列）","（哨兵：SRC 頁查無此 ID）"))</f>
        <v>（哨兵：SRC 頁查無此 ID）</v>
      </c>
      <c r="C1344" s="61" t="n">
        <v>554</v>
      </c>
      <c r="D1344" s="61" t="s">
        <v>10703</v>
      </c>
      <c r="E1344" s="61" t="s">
        <v>10703</v>
      </c>
      <c r="F1344" s="62" t="s">
        <v>814</v>
      </c>
    </row>
    <row r="1345" customFormat="false" ht="15" hidden="false" customHeight="false" outlineLevel="0" collapsed="false">
      <c r="A1345" s="92" t="str">
        <f aca="false">Gov_Map!$H555&amp;""</f>
        <v>—</v>
      </c>
      <c r="B1345" s="65" t="str">
        <f aca="false">IF(A1345="","（哨兵：Gov_Map 該列無 SRC_ID）",IF(COUNTIF($A$5:$A$794,A1345)&gt;0,"（哨兵：此 SRC_ID 已在上方 SRC 頁，查詢不會命中本列）","（哨兵：SRC 頁查無此 ID）"))</f>
        <v>（哨兵：SRC 頁查無此 ID）</v>
      </c>
      <c r="C1345" s="61" t="n">
        <v>555</v>
      </c>
      <c r="D1345" s="61" t="s">
        <v>10703</v>
      </c>
      <c r="E1345" s="61" t="s">
        <v>10703</v>
      </c>
      <c r="F1345" s="62" t="s">
        <v>814</v>
      </c>
    </row>
    <row r="1346" customFormat="false" ht="15" hidden="false" customHeight="false" outlineLevel="0" collapsed="false">
      <c r="A1346" s="92" t="str">
        <f aca="false">Gov_Map!$H556&amp;""</f>
        <v>—</v>
      </c>
      <c r="B1346" s="65" t="str">
        <f aca="false">IF(A1346="","（哨兵：Gov_Map 該列無 SRC_ID）",IF(COUNTIF($A$5:$A$794,A1346)&gt;0,"（哨兵：此 SRC_ID 已在上方 SRC 頁，查詢不會命中本列）","（哨兵：SRC 頁查無此 ID）"))</f>
        <v>（哨兵：SRC 頁查無此 ID）</v>
      </c>
      <c r="C1346" s="61" t="n">
        <v>556</v>
      </c>
      <c r="D1346" s="61" t="s">
        <v>10703</v>
      </c>
      <c r="E1346" s="61" t="s">
        <v>10703</v>
      </c>
      <c r="F1346" s="62" t="s">
        <v>814</v>
      </c>
    </row>
    <row r="1347" customFormat="false" ht="15" hidden="false" customHeight="false" outlineLevel="0" collapsed="false">
      <c r="A1347" s="92" t="str">
        <f aca="false">Gov_Map!$H557&amp;""</f>
        <v>—</v>
      </c>
      <c r="B1347" s="65" t="str">
        <f aca="false">IF(A1347="","（哨兵：Gov_Map 該列無 SRC_ID）",IF(COUNTIF($A$5:$A$794,A1347)&gt;0,"（哨兵：此 SRC_ID 已在上方 SRC 頁，查詢不會命中本列）","（哨兵：SRC 頁查無此 ID）"))</f>
        <v>（哨兵：SRC 頁查無此 ID）</v>
      </c>
      <c r="C1347" s="61" t="n">
        <v>557</v>
      </c>
      <c r="D1347" s="61" t="s">
        <v>10703</v>
      </c>
      <c r="E1347" s="61" t="s">
        <v>10703</v>
      </c>
      <c r="F1347" s="62" t="s">
        <v>814</v>
      </c>
    </row>
    <row r="1348" customFormat="false" ht="15" hidden="false" customHeight="false" outlineLevel="0" collapsed="false">
      <c r="A1348" s="92" t="str">
        <f aca="false">Gov_Map!$H558&amp;""</f>
        <v>—</v>
      </c>
      <c r="B1348" s="65" t="str">
        <f aca="false">IF(A1348="","（哨兵：Gov_Map 該列無 SRC_ID）",IF(COUNTIF($A$5:$A$794,A1348)&gt;0,"（哨兵：此 SRC_ID 已在上方 SRC 頁，查詢不會命中本列）","（哨兵：SRC 頁查無此 ID）"))</f>
        <v>（哨兵：SRC 頁查無此 ID）</v>
      </c>
      <c r="C1348" s="61" t="n">
        <v>558</v>
      </c>
      <c r="D1348" s="61" t="s">
        <v>10703</v>
      </c>
      <c r="E1348" s="61" t="s">
        <v>10703</v>
      </c>
      <c r="F1348" s="62" t="s">
        <v>814</v>
      </c>
    </row>
    <row r="1349" customFormat="false" ht="15" hidden="false" customHeight="false" outlineLevel="0" collapsed="false">
      <c r="A1349" s="92" t="str">
        <f aca="false">Gov_Map!$H559&amp;""</f>
        <v>—</v>
      </c>
      <c r="B1349" s="65" t="str">
        <f aca="false">IF(A1349="","（哨兵：Gov_Map 該列無 SRC_ID）",IF(COUNTIF($A$5:$A$794,A1349)&gt;0,"（哨兵：此 SRC_ID 已在上方 SRC 頁，查詢不會命中本列）","（哨兵：SRC 頁查無此 ID）"))</f>
        <v>（哨兵：SRC 頁查無此 ID）</v>
      </c>
      <c r="C1349" s="61" t="n">
        <v>559</v>
      </c>
      <c r="D1349" s="61" t="s">
        <v>10703</v>
      </c>
      <c r="E1349" s="61" t="s">
        <v>10703</v>
      </c>
      <c r="F1349" s="62" t="s">
        <v>814</v>
      </c>
    </row>
    <row r="1350" customFormat="false" ht="15" hidden="false" customHeight="false" outlineLevel="0" collapsed="false">
      <c r="A1350" s="92" t="str">
        <f aca="false">Gov_Map!$H560&amp;""</f>
        <v>—</v>
      </c>
      <c r="B1350" s="65" t="str">
        <f aca="false">IF(A1350="","（哨兵：Gov_Map 該列無 SRC_ID）",IF(COUNTIF($A$5:$A$794,A1350)&gt;0,"（哨兵：此 SRC_ID 已在上方 SRC 頁，查詢不會命中本列）","（哨兵：SRC 頁查無此 ID）"))</f>
        <v>（哨兵：SRC 頁查無此 ID）</v>
      </c>
      <c r="C1350" s="61" t="n">
        <v>560</v>
      </c>
      <c r="D1350" s="61" t="s">
        <v>10703</v>
      </c>
      <c r="E1350" s="61" t="s">
        <v>10703</v>
      </c>
      <c r="F1350" s="62" t="s">
        <v>814</v>
      </c>
    </row>
    <row r="1351" customFormat="false" ht="15" hidden="false" customHeight="false" outlineLevel="0" collapsed="false">
      <c r="A1351" s="92" t="str">
        <f aca="false">Gov_Map!$H561&amp;""</f>
        <v>—</v>
      </c>
      <c r="B1351" s="65" t="str">
        <f aca="false">IF(A1351="","（哨兵：Gov_Map 該列無 SRC_ID）",IF(COUNTIF($A$5:$A$794,A1351)&gt;0,"（哨兵：此 SRC_ID 已在上方 SRC 頁，查詢不會命中本列）","（哨兵：SRC 頁查無此 ID）"))</f>
        <v>（哨兵：SRC 頁查無此 ID）</v>
      </c>
      <c r="C1351" s="61" t="n">
        <v>561</v>
      </c>
      <c r="D1351" s="61" t="s">
        <v>10703</v>
      </c>
      <c r="E1351" s="61" t="s">
        <v>10703</v>
      </c>
      <c r="F1351" s="62" t="s">
        <v>814</v>
      </c>
    </row>
    <row r="1352" customFormat="false" ht="15" hidden="false" customHeight="false" outlineLevel="0" collapsed="false">
      <c r="A1352" s="92" t="str">
        <f aca="false">Gov_Map!$H562&amp;""</f>
        <v>—</v>
      </c>
      <c r="B1352" s="65" t="str">
        <f aca="false">IF(A1352="","（哨兵：Gov_Map 該列無 SRC_ID）",IF(COUNTIF($A$5:$A$794,A1352)&gt;0,"（哨兵：此 SRC_ID 已在上方 SRC 頁，查詢不會命中本列）","（哨兵：SRC 頁查無此 ID）"))</f>
        <v>（哨兵：SRC 頁查無此 ID）</v>
      </c>
      <c r="C1352" s="61" t="n">
        <v>562</v>
      </c>
      <c r="D1352" s="61" t="s">
        <v>10703</v>
      </c>
      <c r="E1352" s="61" t="s">
        <v>10703</v>
      </c>
      <c r="F1352" s="62" t="s">
        <v>814</v>
      </c>
    </row>
    <row r="1353" customFormat="false" ht="15" hidden="false" customHeight="false" outlineLevel="0" collapsed="false">
      <c r="A1353" s="92" t="str">
        <f aca="false">Gov_Map!$H563&amp;""</f>
        <v>—</v>
      </c>
      <c r="B1353" s="65" t="str">
        <f aca="false">IF(A1353="","（哨兵：Gov_Map 該列無 SRC_ID）",IF(COUNTIF($A$5:$A$794,A1353)&gt;0,"（哨兵：此 SRC_ID 已在上方 SRC 頁，查詢不會命中本列）","（哨兵：SRC 頁查無此 ID）"))</f>
        <v>（哨兵：SRC 頁查無此 ID）</v>
      </c>
      <c r="C1353" s="61" t="n">
        <v>563</v>
      </c>
      <c r="D1353" s="61" t="s">
        <v>10703</v>
      </c>
      <c r="E1353" s="61" t="s">
        <v>10703</v>
      </c>
      <c r="F1353" s="62" t="s">
        <v>814</v>
      </c>
    </row>
    <row r="1354" customFormat="false" ht="15" hidden="false" customHeight="false" outlineLevel="0" collapsed="false">
      <c r="A1354" s="92" t="str">
        <f aca="false">Gov_Map!$H564&amp;""</f>
        <v>—</v>
      </c>
      <c r="B1354" s="65" t="str">
        <f aca="false">IF(A1354="","（哨兵：Gov_Map 該列無 SRC_ID）",IF(COUNTIF($A$5:$A$794,A1354)&gt;0,"（哨兵：此 SRC_ID 已在上方 SRC 頁，查詢不會命中本列）","（哨兵：SRC 頁查無此 ID）"))</f>
        <v>（哨兵：SRC 頁查無此 ID）</v>
      </c>
      <c r="C1354" s="61" t="n">
        <v>564</v>
      </c>
      <c r="D1354" s="61" t="s">
        <v>10703</v>
      </c>
      <c r="E1354" s="61" t="s">
        <v>10703</v>
      </c>
      <c r="F1354" s="62" t="s">
        <v>814</v>
      </c>
    </row>
    <row r="1355" customFormat="false" ht="15" hidden="false" customHeight="false" outlineLevel="0" collapsed="false">
      <c r="A1355" s="92" t="str">
        <f aca="false">Gov_Map!$H565&amp;""</f>
        <v>—</v>
      </c>
      <c r="B1355" s="65" t="str">
        <f aca="false">IF(A1355="","（哨兵：Gov_Map 該列無 SRC_ID）",IF(COUNTIF($A$5:$A$794,A1355)&gt;0,"（哨兵：此 SRC_ID 已在上方 SRC 頁，查詢不會命中本列）","（哨兵：SRC 頁查無此 ID）"))</f>
        <v>（哨兵：SRC 頁查無此 ID）</v>
      </c>
      <c r="C1355" s="61" t="n">
        <v>565</v>
      </c>
      <c r="D1355" s="61" t="s">
        <v>10703</v>
      </c>
      <c r="E1355" s="61" t="s">
        <v>10703</v>
      </c>
      <c r="F1355" s="62" t="s">
        <v>814</v>
      </c>
    </row>
    <row r="1356" customFormat="false" ht="15" hidden="false" customHeight="false" outlineLevel="0" collapsed="false">
      <c r="A1356" s="92" t="str">
        <f aca="false">Gov_Map!$H566&amp;""</f>
        <v>—</v>
      </c>
      <c r="B1356" s="65" t="str">
        <f aca="false">IF(A1356="","（哨兵：Gov_Map 該列無 SRC_ID）",IF(COUNTIF($A$5:$A$794,A1356)&gt;0,"（哨兵：此 SRC_ID 已在上方 SRC 頁，查詢不會命中本列）","（哨兵：SRC 頁查無此 ID）"))</f>
        <v>（哨兵：SRC 頁查無此 ID）</v>
      </c>
      <c r="C1356" s="61" t="n">
        <v>566</v>
      </c>
      <c r="D1356" s="61" t="s">
        <v>10703</v>
      </c>
      <c r="E1356" s="61" t="s">
        <v>10703</v>
      </c>
      <c r="F1356" s="62" t="s">
        <v>814</v>
      </c>
    </row>
    <row r="1357" customFormat="false" ht="15" hidden="false" customHeight="false" outlineLevel="0" collapsed="false">
      <c r="A1357" s="92" t="str">
        <f aca="false">Gov_Map!$H567&amp;""</f>
        <v>—</v>
      </c>
      <c r="B1357" s="65" t="str">
        <f aca="false">IF(A1357="","（哨兵：Gov_Map 該列無 SRC_ID）",IF(COUNTIF($A$5:$A$794,A1357)&gt;0,"（哨兵：此 SRC_ID 已在上方 SRC 頁，查詢不會命中本列）","（哨兵：SRC 頁查無此 ID）"))</f>
        <v>（哨兵：SRC 頁查無此 ID）</v>
      </c>
      <c r="C1357" s="61" t="n">
        <v>567</v>
      </c>
      <c r="D1357" s="61" t="s">
        <v>10703</v>
      </c>
      <c r="E1357" s="61" t="s">
        <v>10703</v>
      </c>
      <c r="F1357" s="62" t="s">
        <v>814</v>
      </c>
    </row>
    <row r="1358" customFormat="false" ht="15" hidden="false" customHeight="false" outlineLevel="0" collapsed="false">
      <c r="A1358" s="92" t="str">
        <f aca="false">Gov_Map!$H568&amp;""</f>
        <v>—</v>
      </c>
      <c r="B1358" s="65" t="str">
        <f aca="false">IF(A1358="","（哨兵：Gov_Map 該列無 SRC_ID）",IF(COUNTIF($A$5:$A$794,A1358)&gt;0,"（哨兵：此 SRC_ID 已在上方 SRC 頁，查詢不會命中本列）","（哨兵：SRC 頁查無此 ID）"))</f>
        <v>（哨兵：SRC 頁查無此 ID）</v>
      </c>
      <c r="C1358" s="61" t="n">
        <v>568</v>
      </c>
      <c r="D1358" s="61" t="s">
        <v>10703</v>
      </c>
      <c r="E1358" s="61" t="s">
        <v>10703</v>
      </c>
      <c r="F1358" s="62" t="s">
        <v>814</v>
      </c>
    </row>
    <row r="1359" customFormat="false" ht="15" hidden="false" customHeight="false" outlineLevel="0" collapsed="false">
      <c r="A1359" s="92" t="str">
        <f aca="false">Gov_Map!$H569&amp;""</f>
        <v>—</v>
      </c>
      <c r="B1359" s="65" t="str">
        <f aca="false">IF(A1359="","（哨兵：Gov_Map 該列無 SRC_ID）",IF(COUNTIF($A$5:$A$794,A1359)&gt;0,"（哨兵：此 SRC_ID 已在上方 SRC 頁，查詢不會命中本列）","（哨兵：SRC 頁查無此 ID）"))</f>
        <v>（哨兵：SRC 頁查無此 ID）</v>
      </c>
      <c r="C1359" s="61" t="n">
        <v>569</v>
      </c>
      <c r="D1359" s="61" t="s">
        <v>10703</v>
      </c>
      <c r="E1359" s="61" t="s">
        <v>10703</v>
      </c>
      <c r="F1359" s="62" t="s">
        <v>814</v>
      </c>
    </row>
    <row r="1360" customFormat="false" ht="15" hidden="false" customHeight="false" outlineLevel="0" collapsed="false">
      <c r="A1360" s="92" t="str">
        <f aca="false">Gov_Map!$H570&amp;""</f>
        <v>—</v>
      </c>
      <c r="B1360" s="65" t="str">
        <f aca="false">IF(A1360="","（哨兵：Gov_Map 該列無 SRC_ID）",IF(COUNTIF($A$5:$A$794,A1360)&gt;0,"（哨兵：此 SRC_ID 已在上方 SRC 頁，查詢不會命中本列）","（哨兵：SRC 頁查無此 ID）"))</f>
        <v>（哨兵：SRC 頁查無此 ID）</v>
      </c>
      <c r="C1360" s="61" t="n">
        <v>570</v>
      </c>
      <c r="D1360" s="61" t="s">
        <v>10703</v>
      </c>
      <c r="E1360" s="61" t="s">
        <v>10703</v>
      </c>
      <c r="F1360" s="62" t="s">
        <v>814</v>
      </c>
    </row>
    <row r="1361" customFormat="false" ht="15" hidden="false" customHeight="false" outlineLevel="0" collapsed="false">
      <c r="A1361" s="92" t="str">
        <f aca="false">Gov_Map!$H571&amp;""</f>
        <v>—</v>
      </c>
      <c r="B1361" s="65" t="str">
        <f aca="false">IF(A1361="","（哨兵：Gov_Map 該列無 SRC_ID）",IF(COUNTIF($A$5:$A$794,A1361)&gt;0,"（哨兵：此 SRC_ID 已在上方 SRC 頁，查詢不會命中本列）","（哨兵：SRC 頁查無此 ID）"))</f>
        <v>（哨兵：SRC 頁查無此 ID）</v>
      </c>
      <c r="C1361" s="61" t="n">
        <v>571</v>
      </c>
      <c r="D1361" s="61" t="s">
        <v>10703</v>
      </c>
      <c r="E1361" s="61" t="s">
        <v>10703</v>
      </c>
      <c r="F1361" s="62" t="s">
        <v>814</v>
      </c>
    </row>
    <row r="1362" customFormat="false" ht="15" hidden="false" customHeight="false" outlineLevel="0" collapsed="false">
      <c r="A1362" s="92" t="str">
        <f aca="false">Gov_Map!$H572&amp;""</f>
        <v>—</v>
      </c>
      <c r="B1362" s="65" t="str">
        <f aca="false">IF(A1362="","（哨兵：Gov_Map 該列無 SRC_ID）",IF(COUNTIF($A$5:$A$794,A1362)&gt;0,"（哨兵：此 SRC_ID 已在上方 SRC 頁，查詢不會命中本列）","（哨兵：SRC 頁查無此 ID）"))</f>
        <v>（哨兵：SRC 頁查無此 ID）</v>
      </c>
      <c r="C1362" s="61" t="n">
        <v>572</v>
      </c>
      <c r="D1362" s="61" t="s">
        <v>10703</v>
      </c>
      <c r="E1362" s="61" t="s">
        <v>10703</v>
      </c>
      <c r="F1362" s="62" t="s">
        <v>814</v>
      </c>
    </row>
    <row r="1363" customFormat="false" ht="15" hidden="false" customHeight="false" outlineLevel="0" collapsed="false">
      <c r="A1363" s="92" t="str">
        <f aca="false">Gov_Map!$H573&amp;""</f>
        <v>—</v>
      </c>
      <c r="B1363" s="65" t="str">
        <f aca="false">IF(A1363="","（哨兵：Gov_Map 該列無 SRC_ID）",IF(COUNTIF($A$5:$A$794,A1363)&gt;0,"（哨兵：此 SRC_ID 已在上方 SRC 頁，查詢不會命中本列）","（哨兵：SRC 頁查無此 ID）"))</f>
        <v>（哨兵：SRC 頁查無此 ID）</v>
      </c>
      <c r="C1363" s="61" t="n">
        <v>573</v>
      </c>
      <c r="D1363" s="61" t="s">
        <v>10703</v>
      </c>
      <c r="E1363" s="61" t="s">
        <v>10703</v>
      </c>
      <c r="F1363" s="62" t="s">
        <v>814</v>
      </c>
    </row>
    <row r="1364" customFormat="false" ht="15" hidden="false" customHeight="false" outlineLevel="0" collapsed="false">
      <c r="A1364" s="92" t="str">
        <f aca="false">Gov_Map!$H574&amp;""</f>
        <v>SRC_MOD_009</v>
      </c>
      <c r="B1364" s="65" t="str">
        <f aca="false">IF(A1364="","（哨兵：Gov_Map 該列無 SRC_ID）",IF(COUNTIF($A$5:$A$794,A1364)&gt;0,"（哨兵：此 SRC_ID 已在上方 SRC 頁，查詢不會命中本列）","（哨兵：SRC 頁查無此 ID）"))</f>
        <v>（哨兵：此 SRC_ID 已在上方 SRC 頁，查詢不會命中本列）</v>
      </c>
      <c r="C1364" s="61" t="n">
        <v>574</v>
      </c>
      <c r="D1364" s="61" t="s">
        <v>10703</v>
      </c>
      <c r="E1364" s="61" t="s">
        <v>10703</v>
      </c>
      <c r="F1364" s="62" t="s">
        <v>814</v>
      </c>
    </row>
    <row r="1365" customFormat="false" ht="15" hidden="false" customHeight="false" outlineLevel="0" collapsed="false">
      <c r="A1365" s="92" t="str">
        <f aca="false">Gov_Map!$H575&amp;""</f>
        <v>SRC_MOD_028</v>
      </c>
      <c r="B1365" s="65" t="str">
        <f aca="false">IF(A1365="","（哨兵：Gov_Map 該列無 SRC_ID）",IF(COUNTIF($A$5:$A$794,A1365)&gt;0,"（哨兵：此 SRC_ID 已在上方 SRC 頁，查詢不會命中本列）","（哨兵：SRC 頁查無此 ID）"))</f>
        <v>（哨兵：此 SRC_ID 已在上方 SRC 頁，查詢不會命中本列）</v>
      </c>
      <c r="C1365" s="61" t="n">
        <v>575</v>
      </c>
      <c r="D1365" s="61" t="s">
        <v>10703</v>
      </c>
      <c r="E1365" s="61" t="s">
        <v>10703</v>
      </c>
      <c r="F1365" s="62" t="s">
        <v>814</v>
      </c>
    </row>
    <row r="1366" customFormat="false" ht="15" hidden="false" customHeight="false" outlineLevel="0" collapsed="false">
      <c r="A1366" s="92" t="str">
        <f aca="false">Gov_Map!$H576&amp;""</f>
        <v>—</v>
      </c>
      <c r="B1366" s="65" t="str">
        <f aca="false">IF(A1366="","（哨兵：Gov_Map 該列無 SRC_ID）",IF(COUNTIF($A$5:$A$794,A1366)&gt;0,"（哨兵：此 SRC_ID 已在上方 SRC 頁，查詢不會命中本列）","（哨兵：SRC 頁查無此 ID）"))</f>
        <v>（哨兵：SRC 頁查無此 ID）</v>
      </c>
      <c r="C1366" s="61" t="n">
        <v>576</v>
      </c>
      <c r="D1366" s="61" t="s">
        <v>10703</v>
      </c>
      <c r="E1366" s="61" t="s">
        <v>10703</v>
      </c>
      <c r="F1366" s="62" t="s">
        <v>814</v>
      </c>
    </row>
    <row r="1367" customFormat="false" ht="15" hidden="false" customHeight="false" outlineLevel="0" collapsed="false">
      <c r="A1367" s="92" t="str">
        <f aca="false">Gov_Map!$H577&amp;""</f>
        <v>—</v>
      </c>
      <c r="B1367" s="65" t="str">
        <f aca="false">IF(A1367="","（哨兵：Gov_Map 該列無 SRC_ID）",IF(COUNTIF($A$5:$A$794,A1367)&gt;0,"（哨兵：此 SRC_ID 已在上方 SRC 頁，查詢不會命中本列）","（哨兵：SRC 頁查無此 ID）"))</f>
        <v>（哨兵：SRC 頁查無此 ID）</v>
      </c>
      <c r="C1367" s="61" t="n">
        <v>577</v>
      </c>
      <c r="D1367" s="61" t="s">
        <v>10703</v>
      </c>
      <c r="E1367" s="61" t="s">
        <v>10703</v>
      </c>
      <c r="F1367" s="62" t="s">
        <v>814</v>
      </c>
    </row>
    <row r="1368" customFormat="false" ht="15" hidden="false" customHeight="false" outlineLevel="0" collapsed="false">
      <c r="A1368" s="92" t="str">
        <f aca="false">Gov_Map!$H578&amp;""</f>
        <v>SRC_HW_055</v>
      </c>
      <c r="B1368" s="65" t="str">
        <f aca="false">IF(A1368="","（哨兵：Gov_Map 該列無 SRC_ID）",IF(COUNTIF($A$5:$A$794,A1368)&gt;0,"（哨兵：此 SRC_ID 已在上方 SRC 頁，查詢不會命中本列）","（哨兵：SRC 頁查無此 ID）"))</f>
        <v>（哨兵：此 SRC_ID 已在上方 SRC 頁，查詢不會命中本列）</v>
      </c>
      <c r="C1368" s="61" t="n">
        <v>578</v>
      </c>
      <c r="D1368" s="61" t="s">
        <v>10703</v>
      </c>
      <c r="E1368" s="61" t="s">
        <v>10703</v>
      </c>
      <c r="F1368" s="62" t="s">
        <v>814</v>
      </c>
    </row>
    <row r="1369" customFormat="false" ht="15" hidden="false" customHeight="false" outlineLevel="0" collapsed="false">
      <c r="A1369" s="92" t="str">
        <f aca="false">Gov_Map!$H579&amp;""</f>
        <v>—</v>
      </c>
      <c r="B1369" s="65" t="str">
        <f aca="false">IF(A1369="","（哨兵：Gov_Map 該列無 SRC_ID）",IF(COUNTIF($A$5:$A$794,A1369)&gt;0,"（哨兵：此 SRC_ID 已在上方 SRC 頁，查詢不會命中本列）","（哨兵：SRC 頁查無此 ID）"))</f>
        <v>（哨兵：SRC 頁查無此 ID）</v>
      </c>
      <c r="C1369" s="61" t="n">
        <v>579</v>
      </c>
      <c r="D1369" s="61" t="s">
        <v>10703</v>
      </c>
      <c r="E1369" s="61" t="s">
        <v>10703</v>
      </c>
      <c r="F1369" s="62" t="s">
        <v>814</v>
      </c>
    </row>
    <row r="1370" customFormat="false" ht="15" hidden="false" customHeight="false" outlineLevel="0" collapsed="false">
      <c r="A1370" s="92" t="str">
        <f aca="false">Gov_Map!$H580&amp;""</f>
        <v>—</v>
      </c>
      <c r="B1370" s="65" t="str">
        <f aca="false">IF(A1370="","（哨兵：Gov_Map 該列無 SRC_ID）",IF(COUNTIF($A$5:$A$794,A1370)&gt;0,"（哨兵：此 SRC_ID 已在上方 SRC 頁，查詢不會命中本列）","（哨兵：SRC 頁查無此 ID）"))</f>
        <v>（哨兵：SRC 頁查無此 ID）</v>
      </c>
      <c r="C1370" s="61" t="n">
        <v>580</v>
      </c>
      <c r="D1370" s="61" t="s">
        <v>10703</v>
      </c>
      <c r="E1370" s="61" t="s">
        <v>10703</v>
      </c>
      <c r="F1370" s="62" t="s">
        <v>814</v>
      </c>
    </row>
    <row r="1371" customFormat="false" ht="15" hidden="false" customHeight="false" outlineLevel="0" collapsed="false">
      <c r="A1371" s="92" t="str">
        <f aca="false">Gov_Map!$H581&amp;""</f>
        <v>—</v>
      </c>
      <c r="B1371" s="65" t="str">
        <f aca="false">IF(A1371="","（哨兵：Gov_Map 該列無 SRC_ID）",IF(COUNTIF($A$5:$A$794,A1371)&gt;0,"（哨兵：此 SRC_ID 已在上方 SRC 頁，查詢不會命中本列）","（哨兵：SRC 頁查無此 ID）"))</f>
        <v>（哨兵：SRC 頁查無此 ID）</v>
      </c>
      <c r="C1371" s="61" t="n">
        <v>581</v>
      </c>
      <c r="D1371" s="61" t="s">
        <v>10703</v>
      </c>
      <c r="E1371" s="61" t="s">
        <v>10703</v>
      </c>
      <c r="F1371" s="62" t="s">
        <v>814</v>
      </c>
    </row>
    <row r="1372" customFormat="false" ht="15" hidden="false" customHeight="false" outlineLevel="0" collapsed="false">
      <c r="A1372" s="92" t="str">
        <f aca="false">Gov_Map!$H582&amp;""</f>
        <v>—</v>
      </c>
      <c r="B1372" s="65" t="str">
        <f aca="false">IF(A1372="","（哨兵：Gov_Map 該列無 SRC_ID）",IF(COUNTIF($A$5:$A$794,A1372)&gt;0,"（哨兵：此 SRC_ID 已在上方 SRC 頁，查詢不會命中本列）","（哨兵：SRC 頁查無此 ID）"))</f>
        <v>（哨兵：SRC 頁查無此 ID）</v>
      </c>
      <c r="C1372" s="61" t="n">
        <v>582</v>
      </c>
      <c r="D1372" s="61" t="s">
        <v>10703</v>
      </c>
      <c r="E1372" s="61" t="s">
        <v>10703</v>
      </c>
      <c r="F1372" s="62" t="s">
        <v>814</v>
      </c>
    </row>
    <row r="1373" customFormat="false" ht="15" hidden="false" customHeight="false" outlineLevel="0" collapsed="false">
      <c r="A1373" s="92" t="str">
        <f aca="false">Gov_Map!$H583&amp;""</f>
        <v>—</v>
      </c>
      <c r="B1373" s="65" t="str">
        <f aca="false">IF(A1373="","（哨兵：Gov_Map 該列無 SRC_ID）",IF(COUNTIF($A$5:$A$794,A1373)&gt;0,"（哨兵：此 SRC_ID 已在上方 SRC 頁，查詢不會命中本列）","（哨兵：SRC 頁查無此 ID）"))</f>
        <v>（哨兵：SRC 頁查無此 ID）</v>
      </c>
      <c r="C1373" s="61" t="n">
        <v>583</v>
      </c>
      <c r="D1373" s="61" t="s">
        <v>10703</v>
      </c>
      <c r="E1373" s="61" t="s">
        <v>10703</v>
      </c>
      <c r="F1373" s="62" t="s">
        <v>814</v>
      </c>
    </row>
    <row r="1374" customFormat="false" ht="15" hidden="false" customHeight="false" outlineLevel="0" collapsed="false">
      <c r="A1374" s="92" t="str">
        <f aca="false">Gov_Map!$H584&amp;""</f>
        <v>—</v>
      </c>
      <c r="B1374" s="65" t="str">
        <f aca="false">IF(A1374="","（哨兵：Gov_Map 該列無 SRC_ID）",IF(COUNTIF($A$5:$A$794,A1374)&gt;0,"（哨兵：此 SRC_ID 已在上方 SRC 頁，查詢不會命中本列）","（哨兵：SRC 頁查無此 ID）"))</f>
        <v>（哨兵：SRC 頁查無此 ID）</v>
      </c>
      <c r="C1374" s="61" t="n">
        <v>584</v>
      </c>
      <c r="D1374" s="61" t="s">
        <v>10703</v>
      </c>
      <c r="E1374" s="61" t="s">
        <v>10703</v>
      </c>
      <c r="F1374" s="62" t="s">
        <v>814</v>
      </c>
    </row>
    <row r="1375" customFormat="false" ht="15" hidden="false" customHeight="false" outlineLevel="0" collapsed="false">
      <c r="A1375" s="92" t="str">
        <f aca="false">Gov_Map!$H585&amp;""</f>
        <v>—</v>
      </c>
      <c r="B1375" s="65" t="str">
        <f aca="false">IF(A1375="","（哨兵：Gov_Map 該列無 SRC_ID）",IF(COUNTIF($A$5:$A$794,A1375)&gt;0,"（哨兵：此 SRC_ID 已在上方 SRC 頁，查詢不會命中本列）","（哨兵：SRC 頁查無此 ID）"))</f>
        <v>（哨兵：SRC 頁查無此 ID）</v>
      </c>
      <c r="C1375" s="61" t="n">
        <v>585</v>
      </c>
      <c r="D1375" s="61" t="s">
        <v>10703</v>
      </c>
      <c r="E1375" s="61" t="s">
        <v>10703</v>
      </c>
      <c r="F1375" s="62" t="s">
        <v>814</v>
      </c>
    </row>
    <row r="1376" customFormat="false" ht="15" hidden="false" customHeight="false" outlineLevel="0" collapsed="false">
      <c r="A1376" s="92" t="str">
        <f aca="false">Gov_Map!$H586&amp;""</f>
        <v>—</v>
      </c>
      <c r="B1376" s="65" t="str">
        <f aca="false">IF(A1376="","（哨兵：Gov_Map 該列無 SRC_ID）",IF(COUNTIF($A$5:$A$794,A1376)&gt;0,"（哨兵：此 SRC_ID 已在上方 SRC 頁，查詢不會命中本列）","（哨兵：SRC 頁查無此 ID）"))</f>
        <v>（哨兵：SRC 頁查無此 ID）</v>
      </c>
      <c r="C1376" s="61" t="n">
        <v>586</v>
      </c>
      <c r="D1376" s="61" t="s">
        <v>10703</v>
      </c>
      <c r="E1376" s="61" t="s">
        <v>10703</v>
      </c>
      <c r="F1376" s="62" t="s">
        <v>814</v>
      </c>
    </row>
    <row r="1377" customFormat="false" ht="15" hidden="false" customHeight="false" outlineLevel="0" collapsed="false">
      <c r="A1377" s="92" t="str">
        <f aca="false">Gov_Map!$H587&amp;""</f>
        <v>—</v>
      </c>
      <c r="B1377" s="65" t="str">
        <f aca="false">IF(A1377="","（哨兵：Gov_Map 該列無 SRC_ID）",IF(COUNTIF($A$5:$A$794,A1377)&gt;0,"（哨兵：此 SRC_ID 已在上方 SRC 頁，查詢不會命中本列）","（哨兵：SRC 頁查無此 ID）"))</f>
        <v>（哨兵：SRC 頁查無此 ID）</v>
      </c>
      <c r="C1377" s="61" t="n">
        <v>587</v>
      </c>
      <c r="D1377" s="61" t="s">
        <v>10703</v>
      </c>
      <c r="E1377" s="61" t="s">
        <v>10703</v>
      </c>
      <c r="F1377" s="62" t="s">
        <v>814</v>
      </c>
    </row>
    <row r="1378" customFormat="false" ht="15" hidden="false" customHeight="false" outlineLevel="0" collapsed="false">
      <c r="A1378" s="92" t="str">
        <f aca="false">Gov_Map!$H588&amp;""</f>
        <v>SRC_DEM_010</v>
      </c>
      <c r="B1378" s="65" t="str">
        <f aca="false">IF(A1378="","（哨兵：Gov_Map 該列無 SRC_ID）",IF(COUNTIF($A$5:$A$794,A1378)&gt;0,"（哨兵：此 SRC_ID 已在上方 SRC 頁，查詢不會命中本列）","（哨兵：SRC 頁查無此 ID）"))</f>
        <v>（哨兵：此 SRC_ID 已在上方 SRC 頁，查詢不會命中本列）</v>
      </c>
      <c r="C1378" s="61" t="n">
        <v>588</v>
      </c>
      <c r="D1378" s="61" t="s">
        <v>10703</v>
      </c>
      <c r="E1378" s="61" t="s">
        <v>10703</v>
      </c>
      <c r="F1378" s="62" t="s">
        <v>814</v>
      </c>
    </row>
    <row r="1379" customFormat="false" ht="15" hidden="false" customHeight="false" outlineLevel="0" collapsed="false">
      <c r="A1379" s="92" t="str">
        <f aca="false">Gov_Map!$H589&amp;""</f>
        <v>—</v>
      </c>
      <c r="B1379" s="65" t="str">
        <f aca="false">IF(A1379="","（哨兵：Gov_Map 該列無 SRC_ID）",IF(COUNTIF($A$5:$A$794,A1379)&gt;0,"（哨兵：此 SRC_ID 已在上方 SRC 頁，查詢不會命中本列）","（哨兵：SRC 頁查無此 ID）"))</f>
        <v>（哨兵：SRC 頁查無此 ID）</v>
      </c>
      <c r="C1379" s="61" t="n">
        <v>589</v>
      </c>
      <c r="D1379" s="61" t="s">
        <v>10703</v>
      </c>
      <c r="E1379" s="61" t="s">
        <v>10703</v>
      </c>
      <c r="F1379" s="62" t="s">
        <v>814</v>
      </c>
    </row>
    <row r="1380" customFormat="false" ht="15" hidden="false" customHeight="false" outlineLevel="0" collapsed="false">
      <c r="A1380" s="92" t="str">
        <f aca="false">Gov_Map!$H590&amp;""</f>
        <v>SRC_DEM_012</v>
      </c>
      <c r="B1380" s="65" t="str">
        <f aca="false">IF(A1380="","（哨兵：Gov_Map 該列無 SRC_ID）",IF(COUNTIF($A$5:$A$794,A1380)&gt;0,"（哨兵：此 SRC_ID 已在上方 SRC 頁，查詢不會命中本列）","（哨兵：SRC 頁查無此 ID）"))</f>
        <v>（哨兵：此 SRC_ID 已在上方 SRC 頁，查詢不會命中本列）</v>
      </c>
      <c r="C1380" s="61" t="n">
        <v>590</v>
      </c>
      <c r="D1380" s="61" t="s">
        <v>10703</v>
      </c>
      <c r="E1380" s="61" t="s">
        <v>10703</v>
      </c>
      <c r="F1380" s="62" t="s">
        <v>814</v>
      </c>
    </row>
    <row r="1381" customFormat="false" ht="15" hidden="false" customHeight="false" outlineLevel="0" collapsed="false">
      <c r="A1381" s="92" t="str">
        <f aca="false">Gov_Map!$H591&amp;""</f>
        <v>—</v>
      </c>
      <c r="B1381" s="65" t="str">
        <f aca="false">IF(A1381="","（哨兵：Gov_Map 該列無 SRC_ID）",IF(COUNTIF($A$5:$A$794,A1381)&gt;0,"（哨兵：此 SRC_ID 已在上方 SRC 頁，查詢不會命中本列）","（哨兵：SRC 頁查無此 ID）"))</f>
        <v>（哨兵：SRC 頁查無此 ID）</v>
      </c>
      <c r="C1381" s="61" t="n">
        <v>591</v>
      </c>
      <c r="D1381" s="61" t="s">
        <v>10703</v>
      </c>
      <c r="E1381" s="61" t="s">
        <v>10703</v>
      </c>
      <c r="F1381" s="62" t="s">
        <v>814</v>
      </c>
    </row>
    <row r="1382" customFormat="false" ht="15" hidden="false" customHeight="false" outlineLevel="0" collapsed="false">
      <c r="A1382" s="92" t="str">
        <f aca="false">Gov_Map!$H592&amp;""</f>
        <v>SRC_DEM_005</v>
      </c>
      <c r="B1382" s="65" t="str">
        <f aca="false">IF(A1382="","（哨兵：Gov_Map 該列無 SRC_ID）",IF(COUNTIF($A$5:$A$794,A1382)&gt;0,"（哨兵：此 SRC_ID 已在上方 SRC 頁，查詢不會命中本列）","（哨兵：SRC 頁查無此 ID）"))</f>
        <v>（哨兵：此 SRC_ID 已在上方 SRC 頁，查詢不會命中本列）</v>
      </c>
      <c r="C1382" s="61" t="n">
        <v>592</v>
      </c>
      <c r="D1382" s="61" t="s">
        <v>10703</v>
      </c>
      <c r="E1382" s="61" t="s">
        <v>10703</v>
      </c>
      <c r="F1382" s="62" t="s">
        <v>814</v>
      </c>
    </row>
    <row r="1383" customFormat="false" ht="15" hidden="false" customHeight="false" outlineLevel="0" collapsed="false">
      <c r="A1383" s="92" t="str">
        <f aca="false">Gov_Map!$H593&amp;""</f>
        <v>—</v>
      </c>
      <c r="B1383" s="65" t="str">
        <f aca="false">IF(A1383="","（哨兵：Gov_Map 該列無 SRC_ID）",IF(COUNTIF($A$5:$A$794,A1383)&gt;0,"（哨兵：此 SRC_ID 已在上方 SRC 頁，查詢不會命中本列）","（哨兵：SRC 頁查無此 ID）"))</f>
        <v>（哨兵：SRC 頁查無此 ID）</v>
      </c>
      <c r="C1383" s="61" t="n">
        <v>593</v>
      </c>
      <c r="D1383" s="61" t="s">
        <v>10703</v>
      </c>
      <c r="E1383" s="61" t="s">
        <v>10703</v>
      </c>
      <c r="F1383" s="62" t="s">
        <v>814</v>
      </c>
    </row>
    <row r="1384" customFormat="false" ht="15" hidden="false" customHeight="false" outlineLevel="0" collapsed="false">
      <c r="A1384" s="92" t="str">
        <f aca="false">Gov_Map!$H594&amp;""</f>
        <v>—</v>
      </c>
      <c r="B1384" s="65" t="str">
        <f aca="false">IF(A1384="","（哨兵：Gov_Map 該列無 SRC_ID）",IF(COUNTIF($A$5:$A$794,A1384)&gt;0,"（哨兵：此 SRC_ID 已在上方 SRC 頁，查詢不會命中本列）","（哨兵：SRC 頁查無此 ID）"))</f>
        <v>（哨兵：SRC 頁查無此 ID）</v>
      </c>
      <c r="C1384" s="61" t="n">
        <v>594</v>
      </c>
      <c r="D1384" s="61" t="s">
        <v>10703</v>
      </c>
      <c r="E1384" s="61" t="s">
        <v>10703</v>
      </c>
      <c r="F1384" s="62" t="s">
        <v>814</v>
      </c>
    </row>
    <row r="1385" customFormat="false" ht="15" hidden="false" customHeight="false" outlineLevel="0" collapsed="false">
      <c r="A1385" s="92" t="str">
        <f aca="false">Gov_Map!$H595&amp;""</f>
        <v>—</v>
      </c>
      <c r="B1385" s="65" t="str">
        <f aca="false">IF(A1385="","（哨兵：Gov_Map 該列無 SRC_ID）",IF(COUNTIF($A$5:$A$794,A1385)&gt;0,"（哨兵：此 SRC_ID 已在上方 SRC 頁，查詢不會命中本列）","（哨兵：SRC 頁查無此 ID）"))</f>
        <v>（哨兵：SRC 頁查無此 ID）</v>
      </c>
      <c r="C1385" s="61" t="n">
        <v>595</v>
      </c>
      <c r="D1385" s="61" t="s">
        <v>10703</v>
      </c>
      <c r="E1385" s="61" t="s">
        <v>10703</v>
      </c>
      <c r="F1385" s="62" t="s">
        <v>814</v>
      </c>
    </row>
    <row r="1386" customFormat="false" ht="15" hidden="false" customHeight="false" outlineLevel="0" collapsed="false">
      <c r="A1386" s="92" t="str">
        <f aca="false">Gov_Map!$H596&amp;""</f>
        <v>—</v>
      </c>
      <c r="B1386" s="65" t="str">
        <f aca="false">IF(A1386="","（哨兵：Gov_Map 該列無 SRC_ID）",IF(COUNTIF($A$5:$A$794,A1386)&gt;0,"（哨兵：此 SRC_ID 已在上方 SRC 頁，查詢不會命中本列）","（哨兵：SRC 頁查無此 ID）"))</f>
        <v>（哨兵：SRC 頁查無此 ID）</v>
      </c>
      <c r="C1386" s="61" t="n">
        <v>596</v>
      </c>
      <c r="D1386" s="61" t="s">
        <v>10703</v>
      </c>
      <c r="E1386" s="61" t="s">
        <v>10703</v>
      </c>
      <c r="F1386" s="62" t="s">
        <v>814</v>
      </c>
    </row>
    <row r="1387" customFormat="false" ht="15" hidden="false" customHeight="false" outlineLevel="0" collapsed="false">
      <c r="A1387" s="92" t="str">
        <f aca="false">Gov_Map!$H597&amp;""</f>
        <v>—</v>
      </c>
      <c r="B1387" s="65" t="str">
        <f aca="false">IF(A1387="","（哨兵：Gov_Map 該列無 SRC_ID）",IF(COUNTIF($A$5:$A$794,A1387)&gt;0,"（哨兵：此 SRC_ID 已在上方 SRC 頁，查詢不會命中本列）","（哨兵：SRC 頁查無此 ID）"))</f>
        <v>（哨兵：SRC 頁查無此 ID）</v>
      </c>
      <c r="C1387" s="61" t="n">
        <v>597</v>
      </c>
      <c r="D1387" s="61" t="s">
        <v>10703</v>
      </c>
      <c r="E1387" s="61" t="s">
        <v>10703</v>
      </c>
      <c r="F1387" s="62" t="s">
        <v>814</v>
      </c>
    </row>
    <row r="1388" customFormat="false" ht="15" hidden="false" customHeight="false" outlineLevel="0" collapsed="false">
      <c r="A1388" s="92" t="str">
        <f aca="false">Gov_Map!$H598&amp;""</f>
        <v>—</v>
      </c>
      <c r="B1388" s="65" t="str">
        <f aca="false">IF(A1388="","（哨兵：Gov_Map 該列無 SRC_ID）",IF(COUNTIF($A$5:$A$794,A1388)&gt;0,"（哨兵：此 SRC_ID 已在上方 SRC 頁，查詢不會命中本列）","（哨兵：SRC 頁查無此 ID）"))</f>
        <v>（哨兵：SRC 頁查無此 ID）</v>
      </c>
      <c r="C1388" s="61" t="n">
        <v>598</v>
      </c>
      <c r="D1388" s="61" t="s">
        <v>10703</v>
      </c>
      <c r="E1388" s="61" t="s">
        <v>10703</v>
      </c>
      <c r="F1388" s="62" t="s">
        <v>814</v>
      </c>
    </row>
    <row r="1389" customFormat="false" ht="15" hidden="false" customHeight="false" outlineLevel="0" collapsed="false">
      <c r="A1389" s="92" t="str">
        <f aca="false">Gov_Map!$H599&amp;""</f>
        <v>SRC_PERF_056</v>
      </c>
      <c r="B1389" s="65" t="str">
        <f aca="false">IF(A1389="","（哨兵：Gov_Map 該列無 SRC_ID）",IF(COUNTIF($A$5:$A$794,A1389)&gt;0,"（哨兵：此 SRC_ID 已在上方 SRC 頁，查詢不會命中本列）","（哨兵：SRC 頁查無此 ID）"))</f>
        <v>（哨兵：此 SRC_ID 已在上方 SRC 頁，查詢不會命中本列）</v>
      </c>
      <c r="C1389" s="61" t="n">
        <v>599</v>
      </c>
      <c r="D1389" s="61" t="s">
        <v>10703</v>
      </c>
      <c r="E1389" s="61" t="s">
        <v>10703</v>
      </c>
      <c r="F1389" s="62" t="s">
        <v>814</v>
      </c>
    </row>
    <row r="1390" customFormat="false" ht="15" hidden="false" customHeight="false" outlineLevel="0" collapsed="false">
      <c r="A1390" s="92" t="str">
        <f aca="false">Gov_Map!$H600&amp;""</f>
        <v>—</v>
      </c>
      <c r="B1390" s="65" t="str">
        <f aca="false">IF(A1390="","（哨兵：Gov_Map 該列無 SRC_ID）",IF(COUNTIF($A$5:$A$794,A1390)&gt;0,"（哨兵：此 SRC_ID 已在上方 SRC 頁，查詢不會命中本列）","（哨兵：SRC 頁查無此 ID）"))</f>
        <v>（哨兵：SRC 頁查無此 ID）</v>
      </c>
      <c r="C1390" s="61" t="n">
        <v>600</v>
      </c>
      <c r="D1390" s="61" t="s">
        <v>10703</v>
      </c>
      <c r="E1390" s="61" t="s">
        <v>10703</v>
      </c>
      <c r="F1390" s="62" t="s">
        <v>814</v>
      </c>
    </row>
    <row r="1391" customFormat="false" ht="15" hidden="false" customHeight="false" outlineLevel="0" collapsed="false">
      <c r="A1391" s="92" t="str">
        <f aca="false">Gov_Map!$H601&amp;""</f>
        <v>—</v>
      </c>
      <c r="B1391" s="65" t="str">
        <f aca="false">IF(A1391="","（哨兵：Gov_Map 該列無 SRC_ID）",IF(COUNTIF($A$5:$A$794,A1391)&gt;0,"（哨兵：此 SRC_ID 已在上方 SRC 頁，查詢不會命中本列）","（哨兵：SRC 頁查無此 ID）"))</f>
        <v>（哨兵：SRC 頁查無此 ID）</v>
      </c>
      <c r="C1391" s="61" t="n">
        <v>601</v>
      </c>
      <c r="D1391" s="61" t="s">
        <v>10703</v>
      </c>
      <c r="E1391" s="61" t="s">
        <v>10703</v>
      </c>
      <c r="F1391" s="62" t="s">
        <v>814</v>
      </c>
    </row>
    <row r="1392" customFormat="false" ht="15" hidden="false" customHeight="false" outlineLevel="0" collapsed="false">
      <c r="A1392" s="92" t="str">
        <f aca="false">Gov_Map!$H602&amp;""</f>
        <v>—</v>
      </c>
      <c r="B1392" s="65" t="str">
        <f aca="false">IF(A1392="","（哨兵：Gov_Map 該列無 SRC_ID）",IF(COUNTIF($A$5:$A$794,A1392)&gt;0,"（哨兵：此 SRC_ID 已在上方 SRC 頁，查詢不會命中本列）","（哨兵：SRC 頁查無此 ID）"))</f>
        <v>（哨兵：SRC 頁查無此 ID）</v>
      </c>
      <c r="C1392" s="61" t="n">
        <v>602</v>
      </c>
      <c r="D1392" s="61" t="s">
        <v>10703</v>
      </c>
      <c r="E1392" s="61" t="s">
        <v>10703</v>
      </c>
      <c r="F1392" s="62" t="s">
        <v>814</v>
      </c>
    </row>
    <row r="1393" customFormat="false" ht="15" hidden="false" customHeight="false" outlineLevel="0" collapsed="false">
      <c r="A1393" s="92" t="str">
        <f aca="false">Gov_Map!$H603&amp;""</f>
        <v>—</v>
      </c>
      <c r="B1393" s="65" t="str">
        <f aca="false">IF(A1393="","（哨兵：Gov_Map 該列無 SRC_ID）",IF(COUNTIF($A$5:$A$794,A1393)&gt;0,"（哨兵：此 SRC_ID 已在上方 SRC 頁，查詢不會命中本列）","（哨兵：SRC 頁查無此 ID）"))</f>
        <v>（哨兵：SRC 頁查無此 ID）</v>
      </c>
      <c r="C1393" s="61" t="n">
        <v>603</v>
      </c>
      <c r="D1393" s="61" t="s">
        <v>10703</v>
      </c>
      <c r="E1393" s="61" t="s">
        <v>10703</v>
      </c>
      <c r="F1393" s="62" t="s">
        <v>814</v>
      </c>
    </row>
    <row r="1394" customFormat="false" ht="15" hidden="false" customHeight="false" outlineLevel="0" collapsed="false">
      <c r="A1394" s="92" t="str">
        <f aca="false">Gov_Map!$H604&amp;""</f>
        <v>—</v>
      </c>
      <c r="B1394" s="65" t="str">
        <f aca="false">IF(A1394="","（哨兵：Gov_Map 該列無 SRC_ID）",IF(COUNTIF($A$5:$A$794,A1394)&gt;0,"（哨兵：此 SRC_ID 已在上方 SRC 頁，查詢不會命中本列）","（哨兵：SRC 頁查無此 ID）"))</f>
        <v>（哨兵：SRC 頁查無此 ID）</v>
      </c>
      <c r="C1394" s="61" t="n">
        <v>604</v>
      </c>
      <c r="D1394" s="61" t="s">
        <v>10703</v>
      </c>
      <c r="E1394" s="61" t="s">
        <v>10703</v>
      </c>
      <c r="F1394" s="62" t="s">
        <v>814</v>
      </c>
    </row>
    <row r="1395" customFormat="false" ht="15" hidden="false" customHeight="false" outlineLevel="0" collapsed="false">
      <c r="A1395" s="92" t="str">
        <f aca="false">Gov_Map!$H605&amp;""</f>
        <v>SRC_DC_015</v>
      </c>
      <c r="B1395" s="65" t="str">
        <f aca="false">IF(A1395="","（哨兵：Gov_Map 該列無 SRC_ID）",IF(COUNTIF($A$5:$A$794,A1395)&gt;0,"（哨兵：此 SRC_ID 已在上方 SRC 頁，查詢不會命中本列）","（哨兵：SRC 頁查無此 ID）"))</f>
        <v>（哨兵：此 SRC_ID 已在上方 SRC 頁，查詢不會命中本列）</v>
      </c>
      <c r="C1395" s="61" t="n">
        <v>605</v>
      </c>
      <c r="D1395" s="61" t="s">
        <v>10703</v>
      </c>
      <c r="E1395" s="61" t="s">
        <v>10703</v>
      </c>
      <c r="F1395" s="62" t="s">
        <v>814</v>
      </c>
    </row>
    <row r="1396" customFormat="false" ht="15" hidden="false" customHeight="false" outlineLevel="0" collapsed="false">
      <c r="A1396" s="92" t="str">
        <f aca="false">Gov_Map!$H606&amp;""</f>
        <v>SRC_DC_015</v>
      </c>
      <c r="B1396" s="65" t="str">
        <f aca="false">IF(A1396="","（哨兵：Gov_Map 該列無 SRC_ID）",IF(COUNTIF($A$5:$A$794,A1396)&gt;0,"（哨兵：此 SRC_ID 已在上方 SRC 頁，查詢不會命中本列）","（哨兵：SRC 頁查無此 ID）"))</f>
        <v>（哨兵：此 SRC_ID 已在上方 SRC 頁，查詢不會命中本列）</v>
      </c>
      <c r="C1396" s="61" t="n">
        <v>606</v>
      </c>
      <c r="D1396" s="61" t="s">
        <v>10703</v>
      </c>
      <c r="E1396" s="61" t="s">
        <v>10703</v>
      </c>
      <c r="F1396" s="62" t="s">
        <v>814</v>
      </c>
    </row>
    <row r="1397" customFormat="false" ht="15" hidden="false" customHeight="false" outlineLevel="0" collapsed="false">
      <c r="A1397" s="92" t="str">
        <f aca="false">Gov_Map!$H607&amp;""</f>
        <v>SRC_DC_015</v>
      </c>
      <c r="B1397" s="65" t="str">
        <f aca="false">IF(A1397="","（哨兵：Gov_Map 該列無 SRC_ID）",IF(COUNTIF($A$5:$A$794,A1397)&gt;0,"（哨兵：此 SRC_ID 已在上方 SRC 頁，查詢不會命中本列）","（哨兵：SRC 頁查無此 ID）"))</f>
        <v>（哨兵：此 SRC_ID 已在上方 SRC 頁，查詢不會命中本列）</v>
      </c>
      <c r="C1397" s="61" t="n">
        <v>607</v>
      </c>
      <c r="D1397" s="61" t="s">
        <v>10703</v>
      </c>
      <c r="E1397" s="61" t="s">
        <v>10703</v>
      </c>
      <c r="F1397" s="62" t="s">
        <v>814</v>
      </c>
    </row>
    <row r="1398" customFormat="false" ht="15" hidden="false" customHeight="false" outlineLevel="0" collapsed="false">
      <c r="A1398" s="92" t="str">
        <f aca="false">Gov_Map!$H608&amp;""</f>
        <v>SRC_DC_015</v>
      </c>
      <c r="B1398" s="65" t="str">
        <f aca="false">IF(A1398="","（哨兵：Gov_Map 該列無 SRC_ID）",IF(COUNTIF($A$5:$A$794,A1398)&gt;0,"（哨兵：此 SRC_ID 已在上方 SRC 頁，查詢不會命中本列）","（哨兵：SRC 頁查無此 ID）"))</f>
        <v>（哨兵：此 SRC_ID 已在上方 SRC 頁，查詢不會命中本列）</v>
      </c>
      <c r="C1398" s="61" t="n">
        <v>608</v>
      </c>
      <c r="D1398" s="61" t="s">
        <v>10703</v>
      </c>
      <c r="E1398" s="61" t="s">
        <v>10703</v>
      </c>
      <c r="F1398" s="62" t="s">
        <v>814</v>
      </c>
    </row>
    <row r="1399" customFormat="false" ht="15" hidden="false" customHeight="false" outlineLevel="0" collapsed="false">
      <c r="A1399" s="92" t="str">
        <f aca="false">Gov_Map!$H609&amp;""</f>
        <v>SRC_DC_017</v>
      </c>
      <c r="B1399" s="65" t="str">
        <f aca="false">IF(A1399="","（哨兵：Gov_Map 該列無 SRC_ID）",IF(COUNTIF($A$5:$A$794,A1399)&gt;0,"（哨兵：此 SRC_ID 已在上方 SRC 頁，查詢不會命中本列）","（哨兵：SRC 頁查無此 ID）"))</f>
        <v>（哨兵：此 SRC_ID 已在上方 SRC 頁，查詢不會命中本列）</v>
      </c>
      <c r="C1399" s="61" t="n">
        <v>609</v>
      </c>
      <c r="D1399" s="61" t="s">
        <v>10703</v>
      </c>
      <c r="E1399" s="61" t="s">
        <v>10703</v>
      </c>
      <c r="F1399" s="62" t="s">
        <v>814</v>
      </c>
    </row>
    <row r="1400" customFormat="false" ht="15" hidden="false" customHeight="false" outlineLevel="0" collapsed="false">
      <c r="A1400" s="92" t="str">
        <f aca="false">Gov_Map!$H610&amp;""</f>
        <v>SRC_DC_017</v>
      </c>
      <c r="B1400" s="65" t="str">
        <f aca="false">IF(A1400="","（哨兵：Gov_Map 該列無 SRC_ID）",IF(COUNTIF($A$5:$A$794,A1400)&gt;0,"（哨兵：此 SRC_ID 已在上方 SRC 頁，查詢不會命中本列）","（哨兵：SRC 頁查無此 ID）"))</f>
        <v>（哨兵：此 SRC_ID 已在上方 SRC 頁，查詢不會命中本列）</v>
      </c>
      <c r="C1400" s="61" t="n">
        <v>610</v>
      </c>
      <c r="D1400" s="61" t="s">
        <v>10703</v>
      </c>
      <c r="E1400" s="61" t="s">
        <v>10703</v>
      </c>
      <c r="F1400" s="62" t="s">
        <v>814</v>
      </c>
    </row>
    <row r="1401" customFormat="false" ht="15" hidden="false" customHeight="false" outlineLevel="0" collapsed="false">
      <c r="A1401" s="92" t="str">
        <f aca="false">Gov_Map!$H611&amp;""</f>
        <v>SRC_DC_017</v>
      </c>
      <c r="B1401" s="65" t="str">
        <f aca="false">IF(A1401="","（哨兵：Gov_Map 該列無 SRC_ID）",IF(COUNTIF($A$5:$A$794,A1401)&gt;0,"（哨兵：此 SRC_ID 已在上方 SRC 頁，查詢不會命中本列）","（哨兵：SRC 頁查無此 ID）"))</f>
        <v>（哨兵：此 SRC_ID 已在上方 SRC 頁，查詢不會命中本列）</v>
      </c>
      <c r="C1401" s="61" t="n">
        <v>611</v>
      </c>
      <c r="D1401" s="61" t="s">
        <v>10703</v>
      </c>
      <c r="E1401" s="61" t="s">
        <v>10703</v>
      </c>
      <c r="F1401" s="62" t="s">
        <v>814</v>
      </c>
    </row>
    <row r="1402" customFormat="false" ht="15" hidden="false" customHeight="false" outlineLevel="0" collapsed="false">
      <c r="A1402" s="92" t="str">
        <f aca="false">Gov_Map!$H612&amp;""</f>
        <v>SRC_DEM_039</v>
      </c>
      <c r="B1402" s="65" t="str">
        <f aca="false">IF(A1402="","（哨兵：Gov_Map 該列無 SRC_ID）",IF(COUNTIF($A$5:$A$794,A1402)&gt;0,"（哨兵：此 SRC_ID 已在上方 SRC 頁，查詢不會命中本列）","（哨兵：SRC 頁查無此 ID）"))</f>
        <v>（哨兵：此 SRC_ID 已在上方 SRC 頁，查詢不會命中本列）</v>
      </c>
      <c r="C1402" s="61" t="n">
        <v>612</v>
      </c>
      <c r="D1402" s="61" t="s">
        <v>10703</v>
      </c>
      <c r="E1402" s="61" t="s">
        <v>10703</v>
      </c>
      <c r="F1402" s="62" t="s">
        <v>814</v>
      </c>
    </row>
    <row r="1403" customFormat="false" ht="15" hidden="false" customHeight="false" outlineLevel="0" collapsed="false">
      <c r="A1403" s="92" t="str">
        <f aca="false">Gov_Map!$H613&amp;""</f>
        <v>—</v>
      </c>
      <c r="B1403" s="65" t="str">
        <f aca="false">IF(A1403="","（哨兵：Gov_Map 該列無 SRC_ID）",IF(COUNTIF($A$5:$A$794,A1403)&gt;0,"（哨兵：此 SRC_ID 已在上方 SRC 頁，查詢不會命中本列）","（哨兵：SRC 頁查無此 ID）"))</f>
        <v>（哨兵：SRC 頁查無此 ID）</v>
      </c>
      <c r="C1403" s="61" t="n">
        <v>613</v>
      </c>
      <c r="D1403" s="61" t="s">
        <v>10703</v>
      </c>
      <c r="E1403" s="61" t="s">
        <v>10703</v>
      </c>
      <c r="F1403" s="62" t="s">
        <v>814</v>
      </c>
    </row>
    <row r="1404" customFormat="false" ht="15" hidden="false" customHeight="false" outlineLevel="0" collapsed="false">
      <c r="A1404" s="92" t="str">
        <f aca="false">Gov_Map!$H614&amp;""</f>
        <v>—</v>
      </c>
      <c r="B1404" s="65" t="str">
        <f aca="false">IF(A1404="","（哨兵：Gov_Map 該列無 SRC_ID）",IF(COUNTIF($A$5:$A$794,A1404)&gt;0,"（哨兵：此 SRC_ID 已在上方 SRC 頁，查詢不會命中本列）","（哨兵：SRC 頁查無此 ID）"))</f>
        <v>（哨兵：SRC 頁查無此 ID）</v>
      </c>
      <c r="C1404" s="61" t="n">
        <v>614</v>
      </c>
      <c r="D1404" s="61" t="s">
        <v>10703</v>
      </c>
      <c r="E1404" s="61" t="s">
        <v>10703</v>
      </c>
      <c r="F1404" s="62" t="s">
        <v>814</v>
      </c>
    </row>
    <row r="1405" customFormat="false" ht="15" hidden="false" customHeight="false" outlineLevel="0" collapsed="false">
      <c r="A1405" s="92" t="str">
        <f aca="false">Gov_Map!$H615&amp;""</f>
        <v>—</v>
      </c>
      <c r="B1405" s="65" t="str">
        <f aca="false">IF(A1405="","（哨兵：Gov_Map 該列無 SRC_ID）",IF(COUNTIF($A$5:$A$794,A1405)&gt;0,"（哨兵：此 SRC_ID 已在上方 SRC 頁，查詢不會命中本列）","（哨兵：SRC 頁查無此 ID）"))</f>
        <v>（哨兵：SRC 頁查無此 ID）</v>
      </c>
      <c r="C1405" s="61" t="n">
        <v>615</v>
      </c>
      <c r="D1405" s="61" t="s">
        <v>10703</v>
      </c>
      <c r="E1405" s="61" t="s">
        <v>10703</v>
      </c>
      <c r="F1405" s="62" t="s">
        <v>814</v>
      </c>
    </row>
    <row r="1406" customFormat="false" ht="15" hidden="false" customHeight="false" outlineLevel="0" collapsed="false">
      <c r="A1406" s="92" t="str">
        <f aca="false">Gov_Map!$H616&amp;""</f>
        <v>SRC_DEM_051</v>
      </c>
      <c r="B1406" s="65" t="str">
        <f aca="false">IF(A1406="","（哨兵：Gov_Map 該列無 SRC_ID）",IF(COUNTIF($A$5:$A$794,A1406)&gt;0,"（哨兵：此 SRC_ID 已在上方 SRC 頁，查詢不會命中本列）","（哨兵：SRC 頁查無此 ID）"))</f>
        <v>（哨兵：此 SRC_ID 已在上方 SRC 頁，查詢不會命中本列）</v>
      </c>
      <c r="C1406" s="61" t="n">
        <v>616</v>
      </c>
      <c r="D1406" s="61" t="s">
        <v>10703</v>
      </c>
      <c r="E1406" s="61" t="s">
        <v>10703</v>
      </c>
      <c r="F1406" s="62" t="s">
        <v>814</v>
      </c>
    </row>
    <row r="1407" customFormat="false" ht="15" hidden="false" customHeight="false" outlineLevel="0" collapsed="false">
      <c r="A1407" s="92" t="str">
        <f aca="false">Gov_Map!$H617&amp;""</f>
        <v>—</v>
      </c>
      <c r="B1407" s="65" t="str">
        <f aca="false">IF(A1407="","（哨兵：Gov_Map 該列無 SRC_ID）",IF(COUNTIF($A$5:$A$794,A1407)&gt;0,"（哨兵：此 SRC_ID 已在上方 SRC 頁，查詢不會命中本列）","（哨兵：SRC 頁查無此 ID）"))</f>
        <v>（哨兵：SRC 頁查無此 ID）</v>
      </c>
      <c r="C1407" s="61" t="n">
        <v>617</v>
      </c>
      <c r="D1407" s="61" t="s">
        <v>10703</v>
      </c>
      <c r="E1407" s="61" t="s">
        <v>10703</v>
      </c>
      <c r="F1407" s="62" t="s">
        <v>814</v>
      </c>
    </row>
    <row r="1408" customFormat="false" ht="15" hidden="false" customHeight="false" outlineLevel="0" collapsed="false">
      <c r="A1408" s="92" t="str">
        <f aca="false">Gov_Map!$H618&amp;""</f>
        <v>SRC_DEM_071</v>
      </c>
      <c r="B1408" s="65" t="str">
        <f aca="false">IF(A1408="","（哨兵：Gov_Map 該列無 SRC_ID）",IF(COUNTIF($A$5:$A$794,A1408)&gt;0,"（哨兵：此 SRC_ID 已在上方 SRC 頁，查詢不會命中本列）","（哨兵：SRC 頁查無此 ID）"))</f>
        <v>（哨兵：此 SRC_ID 已在上方 SRC 頁，查詢不會命中本列）</v>
      </c>
      <c r="C1408" s="61" t="n">
        <v>618</v>
      </c>
      <c r="D1408" s="61" t="s">
        <v>10703</v>
      </c>
      <c r="E1408" s="61" t="s">
        <v>10703</v>
      </c>
      <c r="F1408" s="62" t="s">
        <v>814</v>
      </c>
    </row>
    <row r="1409" customFormat="false" ht="15" hidden="false" customHeight="false" outlineLevel="0" collapsed="false">
      <c r="A1409" s="92" t="str">
        <f aca="false">Gov_Map!$H619&amp;""</f>
        <v>—</v>
      </c>
      <c r="B1409" s="65" t="str">
        <f aca="false">IF(A1409="","（哨兵：Gov_Map 該列無 SRC_ID）",IF(COUNTIF($A$5:$A$794,A1409)&gt;0,"（哨兵：此 SRC_ID 已在上方 SRC 頁，查詢不會命中本列）","（哨兵：SRC 頁查無此 ID）"))</f>
        <v>（哨兵：SRC 頁查無此 ID）</v>
      </c>
      <c r="C1409" s="61" t="n">
        <v>619</v>
      </c>
      <c r="D1409" s="61" t="s">
        <v>10703</v>
      </c>
      <c r="E1409" s="61" t="s">
        <v>10703</v>
      </c>
      <c r="F1409" s="62" t="s">
        <v>814</v>
      </c>
    </row>
    <row r="1410" customFormat="false" ht="15" hidden="false" customHeight="false" outlineLevel="0" collapsed="false">
      <c r="A1410" s="92" t="str">
        <f aca="false">Gov_Map!$H620&amp;""</f>
        <v>—</v>
      </c>
      <c r="B1410" s="65" t="str">
        <f aca="false">IF(A1410="","（哨兵：Gov_Map 該列無 SRC_ID）",IF(COUNTIF($A$5:$A$794,A1410)&gt;0,"（哨兵：此 SRC_ID 已在上方 SRC 頁，查詢不會命中本列）","（哨兵：SRC 頁查無此 ID）"))</f>
        <v>（哨兵：SRC 頁查無此 ID）</v>
      </c>
      <c r="C1410" s="61" t="n">
        <v>620</v>
      </c>
      <c r="D1410" s="61" t="s">
        <v>10703</v>
      </c>
      <c r="E1410" s="61" t="s">
        <v>10703</v>
      </c>
      <c r="F1410" s="62" t="s">
        <v>814</v>
      </c>
    </row>
    <row r="1411" customFormat="false" ht="15" hidden="false" customHeight="false" outlineLevel="0" collapsed="false">
      <c r="A1411" s="92" t="str">
        <f aca="false">Gov_Map!$H621&amp;""</f>
        <v>—</v>
      </c>
      <c r="B1411" s="65" t="str">
        <f aca="false">IF(A1411="","（哨兵：Gov_Map 該列無 SRC_ID）",IF(COUNTIF($A$5:$A$794,A1411)&gt;0,"（哨兵：此 SRC_ID 已在上方 SRC 頁，查詢不會命中本列）","（哨兵：SRC 頁查無此 ID）"))</f>
        <v>（哨兵：SRC 頁查無此 ID）</v>
      </c>
      <c r="C1411" s="61" t="n">
        <v>621</v>
      </c>
      <c r="D1411" s="61" t="s">
        <v>10703</v>
      </c>
      <c r="E1411" s="61" t="s">
        <v>10703</v>
      </c>
      <c r="F1411" s="62" t="s">
        <v>814</v>
      </c>
    </row>
    <row r="1412" customFormat="false" ht="15" hidden="false" customHeight="false" outlineLevel="0" collapsed="false">
      <c r="A1412" s="92" t="str">
        <f aca="false">Gov_Map!$H622&amp;""</f>
        <v>—</v>
      </c>
      <c r="B1412" s="65" t="str">
        <f aca="false">IF(A1412="","（哨兵：Gov_Map 該列無 SRC_ID）",IF(COUNTIF($A$5:$A$794,A1412)&gt;0,"（哨兵：此 SRC_ID 已在上方 SRC 頁，查詢不會命中本列）","（哨兵：SRC 頁查無此 ID）"))</f>
        <v>（哨兵：SRC 頁查無此 ID）</v>
      </c>
      <c r="C1412" s="61" t="n">
        <v>622</v>
      </c>
      <c r="D1412" s="61" t="s">
        <v>10703</v>
      </c>
      <c r="E1412" s="61" t="s">
        <v>10703</v>
      </c>
      <c r="F1412" s="62" t="s">
        <v>814</v>
      </c>
    </row>
    <row r="1413" customFormat="false" ht="15" hidden="false" customHeight="false" outlineLevel="0" collapsed="false">
      <c r="A1413" s="92" t="str">
        <f aca="false">Gov_Map!$H623&amp;""</f>
        <v>—</v>
      </c>
      <c r="B1413" s="65" t="str">
        <f aca="false">IF(A1413="","（哨兵：Gov_Map 該列無 SRC_ID）",IF(COUNTIF($A$5:$A$794,A1413)&gt;0,"（哨兵：此 SRC_ID 已在上方 SRC 頁，查詢不會命中本列）","（哨兵：SRC 頁查無此 ID）"))</f>
        <v>（哨兵：SRC 頁查無此 ID）</v>
      </c>
      <c r="C1413" s="61" t="n">
        <v>623</v>
      </c>
      <c r="D1413" s="61" t="s">
        <v>10703</v>
      </c>
      <c r="E1413" s="61" t="s">
        <v>10703</v>
      </c>
      <c r="F1413" s="62" t="s">
        <v>814</v>
      </c>
    </row>
    <row r="1414" customFormat="false" ht="15" hidden="false" customHeight="false" outlineLevel="0" collapsed="false">
      <c r="A1414" s="92" t="str">
        <f aca="false">Gov_Map!$H624&amp;""</f>
        <v>—</v>
      </c>
      <c r="B1414" s="65" t="str">
        <f aca="false">IF(A1414="","（哨兵：Gov_Map 該列無 SRC_ID）",IF(COUNTIF($A$5:$A$794,A1414)&gt;0,"（哨兵：此 SRC_ID 已在上方 SRC 頁，查詢不會命中本列）","（哨兵：SRC 頁查無此 ID）"))</f>
        <v>（哨兵：SRC 頁查無此 ID）</v>
      </c>
      <c r="C1414" s="61" t="n">
        <v>624</v>
      </c>
      <c r="D1414" s="61" t="s">
        <v>10703</v>
      </c>
      <c r="E1414" s="61" t="s">
        <v>10703</v>
      </c>
      <c r="F1414" s="62" t="s">
        <v>814</v>
      </c>
    </row>
    <row r="1415" customFormat="false" ht="15" hidden="false" customHeight="false" outlineLevel="0" collapsed="false">
      <c r="A1415" s="92" t="str">
        <f aca="false">Gov_Map!$H625&amp;""</f>
        <v>—</v>
      </c>
      <c r="B1415" s="65" t="str">
        <f aca="false">IF(A1415="","（哨兵：Gov_Map 該列無 SRC_ID）",IF(COUNTIF($A$5:$A$794,A1415)&gt;0,"（哨兵：此 SRC_ID 已在上方 SRC 頁，查詢不會命中本列）","（哨兵：SRC 頁查無此 ID）"))</f>
        <v>（哨兵：SRC 頁查無此 ID）</v>
      </c>
      <c r="C1415" s="61" t="n">
        <v>625</v>
      </c>
      <c r="D1415" s="61" t="s">
        <v>10703</v>
      </c>
      <c r="E1415" s="61" t="s">
        <v>10703</v>
      </c>
      <c r="F1415" s="62" t="s">
        <v>814</v>
      </c>
    </row>
    <row r="1416" customFormat="false" ht="15" hidden="false" customHeight="false" outlineLevel="0" collapsed="false">
      <c r="A1416" s="92" t="str">
        <f aca="false">Gov_Map!$H626&amp;""</f>
        <v>—</v>
      </c>
      <c r="B1416" s="65" t="str">
        <f aca="false">IF(A1416="","（哨兵：Gov_Map 該列無 SRC_ID）",IF(COUNTIF($A$5:$A$794,A1416)&gt;0,"（哨兵：此 SRC_ID 已在上方 SRC 頁，查詢不會命中本列）","（哨兵：SRC 頁查無此 ID）"))</f>
        <v>（哨兵：SRC 頁查無此 ID）</v>
      </c>
      <c r="C1416" s="61" t="n">
        <v>626</v>
      </c>
      <c r="D1416" s="61" t="s">
        <v>10703</v>
      </c>
      <c r="E1416" s="61" t="s">
        <v>10703</v>
      </c>
      <c r="F1416" s="62" t="s">
        <v>814</v>
      </c>
    </row>
    <row r="1417" customFormat="false" ht="15" hidden="false" customHeight="false" outlineLevel="0" collapsed="false">
      <c r="A1417" s="92" t="str">
        <f aca="false">Gov_Map!$H627&amp;""</f>
        <v>—</v>
      </c>
      <c r="B1417" s="65" t="str">
        <f aca="false">IF(A1417="","（哨兵：Gov_Map 該列無 SRC_ID）",IF(COUNTIF($A$5:$A$794,A1417)&gt;0,"（哨兵：此 SRC_ID 已在上方 SRC 頁，查詢不會命中本列）","（哨兵：SRC 頁查無此 ID）"))</f>
        <v>（哨兵：SRC 頁查無此 ID）</v>
      </c>
      <c r="C1417" s="61" t="n">
        <v>627</v>
      </c>
      <c r="D1417" s="61" t="s">
        <v>10703</v>
      </c>
      <c r="E1417" s="61" t="s">
        <v>10703</v>
      </c>
      <c r="F1417" s="62" t="s">
        <v>814</v>
      </c>
    </row>
    <row r="1418" customFormat="false" ht="15" hidden="false" customHeight="false" outlineLevel="0" collapsed="false">
      <c r="A1418" s="92" t="str">
        <f aca="false">Gov_Map!$H628&amp;""</f>
        <v>SRC_DEM_042</v>
      </c>
      <c r="B1418" s="65" t="str">
        <f aca="false">IF(A1418="","（哨兵：Gov_Map 該列無 SRC_ID）",IF(COUNTIF($A$5:$A$794,A1418)&gt;0,"（哨兵：此 SRC_ID 已在上方 SRC 頁，查詢不會命中本列）","（哨兵：SRC 頁查無此 ID）"))</f>
        <v>（哨兵：此 SRC_ID 已在上方 SRC 頁，查詢不會命中本列）</v>
      </c>
      <c r="C1418" s="61" t="n">
        <v>628</v>
      </c>
      <c r="D1418" s="61" t="s">
        <v>10703</v>
      </c>
      <c r="E1418" s="61" t="s">
        <v>10703</v>
      </c>
      <c r="F1418" s="62" t="s">
        <v>814</v>
      </c>
    </row>
    <row r="1419" customFormat="false" ht="15" hidden="false" customHeight="false" outlineLevel="0" collapsed="false">
      <c r="A1419" s="92" t="str">
        <f aca="false">Gov_Map!$H629&amp;""</f>
        <v>SRC_DEM_023</v>
      </c>
      <c r="B1419" s="65" t="str">
        <f aca="false">IF(A1419="","（哨兵：Gov_Map 該列無 SRC_ID）",IF(COUNTIF($A$5:$A$794,A1419)&gt;0,"（哨兵：此 SRC_ID 已在上方 SRC 頁，查詢不會命中本列）","（哨兵：SRC 頁查無此 ID）"))</f>
        <v>（哨兵：此 SRC_ID 已在上方 SRC 頁，查詢不會命中本列）</v>
      </c>
      <c r="C1419" s="61" t="n">
        <v>629</v>
      </c>
      <c r="D1419" s="61" t="s">
        <v>10703</v>
      </c>
      <c r="E1419" s="61" t="s">
        <v>10703</v>
      </c>
      <c r="F1419" s="62" t="s">
        <v>814</v>
      </c>
    </row>
    <row r="1420" customFormat="false" ht="15" hidden="false" customHeight="false" outlineLevel="0" collapsed="false">
      <c r="A1420" s="92" t="str">
        <f aca="false">Gov_Map!$H630&amp;""</f>
        <v>SRC_DEM_071</v>
      </c>
      <c r="B1420" s="65" t="str">
        <f aca="false">IF(A1420="","（哨兵：Gov_Map 該列無 SRC_ID）",IF(COUNTIF($A$5:$A$794,A1420)&gt;0,"（哨兵：此 SRC_ID 已在上方 SRC 頁，查詢不會命中本列）","（哨兵：SRC 頁查無此 ID）"))</f>
        <v>（哨兵：此 SRC_ID 已在上方 SRC 頁，查詢不會命中本列）</v>
      </c>
      <c r="C1420" s="61" t="n">
        <v>630</v>
      </c>
      <c r="D1420" s="61" t="s">
        <v>10703</v>
      </c>
      <c r="E1420" s="61" t="s">
        <v>10703</v>
      </c>
      <c r="F1420" s="62" t="s">
        <v>814</v>
      </c>
    </row>
    <row r="1421" customFormat="false" ht="15" hidden="false" customHeight="false" outlineLevel="0" collapsed="false">
      <c r="A1421" s="92" t="str">
        <f aca="false">Gov_Map!$H631&amp;""</f>
        <v>SRC_DEM_011</v>
      </c>
      <c r="B1421" s="65" t="str">
        <f aca="false">IF(A1421="","（哨兵：Gov_Map 該列無 SRC_ID）",IF(COUNTIF($A$5:$A$794,A1421)&gt;0,"（哨兵：此 SRC_ID 已在上方 SRC 頁，查詢不會命中本列）","（哨兵：SRC 頁查無此 ID）"))</f>
        <v>（哨兵：此 SRC_ID 已在上方 SRC 頁，查詢不會命中本列）</v>
      </c>
      <c r="C1421" s="61" t="n">
        <v>631</v>
      </c>
      <c r="D1421" s="61" t="s">
        <v>10703</v>
      </c>
      <c r="E1421" s="61" t="s">
        <v>10703</v>
      </c>
      <c r="F1421" s="62" t="s">
        <v>814</v>
      </c>
    </row>
    <row r="1422" customFormat="false" ht="15" hidden="false" customHeight="false" outlineLevel="0" collapsed="false">
      <c r="A1422" s="92" t="str">
        <f aca="false">Gov_Map!$H632&amp;""</f>
        <v>SRC_DEM_012</v>
      </c>
      <c r="B1422" s="65" t="str">
        <f aca="false">IF(A1422="","（哨兵：Gov_Map 該列無 SRC_ID）",IF(COUNTIF($A$5:$A$794,A1422)&gt;0,"（哨兵：此 SRC_ID 已在上方 SRC 頁，查詢不會命中本列）","（哨兵：SRC 頁查無此 ID）"))</f>
        <v>（哨兵：此 SRC_ID 已在上方 SRC 頁，查詢不會命中本列）</v>
      </c>
      <c r="C1422" s="61" t="n">
        <v>632</v>
      </c>
      <c r="D1422" s="61" t="s">
        <v>10703</v>
      </c>
      <c r="E1422" s="61" t="s">
        <v>10703</v>
      </c>
      <c r="F1422" s="62" t="s">
        <v>814</v>
      </c>
    </row>
    <row r="1423" customFormat="false" ht="15" hidden="false" customHeight="false" outlineLevel="0" collapsed="false">
      <c r="A1423" s="92" t="str">
        <f aca="false">Gov_Map!$H633&amp;""</f>
        <v>—</v>
      </c>
      <c r="B1423" s="65" t="str">
        <f aca="false">IF(A1423="","（哨兵：Gov_Map 該列無 SRC_ID）",IF(COUNTIF($A$5:$A$794,A1423)&gt;0,"（哨兵：此 SRC_ID 已在上方 SRC 頁，查詢不會命中本列）","（哨兵：SRC 頁查無此 ID）"))</f>
        <v>（哨兵：SRC 頁查無此 ID）</v>
      </c>
      <c r="C1423" s="61" t="n">
        <v>633</v>
      </c>
      <c r="D1423" s="61" t="s">
        <v>10703</v>
      </c>
      <c r="E1423" s="61" t="s">
        <v>10703</v>
      </c>
      <c r="F1423" s="62" t="s">
        <v>814</v>
      </c>
    </row>
    <row r="1424" customFormat="false" ht="15" hidden="false" customHeight="false" outlineLevel="0" collapsed="false">
      <c r="A1424" s="92" t="str">
        <f aca="false">Gov_Map!$H634&amp;""</f>
        <v>—</v>
      </c>
      <c r="B1424" s="65" t="str">
        <f aca="false">IF(A1424="","（哨兵：Gov_Map 該列無 SRC_ID）",IF(COUNTIF($A$5:$A$794,A1424)&gt;0,"（哨兵：此 SRC_ID 已在上方 SRC 頁，查詢不會命中本列）","（哨兵：SRC 頁查無此 ID）"))</f>
        <v>（哨兵：SRC 頁查無此 ID）</v>
      </c>
      <c r="C1424" s="61" t="n">
        <v>634</v>
      </c>
      <c r="D1424" s="61" t="s">
        <v>10703</v>
      </c>
      <c r="E1424" s="61" t="s">
        <v>10703</v>
      </c>
      <c r="F1424" s="62" t="s">
        <v>814</v>
      </c>
    </row>
    <row r="1425" customFormat="false" ht="15" hidden="false" customHeight="false" outlineLevel="0" collapsed="false">
      <c r="A1425" s="92" t="str">
        <f aca="false">Gov_Map!$H635&amp;""</f>
        <v>—</v>
      </c>
      <c r="B1425" s="65" t="str">
        <f aca="false">IF(A1425="","（哨兵：Gov_Map 該列無 SRC_ID）",IF(COUNTIF($A$5:$A$794,A1425)&gt;0,"（哨兵：此 SRC_ID 已在上方 SRC 頁，查詢不會命中本列）","（哨兵：SRC 頁查無此 ID）"))</f>
        <v>（哨兵：SRC 頁查無此 ID）</v>
      </c>
      <c r="C1425" s="61" t="n">
        <v>635</v>
      </c>
      <c r="D1425" s="61" t="s">
        <v>10703</v>
      </c>
      <c r="E1425" s="61" t="s">
        <v>10703</v>
      </c>
      <c r="F1425" s="62" t="s">
        <v>814</v>
      </c>
    </row>
    <row r="1426" customFormat="false" ht="15" hidden="false" customHeight="false" outlineLevel="0" collapsed="false">
      <c r="A1426" s="92" t="str">
        <f aca="false">Gov_Map!$H636&amp;""</f>
        <v>—</v>
      </c>
      <c r="B1426" s="65" t="str">
        <f aca="false">IF(A1426="","（哨兵：Gov_Map 該列無 SRC_ID）",IF(COUNTIF($A$5:$A$794,A1426)&gt;0,"（哨兵：此 SRC_ID 已在上方 SRC 頁，查詢不會命中本列）","（哨兵：SRC 頁查無此 ID）"))</f>
        <v>（哨兵：SRC 頁查無此 ID）</v>
      </c>
      <c r="C1426" s="61" t="n">
        <v>636</v>
      </c>
      <c r="D1426" s="61" t="s">
        <v>10703</v>
      </c>
      <c r="E1426" s="61" t="s">
        <v>10703</v>
      </c>
      <c r="F1426" s="62" t="s">
        <v>814</v>
      </c>
    </row>
    <row r="1427" customFormat="false" ht="15" hidden="false" customHeight="false" outlineLevel="0" collapsed="false">
      <c r="A1427" s="92" t="str">
        <f aca="false">Gov_Map!$H637&amp;""</f>
        <v>—</v>
      </c>
      <c r="B1427" s="65" t="str">
        <f aca="false">IF(A1427="","（哨兵：Gov_Map 該列無 SRC_ID）",IF(COUNTIF($A$5:$A$794,A1427)&gt;0,"（哨兵：此 SRC_ID 已在上方 SRC 頁，查詢不會命中本列）","（哨兵：SRC 頁查無此 ID）"))</f>
        <v>（哨兵：SRC 頁查無此 ID）</v>
      </c>
      <c r="C1427" s="61" t="n">
        <v>637</v>
      </c>
      <c r="D1427" s="61" t="s">
        <v>10703</v>
      </c>
      <c r="E1427" s="61" t="s">
        <v>10703</v>
      </c>
      <c r="F1427" s="62" t="s">
        <v>814</v>
      </c>
    </row>
    <row r="1428" customFormat="false" ht="15" hidden="false" customHeight="false" outlineLevel="0" collapsed="false">
      <c r="A1428" s="92" t="str">
        <f aca="false">Gov_Map!$H638&amp;""</f>
        <v>—</v>
      </c>
      <c r="B1428" s="65" t="str">
        <f aca="false">IF(A1428="","（哨兵：Gov_Map 該列無 SRC_ID）",IF(COUNTIF($A$5:$A$794,A1428)&gt;0,"（哨兵：此 SRC_ID 已在上方 SRC 頁，查詢不會命中本列）","（哨兵：SRC 頁查無此 ID）"))</f>
        <v>（哨兵：SRC 頁查無此 ID）</v>
      </c>
      <c r="C1428" s="61" t="n">
        <v>638</v>
      </c>
      <c r="D1428" s="61" t="s">
        <v>10703</v>
      </c>
      <c r="E1428" s="61" t="s">
        <v>10703</v>
      </c>
      <c r="F1428" s="62" t="s">
        <v>814</v>
      </c>
    </row>
    <row r="1429" customFormat="false" ht="15" hidden="false" customHeight="false" outlineLevel="0" collapsed="false">
      <c r="A1429" s="92" t="str">
        <f aca="false">Gov_Map!$H639&amp;""</f>
        <v>—</v>
      </c>
      <c r="B1429" s="65" t="str">
        <f aca="false">IF(A1429="","（哨兵：Gov_Map 該列無 SRC_ID）",IF(COUNTIF($A$5:$A$794,A1429)&gt;0,"（哨兵：此 SRC_ID 已在上方 SRC 頁，查詢不會命中本列）","（哨兵：SRC 頁查無此 ID）"))</f>
        <v>（哨兵：SRC 頁查無此 ID）</v>
      </c>
      <c r="C1429" s="61" t="n">
        <v>639</v>
      </c>
      <c r="D1429" s="61" t="s">
        <v>10703</v>
      </c>
      <c r="E1429" s="61" t="s">
        <v>10703</v>
      </c>
      <c r="F1429" s="62" t="s">
        <v>814</v>
      </c>
    </row>
    <row r="1430" customFormat="false" ht="15" hidden="false" customHeight="false" outlineLevel="0" collapsed="false">
      <c r="A1430" s="92" t="str">
        <f aca="false">Gov_Map!$H640&amp;""</f>
        <v>—</v>
      </c>
      <c r="B1430" s="65" t="str">
        <f aca="false">IF(A1430="","（哨兵：Gov_Map 該列無 SRC_ID）",IF(COUNTIF($A$5:$A$794,A1430)&gt;0,"（哨兵：此 SRC_ID 已在上方 SRC 頁，查詢不會命中本列）","（哨兵：SRC 頁查無此 ID）"))</f>
        <v>（哨兵：SRC 頁查無此 ID）</v>
      </c>
      <c r="C1430" s="61" t="n">
        <v>640</v>
      </c>
      <c r="D1430" s="61" t="s">
        <v>10703</v>
      </c>
      <c r="E1430" s="61" t="s">
        <v>10703</v>
      </c>
      <c r="F1430" s="62" t="s">
        <v>814</v>
      </c>
    </row>
    <row r="1431" customFormat="false" ht="15" hidden="false" customHeight="false" outlineLevel="0" collapsed="false">
      <c r="A1431" s="92" t="str">
        <f aca="false">Gov_Map!$H641&amp;""</f>
        <v>—</v>
      </c>
      <c r="B1431" s="65" t="str">
        <f aca="false">IF(A1431="","（哨兵：Gov_Map 該列無 SRC_ID）",IF(COUNTIF($A$5:$A$794,A1431)&gt;0,"（哨兵：此 SRC_ID 已在上方 SRC 頁，查詢不會命中本列）","（哨兵：SRC 頁查無此 ID）"))</f>
        <v>（哨兵：SRC 頁查無此 ID）</v>
      </c>
      <c r="C1431" s="61" t="n">
        <v>641</v>
      </c>
      <c r="D1431" s="61" t="s">
        <v>10703</v>
      </c>
      <c r="E1431" s="61" t="s">
        <v>10703</v>
      </c>
      <c r="F1431" s="62" t="s">
        <v>814</v>
      </c>
    </row>
    <row r="1432" customFormat="false" ht="15" hidden="false" customHeight="false" outlineLevel="0" collapsed="false">
      <c r="A1432" s="92" t="str">
        <f aca="false">Gov_Map!$H642&amp;""</f>
        <v>—</v>
      </c>
      <c r="B1432" s="65" t="str">
        <f aca="false">IF(A1432="","（哨兵：Gov_Map 該列無 SRC_ID）",IF(COUNTIF($A$5:$A$794,A1432)&gt;0,"（哨兵：此 SRC_ID 已在上方 SRC 頁，查詢不會命中本列）","（哨兵：SRC 頁查無此 ID）"))</f>
        <v>（哨兵：SRC 頁查無此 ID）</v>
      </c>
      <c r="C1432" s="61" t="n">
        <v>642</v>
      </c>
      <c r="D1432" s="61" t="s">
        <v>10703</v>
      </c>
      <c r="E1432" s="61" t="s">
        <v>10703</v>
      </c>
      <c r="F1432" s="62" t="s">
        <v>814</v>
      </c>
    </row>
    <row r="1433" customFormat="false" ht="15" hidden="false" customHeight="false" outlineLevel="0" collapsed="false">
      <c r="A1433" s="92" t="str">
        <f aca="false">Gov_Map!$H643&amp;""</f>
        <v>—</v>
      </c>
      <c r="B1433" s="65" t="str">
        <f aca="false">IF(A1433="","（哨兵：Gov_Map 該列無 SRC_ID）",IF(COUNTIF($A$5:$A$794,A1433)&gt;0,"（哨兵：此 SRC_ID 已在上方 SRC 頁，查詢不會命中本列）","（哨兵：SRC 頁查無此 ID）"))</f>
        <v>（哨兵：SRC 頁查無此 ID）</v>
      </c>
      <c r="C1433" s="61" t="n">
        <v>643</v>
      </c>
      <c r="D1433" s="61" t="s">
        <v>10703</v>
      </c>
      <c r="E1433" s="61" t="s">
        <v>10703</v>
      </c>
      <c r="F1433" s="62" t="s">
        <v>814</v>
      </c>
    </row>
    <row r="1434" customFormat="false" ht="15" hidden="false" customHeight="false" outlineLevel="0" collapsed="false">
      <c r="A1434" s="92" t="str">
        <f aca="false">Gov_Map!$H644&amp;""</f>
        <v>SRC_DEM_072</v>
      </c>
      <c r="B1434" s="65" t="str">
        <f aca="false">IF(A1434="","（哨兵：Gov_Map 該列無 SRC_ID）",IF(COUNTIF($A$5:$A$794,A1434)&gt;0,"（哨兵：此 SRC_ID 已在上方 SRC 頁，查詢不會命中本列）","（哨兵：SRC 頁查無此 ID）"))</f>
        <v>（哨兵：此 SRC_ID 已在上方 SRC 頁，查詢不會命中本列）</v>
      </c>
      <c r="C1434" s="61" t="n">
        <v>644</v>
      </c>
      <c r="D1434" s="61" t="s">
        <v>10703</v>
      </c>
      <c r="E1434" s="61" t="s">
        <v>10703</v>
      </c>
      <c r="F1434" s="62" t="s">
        <v>814</v>
      </c>
    </row>
    <row r="1435" customFormat="false" ht="15" hidden="false" customHeight="false" outlineLevel="0" collapsed="false">
      <c r="A1435" s="92" t="str">
        <f aca="false">Gov_Map!$H645&amp;""</f>
        <v>SRC_DEM_072</v>
      </c>
      <c r="B1435" s="65" t="str">
        <f aca="false">IF(A1435="","（哨兵：Gov_Map 該列無 SRC_ID）",IF(COUNTIF($A$5:$A$794,A1435)&gt;0,"（哨兵：此 SRC_ID 已在上方 SRC 頁，查詢不會命中本列）","（哨兵：SRC 頁查無此 ID）"))</f>
        <v>（哨兵：此 SRC_ID 已在上方 SRC 頁，查詢不會命中本列）</v>
      </c>
      <c r="C1435" s="61" t="n">
        <v>645</v>
      </c>
      <c r="D1435" s="61" t="s">
        <v>10703</v>
      </c>
      <c r="E1435" s="61" t="s">
        <v>10703</v>
      </c>
      <c r="F1435" s="62" t="s">
        <v>814</v>
      </c>
    </row>
    <row r="1436" customFormat="false" ht="15" hidden="false" customHeight="false" outlineLevel="0" collapsed="false">
      <c r="A1436" s="92" t="str">
        <f aca="false">Gov_Map!$H646&amp;""</f>
        <v>SRC_DEM_072</v>
      </c>
      <c r="B1436" s="65" t="str">
        <f aca="false">IF(A1436="","（哨兵：Gov_Map 該列無 SRC_ID）",IF(COUNTIF($A$5:$A$794,A1436)&gt;0,"（哨兵：此 SRC_ID 已在上方 SRC 頁，查詢不會命中本列）","（哨兵：SRC 頁查無此 ID）"))</f>
        <v>（哨兵：此 SRC_ID 已在上方 SRC 頁，查詢不會命中本列）</v>
      </c>
      <c r="C1436" s="61" t="n">
        <v>646</v>
      </c>
      <c r="D1436" s="61" t="s">
        <v>10703</v>
      </c>
      <c r="E1436" s="61" t="s">
        <v>10703</v>
      </c>
      <c r="F1436" s="62" t="s">
        <v>814</v>
      </c>
    </row>
    <row r="1437" customFormat="false" ht="15" hidden="false" customHeight="false" outlineLevel="0" collapsed="false">
      <c r="A1437" s="92" t="str">
        <f aca="false">Gov_Map!$H647&amp;""</f>
        <v>—</v>
      </c>
      <c r="B1437" s="65" t="str">
        <f aca="false">IF(A1437="","（哨兵：Gov_Map 該列無 SRC_ID）",IF(COUNTIF($A$5:$A$794,A1437)&gt;0,"（哨兵：此 SRC_ID 已在上方 SRC 頁，查詢不會命中本列）","（哨兵：SRC 頁查無此 ID）"))</f>
        <v>（哨兵：SRC 頁查無此 ID）</v>
      </c>
      <c r="C1437" s="61" t="n">
        <v>647</v>
      </c>
      <c r="D1437" s="61" t="s">
        <v>10703</v>
      </c>
      <c r="E1437" s="61" t="s">
        <v>10703</v>
      </c>
      <c r="F1437" s="62" t="s">
        <v>814</v>
      </c>
    </row>
    <row r="1438" customFormat="false" ht="15" hidden="false" customHeight="false" outlineLevel="0" collapsed="false">
      <c r="A1438" s="92" t="str">
        <f aca="false">Gov_Map!$H648&amp;""</f>
        <v>—</v>
      </c>
      <c r="B1438" s="65" t="str">
        <f aca="false">IF(A1438="","（哨兵：Gov_Map 該列無 SRC_ID）",IF(COUNTIF($A$5:$A$794,A1438)&gt;0,"（哨兵：此 SRC_ID 已在上方 SRC 頁，查詢不會命中本列）","（哨兵：SRC 頁查無此 ID）"))</f>
        <v>（哨兵：SRC 頁查無此 ID）</v>
      </c>
      <c r="C1438" s="61" t="n">
        <v>648</v>
      </c>
      <c r="D1438" s="61" t="s">
        <v>10703</v>
      </c>
      <c r="E1438" s="61" t="s">
        <v>10703</v>
      </c>
      <c r="F1438" s="62" t="s">
        <v>814</v>
      </c>
    </row>
    <row r="1439" customFormat="false" ht="15" hidden="false" customHeight="false" outlineLevel="0" collapsed="false">
      <c r="A1439" s="92" t="str">
        <f aca="false">Gov_Map!$H649&amp;""</f>
        <v>—</v>
      </c>
      <c r="B1439" s="65" t="str">
        <f aca="false">IF(A1439="","（哨兵：Gov_Map 該列無 SRC_ID）",IF(COUNTIF($A$5:$A$794,A1439)&gt;0,"（哨兵：此 SRC_ID 已在上方 SRC 頁，查詢不會命中本列）","（哨兵：SRC 頁查無此 ID）"))</f>
        <v>（哨兵：SRC 頁查無此 ID）</v>
      </c>
      <c r="C1439" s="61" t="n">
        <v>649</v>
      </c>
      <c r="D1439" s="61" t="s">
        <v>10703</v>
      </c>
      <c r="E1439" s="61" t="s">
        <v>10703</v>
      </c>
      <c r="F1439" s="62" t="s">
        <v>814</v>
      </c>
    </row>
    <row r="1440" customFormat="false" ht="15" hidden="false" customHeight="false" outlineLevel="0" collapsed="false">
      <c r="A1440" s="92" t="str">
        <f aca="false">Gov_Map!$H650&amp;""</f>
        <v>—</v>
      </c>
      <c r="B1440" s="65" t="str">
        <f aca="false">IF(A1440="","（哨兵：Gov_Map 該列無 SRC_ID）",IF(COUNTIF($A$5:$A$794,A1440)&gt;0,"（哨兵：此 SRC_ID 已在上方 SRC 頁，查詢不會命中本列）","（哨兵：SRC 頁查無此 ID）"))</f>
        <v>（哨兵：SRC 頁查無此 ID）</v>
      </c>
      <c r="C1440" s="61" t="n">
        <v>650</v>
      </c>
      <c r="D1440" s="61" t="s">
        <v>10703</v>
      </c>
      <c r="E1440" s="61" t="s">
        <v>10703</v>
      </c>
      <c r="F1440" s="62" t="s">
        <v>814</v>
      </c>
    </row>
    <row r="1441" customFormat="false" ht="15" hidden="false" customHeight="false" outlineLevel="0" collapsed="false">
      <c r="A1441" s="92" t="str">
        <f aca="false">Gov_Map!$H651&amp;""</f>
        <v>—</v>
      </c>
      <c r="B1441" s="65" t="str">
        <f aca="false">IF(A1441="","（哨兵：Gov_Map 該列無 SRC_ID）",IF(COUNTIF($A$5:$A$794,A1441)&gt;0,"（哨兵：此 SRC_ID 已在上方 SRC 頁，查詢不會命中本列）","（哨兵：SRC 頁查無此 ID）"))</f>
        <v>（哨兵：SRC 頁查無此 ID）</v>
      </c>
      <c r="C1441" s="61" t="n">
        <v>651</v>
      </c>
      <c r="D1441" s="61" t="s">
        <v>10703</v>
      </c>
      <c r="E1441" s="61" t="s">
        <v>10703</v>
      </c>
      <c r="F1441" s="62" t="s">
        <v>814</v>
      </c>
    </row>
    <row r="1442" customFormat="false" ht="15" hidden="false" customHeight="false" outlineLevel="0" collapsed="false">
      <c r="A1442" s="92" t="str">
        <f aca="false">Gov_Map!$H652&amp;""</f>
        <v>—</v>
      </c>
      <c r="B1442" s="65" t="str">
        <f aca="false">IF(A1442="","（哨兵：Gov_Map 該列無 SRC_ID）",IF(COUNTIF($A$5:$A$794,A1442)&gt;0,"（哨兵：此 SRC_ID 已在上方 SRC 頁，查詢不會命中本列）","（哨兵：SRC 頁查無此 ID）"))</f>
        <v>（哨兵：SRC 頁查無此 ID）</v>
      </c>
      <c r="C1442" s="61" t="n">
        <v>652</v>
      </c>
      <c r="D1442" s="61" t="s">
        <v>10703</v>
      </c>
      <c r="E1442" s="61" t="s">
        <v>10703</v>
      </c>
      <c r="F1442" s="62" t="s">
        <v>814</v>
      </c>
    </row>
    <row r="1443" customFormat="false" ht="15" hidden="false" customHeight="false" outlineLevel="0" collapsed="false">
      <c r="A1443" s="92" t="str">
        <f aca="false">Gov_Map!$H653&amp;""</f>
        <v>—</v>
      </c>
      <c r="B1443" s="65" t="str">
        <f aca="false">IF(A1443="","（哨兵：Gov_Map 該列無 SRC_ID）",IF(COUNTIF($A$5:$A$794,A1443)&gt;0,"（哨兵：此 SRC_ID 已在上方 SRC 頁，查詢不會命中本列）","（哨兵：SRC 頁查無此 ID）"))</f>
        <v>（哨兵：SRC 頁查無此 ID）</v>
      </c>
      <c r="C1443" s="61" t="n">
        <v>653</v>
      </c>
      <c r="D1443" s="61" t="s">
        <v>10703</v>
      </c>
      <c r="E1443" s="61" t="s">
        <v>10703</v>
      </c>
      <c r="F1443" s="62" t="s">
        <v>814</v>
      </c>
    </row>
    <row r="1444" customFormat="false" ht="15" hidden="false" customHeight="false" outlineLevel="0" collapsed="false">
      <c r="A1444" s="92" t="str">
        <f aca="false">Gov_Map!$H654&amp;""</f>
        <v>—</v>
      </c>
      <c r="B1444" s="65" t="str">
        <f aca="false">IF(A1444="","（哨兵：Gov_Map 該列無 SRC_ID）",IF(COUNTIF($A$5:$A$794,A1444)&gt;0,"（哨兵：此 SRC_ID 已在上方 SRC 頁，查詢不會命中本列）","（哨兵：SRC 頁查無此 ID）"))</f>
        <v>（哨兵：SRC 頁查無此 ID）</v>
      </c>
      <c r="C1444" s="61" t="n">
        <v>654</v>
      </c>
      <c r="D1444" s="61" t="s">
        <v>10703</v>
      </c>
      <c r="E1444" s="61" t="s">
        <v>10703</v>
      </c>
      <c r="F1444" s="62" t="s">
        <v>814</v>
      </c>
    </row>
    <row r="1445" customFormat="false" ht="15" hidden="false" customHeight="false" outlineLevel="0" collapsed="false">
      <c r="A1445" s="92" t="str">
        <f aca="false">Gov_Map!$H655&amp;""</f>
        <v>—</v>
      </c>
      <c r="B1445" s="65" t="str">
        <f aca="false">IF(A1445="","（哨兵：Gov_Map 該列無 SRC_ID）",IF(COUNTIF($A$5:$A$794,A1445)&gt;0,"（哨兵：此 SRC_ID 已在上方 SRC 頁，查詢不會命中本列）","（哨兵：SRC 頁查無此 ID）"))</f>
        <v>（哨兵：SRC 頁查無此 ID）</v>
      </c>
      <c r="C1445" s="61" t="n">
        <v>655</v>
      </c>
      <c r="D1445" s="61" t="s">
        <v>10703</v>
      </c>
      <c r="E1445" s="61" t="s">
        <v>10703</v>
      </c>
      <c r="F1445" s="62" t="s">
        <v>814</v>
      </c>
    </row>
    <row r="1446" customFormat="false" ht="15" hidden="false" customHeight="false" outlineLevel="0" collapsed="false">
      <c r="A1446" s="92" t="str">
        <f aca="false">Gov_Map!$H656&amp;""</f>
        <v>—</v>
      </c>
      <c r="B1446" s="65" t="str">
        <f aca="false">IF(A1446="","（哨兵：Gov_Map 該列無 SRC_ID）",IF(COUNTIF($A$5:$A$794,A1446)&gt;0,"（哨兵：此 SRC_ID 已在上方 SRC 頁，查詢不會命中本列）","（哨兵：SRC 頁查無此 ID）"))</f>
        <v>（哨兵：SRC 頁查無此 ID）</v>
      </c>
      <c r="C1446" s="61" t="n">
        <v>656</v>
      </c>
      <c r="D1446" s="61" t="s">
        <v>10703</v>
      </c>
      <c r="E1446" s="61" t="s">
        <v>10703</v>
      </c>
      <c r="F1446" s="62" t="s">
        <v>814</v>
      </c>
    </row>
    <row r="1447" customFormat="false" ht="15" hidden="false" customHeight="false" outlineLevel="0" collapsed="false">
      <c r="A1447" s="92" t="str">
        <f aca="false">Gov_Map!$H657&amp;""</f>
        <v>—</v>
      </c>
      <c r="B1447" s="65" t="str">
        <f aca="false">IF(A1447="","（哨兵：Gov_Map 該列無 SRC_ID）",IF(COUNTIF($A$5:$A$794,A1447)&gt;0,"（哨兵：此 SRC_ID 已在上方 SRC 頁，查詢不會命中本列）","（哨兵：SRC 頁查無此 ID）"))</f>
        <v>（哨兵：SRC 頁查無此 ID）</v>
      </c>
      <c r="C1447" s="61" t="n">
        <v>657</v>
      </c>
      <c r="D1447" s="61" t="s">
        <v>10703</v>
      </c>
      <c r="E1447" s="61" t="s">
        <v>10703</v>
      </c>
      <c r="F1447" s="62" t="s">
        <v>814</v>
      </c>
    </row>
    <row r="1448" customFormat="false" ht="15" hidden="false" customHeight="false" outlineLevel="0" collapsed="false">
      <c r="A1448" s="92" t="str">
        <f aca="false">Gov_Map!$H658&amp;""</f>
        <v>—</v>
      </c>
      <c r="B1448" s="65" t="str">
        <f aca="false">IF(A1448="","（哨兵：Gov_Map 該列無 SRC_ID）",IF(COUNTIF($A$5:$A$794,A1448)&gt;0,"（哨兵：此 SRC_ID 已在上方 SRC 頁，查詢不會命中本列）","（哨兵：SRC 頁查無此 ID）"))</f>
        <v>（哨兵：SRC 頁查無此 ID）</v>
      </c>
      <c r="C1448" s="61" t="n">
        <v>658</v>
      </c>
      <c r="D1448" s="61" t="s">
        <v>10703</v>
      </c>
      <c r="E1448" s="61" t="s">
        <v>10703</v>
      </c>
      <c r="F1448" s="62" t="s">
        <v>814</v>
      </c>
    </row>
    <row r="1449" customFormat="false" ht="15" hidden="false" customHeight="false" outlineLevel="0" collapsed="false">
      <c r="A1449" s="92" t="str">
        <f aca="false">Gov_Map!$H659&amp;""</f>
        <v>—</v>
      </c>
      <c r="B1449" s="65" t="str">
        <f aca="false">IF(A1449="","（哨兵：Gov_Map 該列無 SRC_ID）",IF(COUNTIF($A$5:$A$794,A1449)&gt;0,"（哨兵：此 SRC_ID 已在上方 SRC 頁，查詢不會命中本列）","（哨兵：SRC 頁查無此 ID）"))</f>
        <v>（哨兵：SRC 頁查無此 ID）</v>
      </c>
      <c r="C1449" s="61" t="n">
        <v>659</v>
      </c>
      <c r="D1449" s="61" t="s">
        <v>10703</v>
      </c>
      <c r="E1449" s="61" t="s">
        <v>10703</v>
      </c>
      <c r="F1449" s="62" t="s">
        <v>814</v>
      </c>
    </row>
    <row r="1450" customFormat="false" ht="15" hidden="false" customHeight="false" outlineLevel="0" collapsed="false">
      <c r="A1450" s="92" t="str">
        <f aca="false">Gov_Map!$H660&amp;""</f>
        <v>—</v>
      </c>
      <c r="B1450" s="65" t="str">
        <f aca="false">IF(A1450="","（哨兵：Gov_Map 該列無 SRC_ID）",IF(COUNTIF($A$5:$A$794,A1450)&gt;0,"（哨兵：此 SRC_ID 已在上方 SRC 頁，查詢不會命中本列）","（哨兵：SRC 頁查無此 ID）"))</f>
        <v>（哨兵：SRC 頁查無此 ID）</v>
      </c>
      <c r="C1450" s="61" t="n">
        <v>660</v>
      </c>
      <c r="D1450" s="61" t="s">
        <v>10703</v>
      </c>
      <c r="E1450" s="61" t="s">
        <v>10703</v>
      </c>
      <c r="F1450" s="62" t="s">
        <v>814</v>
      </c>
    </row>
    <row r="1451" customFormat="false" ht="15" hidden="false" customHeight="false" outlineLevel="0" collapsed="false">
      <c r="A1451" s="92" t="str">
        <f aca="false">Gov_Map!$H661&amp;""</f>
        <v>—</v>
      </c>
      <c r="B1451" s="65" t="str">
        <f aca="false">IF(A1451="","（哨兵：Gov_Map 該列無 SRC_ID）",IF(COUNTIF($A$5:$A$794,A1451)&gt;0,"（哨兵：此 SRC_ID 已在上方 SRC 頁，查詢不會命中本列）","（哨兵：SRC 頁查無此 ID）"))</f>
        <v>（哨兵：SRC 頁查無此 ID）</v>
      </c>
      <c r="C1451" s="61" t="n">
        <v>661</v>
      </c>
      <c r="D1451" s="61" t="s">
        <v>10703</v>
      </c>
      <c r="E1451" s="61" t="s">
        <v>10703</v>
      </c>
      <c r="F1451" s="62" t="s">
        <v>814</v>
      </c>
    </row>
    <row r="1452" customFormat="false" ht="15" hidden="false" customHeight="false" outlineLevel="0" collapsed="false">
      <c r="A1452" s="92" t="str">
        <f aca="false">Gov_Map!$H662&amp;""</f>
        <v>—</v>
      </c>
      <c r="B1452" s="65" t="str">
        <f aca="false">IF(A1452="","（哨兵：Gov_Map 該列無 SRC_ID）",IF(COUNTIF($A$5:$A$794,A1452)&gt;0,"（哨兵：此 SRC_ID 已在上方 SRC 頁，查詢不會命中本列）","（哨兵：SRC 頁查無此 ID）"))</f>
        <v>（哨兵：SRC 頁查無此 ID）</v>
      </c>
      <c r="C1452" s="61" t="n">
        <v>662</v>
      </c>
      <c r="D1452" s="61" t="s">
        <v>10703</v>
      </c>
      <c r="E1452" s="61" t="s">
        <v>10703</v>
      </c>
      <c r="F1452" s="62" t="s">
        <v>814</v>
      </c>
    </row>
    <row r="1453" customFormat="false" ht="15" hidden="false" customHeight="false" outlineLevel="0" collapsed="false">
      <c r="A1453" s="92" t="str">
        <f aca="false">Gov_Map!$H663&amp;""</f>
        <v>—</v>
      </c>
      <c r="B1453" s="65" t="str">
        <f aca="false">IF(A1453="","（哨兵：Gov_Map 該列無 SRC_ID）",IF(COUNTIF($A$5:$A$794,A1453)&gt;0,"（哨兵：此 SRC_ID 已在上方 SRC 頁，查詢不會命中本列）","（哨兵：SRC 頁查無此 ID）"))</f>
        <v>（哨兵：SRC 頁查無此 ID）</v>
      </c>
      <c r="C1453" s="61" t="n">
        <v>663</v>
      </c>
      <c r="D1453" s="61" t="s">
        <v>10703</v>
      </c>
      <c r="E1453" s="61" t="s">
        <v>10703</v>
      </c>
      <c r="F1453" s="62" t="s">
        <v>814</v>
      </c>
    </row>
    <row r="1454" customFormat="false" ht="15" hidden="false" customHeight="false" outlineLevel="0" collapsed="false">
      <c r="A1454" s="92" t="str">
        <f aca="false">Gov_Map!$H664&amp;""</f>
        <v>—</v>
      </c>
      <c r="B1454" s="65" t="str">
        <f aca="false">IF(A1454="","（哨兵：Gov_Map 該列無 SRC_ID）",IF(COUNTIF($A$5:$A$794,A1454)&gt;0,"（哨兵：此 SRC_ID 已在上方 SRC 頁，查詢不會命中本列）","（哨兵：SRC 頁查無此 ID）"))</f>
        <v>（哨兵：SRC 頁查無此 ID）</v>
      </c>
      <c r="C1454" s="61" t="n">
        <v>664</v>
      </c>
      <c r="D1454" s="61" t="s">
        <v>10703</v>
      </c>
      <c r="E1454" s="61" t="s">
        <v>10703</v>
      </c>
      <c r="F1454" s="62" t="s">
        <v>814</v>
      </c>
    </row>
    <row r="1455" customFormat="false" ht="15" hidden="false" customHeight="false" outlineLevel="0" collapsed="false">
      <c r="A1455" s="92" t="str">
        <f aca="false">Gov_Map!$H665&amp;""</f>
        <v>—</v>
      </c>
      <c r="B1455" s="65" t="str">
        <f aca="false">IF(A1455="","（哨兵：Gov_Map 該列無 SRC_ID）",IF(COUNTIF($A$5:$A$794,A1455)&gt;0,"（哨兵：此 SRC_ID 已在上方 SRC 頁，查詢不會命中本列）","（哨兵：SRC 頁查無此 ID）"))</f>
        <v>（哨兵：SRC 頁查無此 ID）</v>
      </c>
      <c r="C1455" s="61" t="n">
        <v>665</v>
      </c>
      <c r="D1455" s="61" t="s">
        <v>10703</v>
      </c>
      <c r="E1455" s="61" t="s">
        <v>10703</v>
      </c>
      <c r="F1455" s="62" t="s">
        <v>814</v>
      </c>
    </row>
    <row r="1456" customFormat="false" ht="15" hidden="false" customHeight="false" outlineLevel="0" collapsed="false">
      <c r="A1456" s="92" t="str">
        <f aca="false">Gov_Map!$H666&amp;""</f>
        <v>—</v>
      </c>
      <c r="B1456" s="65" t="str">
        <f aca="false">IF(A1456="","（哨兵：Gov_Map 該列無 SRC_ID）",IF(COUNTIF($A$5:$A$794,A1456)&gt;0,"（哨兵：此 SRC_ID 已在上方 SRC 頁，查詢不會命中本列）","（哨兵：SRC 頁查無此 ID）"))</f>
        <v>（哨兵：SRC 頁查無此 ID）</v>
      </c>
      <c r="C1456" s="61" t="n">
        <v>666</v>
      </c>
      <c r="D1456" s="61" t="s">
        <v>10703</v>
      </c>
      <c r="E1456" s="61" t="s">
        <v>10703</v>
      </c>
      <c r="F1456" s="62" t="s">
        <v>814</v>
      </c>
    </row>
    <row r="1457" customFormat="false" ht="15" hidden="false" customHeight="false" outlineLevel="0" collapsed="false">
      <c r="A1457" s="92" t="str">
        <f aca="false">Gov_Map!$H667&amp;""</f>
        <v>—</v>
      </c>
      <c r="B1457" s="65" t="str">
        <f aca="false">IF(A1457="","（哨兵：Gov_Map 該列無 SRC_ID）",IF(COUNTIF($A$5:$A$794,A1457)&gt;0,"（哨兵：此 SRC_ID 已在上方 SRC 頁，查詢不會命中本列）","（哨兵：SRC 頁查無此 ID）"))</f>
        <v>（哨兵：SRC 頁查無此 ID）</v>
      </c>
      <c r="C1457" s="61" t="n">
        <v>667</v>
      </c>
      <c r="D1457" s="61" t="s">
        <v>10703</v>
      </c>
      <c r="E1457" s="61" t="s">
        <v>10703</v>
      </c>
      <c r="F1457" s="62" t="s">
        <v>814</v>
      </c>
    </row>
    <row r="1458" customFormat="false" ht="15" hidden="false" customHeight="false" outlineLevel="0" collapsed="false">
      <c r="A1458" s="92" t="str">
        <f aca="false">Gov_Map!$H668&amp;""</f>
        <v>—</v>
      </c>
      <c r="B1458" s="65" t="str">
        <f aca="false">IF(A1458="","（哨兵：Gov_Map 該列無 SRC_ID）",IF(COUNTIF($A$5:$A$794,A1458)&gt;0,"（哨兵：此 SRC_ID 已在上方 SRC 頁，查詢不會命中本列）","（哨兵：SRC 頁查無此 ID）"))</f>
        <v>（哨兵：SRC 頁查無此 ID）</v>
      </c>
      <c r="C1458" s="61" t="n">
        <v>668</v>
      </c>
      <c r="D1458" s="61" t="s">
        <v>10703</v>
      </c>
      <c r="E1458" s="61" t="s">
        <v>10703</v>
      </c>
      <c r="F1458" s="62" t="s">
        <v>814</v>
      </c>
    </row>
    <row r="1459" customFormat="false" ht="15" hidden="false" customHeight="false" outlineLevel="0" collapsed="false">
      <c r="A1459" s="92" t="str">
        <f aca="false">Gov_Map!$H669&amp;""</f>
        <v>—</v>
      </c>
      <c r="B1459" s="65" t="str">
        <f aca="false">IF(A1459="","（哨兵：Gov_Map 該列無 SRC_ID）",IF(COUNTIF($A$5:$A$794,A1459)&gt;0,"（哨兵：此 SRC_ID 已在上方 SRC 頁，查詢不會命中本列）","（哨兵：SRC 頁查無此 ID）"))</f>
        <v>（哨兵：SRC 頁查無此 ID）</v>
      </c>
      <c r="C1459" s="61" t="n">
        <v>669</v>
      </c>
      <c r="D1459" s="61" t="s">
        <v>10703</v>
      </c>
      <c r="E1459" s="61" t="s">
        <v>10703</v>
      </c>
      <c r="F1459" s="62" t="s">
        <v>814</v>
      </c>
    </row>
    <row r="1460" customFormat="false" ht="15" hidden="false" customHeight="false" outlineLevel="0" collapsed="false">
      <c r="A1460" s="92" t="str">
        <f aca="false">Gov_Map!$H670&amp;""</f>
        <v>—</v>
      </c>
      <c r="B1460" s="65" t="str">
        <f aca="false">IF(A1460="","（哨兵：Gov_Map 該列無 SRC_ID）",IF(COUNTIF($A$5:$A$794,A1460)&gt;0,"（哨兵：此 SRC_ID 已在上方 SRC 頁，查詢不會命中本列）","（哨兵：SRC 頁查無此 ID）"))</f>
        <v>（哨兵：SRC 頁查無此 ID）</v>
      </c>
      <c r="C1460" s="61" t="n">
        <v>670</v>
      </c>
      <c r="D1460" s="61" t="s">
        <v>10703</v>
      </c>
      <c r="E1460" s="61" t="s">
        <v>10703</v>
      </c>
      <c r="F1460" s="62" t="s">
        <v>814</v>
      </c>
    </row>
    <row r="1461" customFormat="false" ht="15" hidden="false" customHeight="false" outlineLevel="0" collapsed="false">
      <c r="A1461" s="92" t="str">
        <f aca="false">Gov_Map!$H671&amp;""</f>
        <v>—</v>
      </c>
      <c r="B1461" s="65" t="str">
        <f aca="false">IF(A1461="","（哨兵：Gov_Map 該列無 SRC_ID）",IF(COUNTIF($A$5:$A$794,A1461)&gt;0,"（哨兵：此 SRC_ID 已在上方 SRC 頁，查詢不會命中本列）","（哨兵：SRC 頁查無此 ID）"))</f>
        <v>（哨兵：SRC 頁查無此 ID）</v>
      </c>
      <c r="C1461" s="61" t="n">
        <v>671</v>
      </c>
      <c r="D1461" s="61" t="s">
        <v>10703</v>
      </c>
      <c r="E1461" s="61" t="s">
        <v>10703</v>
      </c>
      <c r="F1461" s="62" t="s">
        <v>814</v>
      </c>
    </row>
    <row r="1462" customFormat="false" ht="15" hidden="false" customHeight="false" outlineLevel="0" collapsed="false">
      <c r="A1462" s="92" t="str">
        <f aca="false">Gov_Map!$H672&amp;""</f>
        <v>—</v>
      </c>
      <c r="B1462" s="65" t="str">
        <f aca="false">IF(A1462="","（哨兵：Gov_Map 該列無 SRC_ID）",IF(COUNTIF($A$5:$A$794,A1462)&gt;0,"（哨兵：此 SRC_ID 已在上方 SRC 頁，查詢不會命中本列）","（哨兵：SRC 頁查無此 ID）"))</f>
        <v>（哨兵：SRC 頁查無此 ID）</v>
      </c>
      <c r="C1462" s="61" t="n">
        <v>672</v>
      </c>
      <c r="D1462" s="61" t="s">
        <v>10703</v>
      </c>
      <c r="E1462" s="61" t="s">
        <v>10703</v>
      </c>
      <c r="F1462" s="62" t="s">
        <v>814</v>
      </c>
    </row>
    <row r="1463" customFormat="false" ht="15" hidden="false" customHeight="false" outlineLevel="0" collapsed="false">
      <c r="A1463" s="92" t="str">
        <f aca="false">Gov_Map!$H673&amp;""</f>
        <v>—</v>
      </c>
      <c r="B1463" s="65" t="str">
        <f aca="false">IF(A1463="","（哨兵：Gov_Map 該列無 SRC_ID）",IF(COUNTIF($A$5:$A$794,A1463)&gt;0,"（哨兵：此 SRC_ID 已在上方 SRC 頁，查詢不會命中本列）","（哨兵：SRC 頁查無此 ID）"))</f>
        <v>（哨兵：SRC 頁查無此 ID）</v>
      </c>
      <c r="C1463" s="61" t="n">
        <v>673</v>
      </c>
      <c r="D1463" s="61" t="s">
        <v>10703</v>
      </c>
      <c r="E1463" s="61" t="s">
        <v>10703</v>
      </c>
      <c r="F1463" s="62" t="s">
        <v>814</v>
      </c>
    </row>
    <row r="1464" customFormat="false" ht="15" hidden="false" customHeight="false" outlineLevel="0" collapsed="false">
      <c r="A1464" s="92" t="str">
        <f aca="false">Gov_Map!$H674&amp;""</f>
        <v>—</v>
      </c>
      <c r="B1464" s="65" t="str">
        <f aca="false">IF(A1464="","（哨兵：Gov_Map 該列無 SRC_ID）",IF(COUNTIF($A$5:$A$794,A1464)&gt;0,"（哨兵：此 SRC_ID 已在上方 SRC 頁，查詢不會命中本列）","（哨兵：SRC 頁查無此 ID）"))</f>
        <v>（哨兵：SRC 頁查無此 ID）</v>
      </c>
      <c r="C1464" s="61" t="n">
        <v>674</v>
      </c>
      <c r="D1464" s="61" t="s">
        <v>10703</v>
      </c>
      <c r="E1464" s="61" t="s">
        <v>10703</v>
      </c>
      <c r="F1464" s="62" t="s">
        <v>814</v>
      </c>
    </row>
    <row r="1465" customFormat="false" ht="15" hidden="false" customHeight="false" outlineLevel="0" collapsed="false">
      <c r="A1465" s="92" t="str">
        <f aca="false">Gov_Map!$H675&amp;""</f>
        <v>—</v>
      </c>
      <c r="B1465" s="65" t="str">
        <f aca="false">IF(A1465="","（哨兵：Gov_Map 該列無 SRC_ID）",IF(COUNTIF($A$5:$A$794,A1465)&gt;0,"（哨兵：此 SRC_ID 已在上方 SRC 頁，查詢不會命中本列）","（哨兵：SRC 頁查無此 ID）"))</f>
        <v>（哨兵：SRC 頁查無此 ID）</v>
      </c>
      <c r="C1465" s="61" t="n">
        <v>675</v>
      </c>
      <c r="D1465" s="61" t="s">
        <v>10703</v>
      </c>
      <c r="E1465" s="61" t="s">
        <v>10703</v>
      </c>
      <c r="F1465" s="62" t="s">
        <v>814</v>
      </c>
    </row>
    <row r="1466" customFormat="false" ht="15" hidden="false" customHeight="false" outlineLevel="0" collapsed="false">
      <c r="A1466" s="92" t="str">
        <f aca="false">Gov_Map!$H676&amp;""</f>
        <v>—</v>
      </c>
      <c r="B1466" s="65" t="str">
        <f aca="false">IF(A1466="","（哨兵：Gov_Map 該列無 SRC_ID）",IF(COUNTIF($A$5:$A$794,A1466)&gt;0,"（哨兵：此 SRC_ID 已在上方 SRC 頁，查詢不會命中本列）","（哨兵：SRC 頁查無此 ID）"))</f>
        <v>（哨兵：SRC 頁查無此 ID）</v>
      </c>
      <c r="C1466" s="61" t="n">
        <v>676</v>
      </c>
      <c r="D1466" s="61" t="s">
        <v>10703</v>
      </c>
      <c r="E1466" s="61" t="s">
        <v>10703</v>
      </c>
      <c r="F1466" s="62" t="s">
        <v>814</v>
      </c>
    </row>
    <row r="1467" customFormat="false" ht="15" hidden="false" customHeight="false" outlineLevel="0" collapsed="false">
      <c r="A1467" s="92" t="str">
        <f aca="false">Gov_Map!$H677&amp;""</f>
        <v>—</v>
      </c>
      <c r="B1467" s="65" t="str">
        <f aca="false">IF(A1467="","（哨兵：Gov_Map 該列無 SRC_ID）",IF(COUNTIF($A$5:$A$794,A1467)&gt;0,"（哨兵：此 SRC_ID 已在上方 SRC 頁，查詢不會命中本列）","（哨兵：SRC 頁查無此 ID）"))</f>
        <v>（哨兵：SRC 頁查無此 ID）</v>
      </c>
      <c r="C1467" s="61" t="n">
        <v>677</v>
      </c>
      <c r="D1467" s="61" t="s">
        <v>10703</v>
      </c>
      <c r="E1467" s="61" t="s">
        <v>10703</v>
      </c>
      <c r="F1467" s="62" t="s">
        <v>814</v>
      </c>
    </row>
    <row r="1468" customFormat="false" ht="15" hidden="false" customHeight="false" outlineLevel="0" collapsed="false">
      <c r="A1468" s="92" t="str">
        <f aca="false">Gov_Map!$H678&amp;""</f>
        <v>—</v>
      </c>
      <c r="B1468" s="65" t="str">
        <f aca="false">IF(A1468="","（哨兵：Gov_Map 該列無 SRC_ID）",IF(COUNTIF($A$5:$A$794,A1468)&gt;0,"（哨兵：此 SRC_ID 已在上方 SRC 頁，查詢不會命中本列）","（哨兵：SRC 頁查無此 ID）"))</f>
        <v>（哨兵：SRC 頁查無此 ID）</v>
      </c>
      <c r="C1468" s="61" t="n">
        <v>678</v>
      </c>
      <c r="D1468" s="61" t="s">
        <v>10703</v>
      </c>
      <c r="E1468" s="61" t="s">
        <v>10703</v>
      </c>
      <c r="F1468" s="62" t="s">
        <v>814</v>
      </c>
    </row>
    <row r="1469" customFormat="false" ht="15" hidden="false" customHeight="false" outlineLevel="0" collapsed="false">
      <c r="A1469" s="92" t="str">
        <f aca="false">Gov_Map!$H679&amp;""</f>
        <v>—</v>
      </c>
      <c r="B1469" s="65" t="str">
        <f aca="false">IF(A1469="","（哨兵：Gov_Map 該列無 SRC_ID）",IF(COUNTIF($A$5:$A$794,A1469)&gt;0,"（哨兵：此 SRC_ID 已在上方 SRC 頁，查詢不會命中本列）","（哨兵：SRC 頁查無此 ID）"))</f>
        <v>（哨兵：SRC 頁查無此 ID）</v>
      </c>
      <c r="C1469" s="61" t="n">
        <v>679</v>
      </c>
      <c r="D1469" s="61" t="s">
        <v>10703</v>
      </c>
      <c r="E1469" s="61" t="s">
        <v>10703</v>
      </c>
      <c r="F1469" s="62" t="s">
        <v>814</v>
      </c>
    </row>
    <row r="1470" customFormat="false" ht="15" hidden="false" customHeight="false" outlineLevel="0" collapsed="false">
      <c r="A1470" s="92" t="str">
        <f aca="false">Gov_Map!$H680&amp;""</f>
        <v>—</v>
      </c>
      <c r="B1470" s="65" t="str">
        <f aca="false">IF(A1470="","（哨兵：Gov_Map 該列無 SRC_ID）",IF(COUNTIF($A$5:$A$794,A1470)&gt;0,"（哨兵：此 SRC_ID 已在上方 SRC 頁，查詢不會命中本列）","（哨兵：SRC 頁查無此 ID）"))</f>
        <v>（哨兵：SRC 頁查無此 ID）</v>
      </c>
      <c r="C1470" s="61" t="n">
        <v>680</v>
      </c>
      <c r="D1470" s="61" t="s">
        <v>10703</v>
      </c>
      <c r="E1470" s="61" t="s">
        <v>10703</v>
      </c>
      <c r="F1470" s="62" t="s">
        <v>814</v>
      </c>
    </row>
    <row r="1471" customFormat="false" ht="15" hidden="false" customHeight="false" outlineLevel="0" collapsed="false">
      <c r="A1471" s="92" t="str">
        <f aca="false">Gov_Map!$H681&amp;""</f>
        <v>—</v>
      </c>
      <c r="B1471" s="65" t="str">
        <f aca="false">IF(A1471="","（哨兵：Gov_Map 該列無 SRC_ID）",IF(COUNTIF($A$5:$A$794,A1471)&gt;0,"（哨兵：此 SRC_ID 已在上方 SRC 頁，查詢不會命中本列）","（哨兵：SRC 頁查無此 ID）"))</f>
        <v>（哨兵：SRC 頁查無此 ID）</v>
      </c>
      <c r="C1471" s="61" t="n">
        <v>681</v>
      </c>
      <c r="D1471" s="61" t="s">
        <v>10703</v>
      </c>
      <c r="E1471" s="61" t="s">
        <v>10703</v>
      </c>
      <c r="F1471" s="62" t="s">
        <v>814</v>
      </c>
    </row>
    <row r="1472" customFormat="false" ht="15" hidden="false" customHeight="false" outlineLevel="0" collapsed="false">
      <c r="A1472" s="92" t="str">
        <f aca="false">Gov_Map!$H682&amp;""</f>
        <v>—</v>
      </c>
      <c r="B1472" s="65" t="str">
        <f aca="false">IF(A1472="","（哨兵：Gov_Map 該列無 SRC_ID）",IF(COUNTIF($A$5:$A$794,A1472)&gt;0,"（哨兵：此 SRC_ID 已在上方 SRC 頁，查詢不會命中本列）","（哨兵：SRC 頁查無此 ID）"))</f>
        <v>（哨兵：SRC 頁查無此 ID）</v>
      </c>
      <c r="C1472" s="61" t="n">
        <v>682</v>
      </c>
      <c r="D1472" s="61" t="s">
        <v>10703</v>
      </c>
      <c r="E1472" s="61" t="s">
        <v>10703</v>
      </c>
      <c r="F1472" s="62" t="s">
        <v>814</v>
      </c>
    </row>
    <row r="1473" customFormat="false" ht="15" hidden="false" customHeight="false" outlineLevel="0" collapsed="false">
      <c r="A1473" s="92" t="str">
        <f aca="false">Gov_Map!$H683&amp;""</f>
        <v>—</v>
      </c>
      <c r="B1473" s="65" t="str">
        <f aca="false">IF(A1473="","（哨兵：Gov_Map 該列無 SRC_ID）",IF(COUNTIF($A$5:$A$794,A1473)&gt;0,"（哨兵：此 SRC_ID 已在上方 SRC 頁，查詢不會命中本列）","（哨兵：SRC 頁查無此 ID）"))</f>
        <v>（哨兵：SRC 頁查無此 ID）</v>
      </c>
      <c r="C1473" s="61" t="n">
        <v>683</v>
      </c>
      <c r="D1473" s="61" t="s">
        <v>10703</v>
      </c>
      <c r="E1473" s="61" t="s">
        <v>10703</v>
      </c>
      <c r="F1473" s="62" t="s">
        <v>814</v>
      </c>
    </row>
    <row r="1474" customFormat="false" ht="15" hidden="false" customHeight="false" outlineLevel="0" collapsed="false">
      <c r="A1474" s="92" t="str">
        <f aca="false">Gov_Map!$H684&amp;""</f>
        <v>—</v>
      </c>
      <c r="B1474" s="65" t="str">
        <f aca="false">IF(A1474="","（哨兵：Gov_Map 該列無 SRC_ID）",IF(COUNTIF($A$5:$A$794,A1474)&gt;0,"（哨兵：此 SRC_ID 已在上方 SRC 頁，查詢不會命中本列）","（哨兵：SRC 頁查無此 ID）"))</f>
        <v>（哨兵：SRC 頁查無此 ID）</v>
      </c>
      <c r="C1474" s="61" t="n">
        <v>684</v>
      </c>
      <c r="D1474" s="61" t="s">
        <v>10703</v>
      </c>
      <c r="E1474" s="61" t="s">
        <v>10703</v>
      </c>
      <c r="F1474" s="62" t="s">
        <v>814</v>
      </c>
    </row>
    <row r="1475" customFormat="false" ht="15" hidden="false" customHeight="false" outlineLevel="0" collapsed="false">
      <c r="A1475" s="92" t="str">
        <f aca="false">Gov_Map!$H685&amp;""</f>
        <v/>
      </c>
      <c r="B1475" s="65" t="str">
        <f aca="false">IF(A1475="","（哨兵：Gov_Map 該列無 SRC_ID）",IF(COUNTIF($A$5:$A$794,A1475)&gt;0,"（哨兵：此 SRC_ID 已在上方 SRC 頁，查詢不會命中本列）","（哨兵：SRC 頁查無此 ID）"))</f>
        <v>（哨兵：Gov_Map 該列無 SRC_ID）</v>
      </c>
      <c r="C1475" s="61" t="n">
        <v>685</v>
      </c>
      <c r="D1475" s="61" t="s">
        <v>10703</v>
      </c>
      <c r="E1475" s="61" t="s">
        <v>10703</v>
      </c>
      <c r="F1475" s="62" t="s">
        <v>814</v>
      </c>
    </row>
    <row r="1476" customFormat="false" ht="15" hidden="false" customHeight="false" outlineLevel="0" collapsed="false">
      <c r="A1476" s="92" t="str">
        <f aca="false">Gov_Map!$H686&amp;""</f>
        <v>—</v>
      </c>
      <c r="B1476" s="65" t="str">
        <f aca="false">IF(A1476="","（哨兵：Gov_Map 該列無 SRC_ID）",IF(COUNTIF($A$5:$A$794,A1476)&gt;0,"（哨兵：此 SRC_ID 已在上方 SRC 頁，查詢不會命中本列）","（哨兵：SRC 頁查無此 ID）"))</f>
        <v>（哨兵：SRC 頁查無此 ID）</v>
      </c>
      <c r="C1476" s="61" t="n">
        <v>686</v>
      </c>
      <c r="D1476" s="61" t="s">
        <v>10703</v>
      </c>
      <c r="E1476" s="61" t="s">
        <v>10703</v>
      </c>
      <c r="F1476" s="62" t="s">
        <v>814</v>
      </c>
    </row>
    <row r="1477" customFormat="false" ht="15" hidden="false" customHeight="false" outlineLevel="0" collapsed="false">
      <c r="A1477" s="92" t="str">
        <f aca="false">Gov_Map!$H687&amp;""</f>
        <v>—</v>
      </c>
      <c r="B1477" s="65" t="str">
        <f aca="false">IF(A1477="","（哨兵：Gov_Map 該列無 SRC_ID）",IF(COUNTIF($A$5:$A$794,A1477)&gt;0,"（哨兵：此 SRC_ID 已在上方 SRC 頁，查詢不會命中本列）","（哨兵：SRC 頁查無此 ID）"))</f>
        <v>（哨兵：SRC 頁查無此 ID）</v>
      </c>
      <c r="C1477" s="61" t="n">
        <v>687</v>
      </c>
      <c r="D1477" s="61" t="s">
        <v>10703</v>
      </c>
      <c r="E1477" s="61" t="s">
        <v>10703</v>
      </c>
      <c r="F1477" s="62" t="s">
        <v>814</v>
      </c>
    </row>
    <row r="1478" customFormat="false" ht="15" hidden="false" customHeight="false" outlineLevel="0" collapsed="false">
      <c r="A1478" s="92" t="str">
        <f aca="false">Gov_Map!$H688&amp;""</f>
        <v>—</v>
      </c>
      <c r="B1478" s="65" t="str">
        <f aca="false">IF(A1478="","（哨兵：Gov_Map 該列無 SRC_ID）",IF(COUNTIF($A$5:$A$794,A1478)&gt;0,"（哨兵：此 SRC_ID 已在上方 SRC 頁，查詢不會命中本列）","（哨兵：SRC 頁查無此 ID）"))</f>
        <v>（哨兵：SRC 頁查無此 ID）</v>
      </c>
      <c r="C1478" s="61" t="n">
        <v>688</v>
      </c>
      <c r="D1478" s="61" t="s">
        <v>10703</v>
      </c>
      <c r="E1478" s="61" t="s">
        <v>10703</v>
      </c>
      <c r="F1478" s="62" t="s">
        <v>814</v>
      </c>
    </row>
    <row r="1479" customFormat="false" ht="15" hidden="false" customHeight="false" outlineLevel="0" collapsed="false">
      <c r="A1479" s="92" t="str">
        <f aca="false">Gov_Map!$H689&amp;""</f>
        <v>SRC_PERF_074</v>
      </c>
      <c r="B1479" s="65" t="str">
        <f aca="false">IF(A1479="","（哨兵：Gov_Map 該列無 SRC_ID）",IF(COUNTIF($A$5:$A$794,A1479)&gt;0,"（哨兵：此 SRC_ID 已在上方 SRC 頁，查詢不會命中本列）","（哨兵：SRC 頁查無此 ID）"))</f>
        <v>（哨兵：此 SRC_ID 已在上方 SRC 頁，查詢不會命中本列）</v>
      </c>
      <c r="C1479" s="61" t="n">
        <v>689</v>
      </c>
      <c r="D1479" s="61" t="s">
        <v>10703</v>
      </c>
      <c r="E1479" s="61" t="s">
        <v>10703</v>
      </c>
      <c r="F1479" s="62" t="s">
        <v>814</v>
      </c>
    </row>
    <row r="1480" customFormat="false" ht="15" hidden="false" customHeight="false" outlineLevel="0" collapsed="false">
      <c r="A1480" s="92" t="str">
        <f aca="false">Gov_Map!$H690&amp;""</f>
        <v>—</v>
      </c>
      <c r="B1480" s="65" t="str">
        <f aca="false">IF(A1480="","（哨兵：Gov_Map 該列無 SRC_ID）",IF(COUNTIF($A$5:$A$794,A1480)&gt;0,"（哨兵：此 SRC_ID 已在上方 SRC 頁，查詢不會命中本列）","（哨兵：SRC 頁查無此 ID）"))</f>
        <v>（哨兵：SRC 頁查無此 ID）</v>
      </c>
      <c r="C1480" s="61" t="n">
        <v>690</v>
      </c>
      <c r="D1480" s="61" t="s">
        <v>10703</v>
      </c>
      <c r="E1480" s="61" t="s">
        <v>10703</v>
      </c>
      <c r="F1480" s="62" t="s">
        <v>814</v>
      </c>
    </row>
    <row r="1481" customFormat="false" ht="15" hidden="false" customHeight="false" outlineLevel="0" collapsed="false">
      <c r="A1481" s="92" t="str">
        <f aca="false">Gov_Map!$H691&amp;""</f>
        <v>—</v>
      </c>
      <c r="B1481" s="65" t="str">
        <f aca="false">IF(A1481="","（哨兵：Gov_Map 該列無 SRC_ID）",IF(COUNTIF($A$5:$A$794,A1481)&gt;0,"（哨兵：此 SRC_ID 已在上方 SRC 頁，查詢不會命中本列）","（哨兵：SRC 頁查無此 ID）"))</f>
        <v>（哨兵：SRC 頁查無此 ID）</v>
      </c>
      <c r="C1481" s="61" t="n">
        <v>691</v>
      </c>
      <c r="D1481" s="61" t="s">
        <v>10703</v>
      </c>
      <c r="E1481" s="61" t="s">
        <v>10703</v>
      </c>
      <c r="F1481" s="62" t="s">
        <v>814</v>
      </c>
    </row>
    <row r="1482" customFormat="false" ht="15" hidden="false" customHeight="false" outlineLevel="0" collapsed="false">
      <c r="A1482" s="92" t="str">
        <f aca="false">Gov_Map!$H692&amp;""</f>
        <v/>
      </c>
      <c r="B1482" s="65" t="str">
        <f aca="false">IF(A1482="","（哨兵：Gov_Map 該列無 SRC_ID）",IF(COUNTIF($A$5:$A$794,A1482)&gt;0,"（哨兵：此 SRC_ID 已在上方 SRC 頁，查詢不會命中本列）","（哨兵：SRC 頁查無此 ID）"))</f>
        <v>（哨兵：Gov_Map 該列無 SRC_ID）</v>
      </c>
      <c r="C1482" s="61" t="n">
        <v>692</v>
      </c>
      <c r="D1482" s="61" t="s">
        <v>10703</v>
      </c>
      <c r="E1482" s="61" t="s">
        <v>10703</v>
      </c>
      <c r="F1482" s="62" t="s">
        <v>814</v>
      </c>
    </row>
    <row r="1483" customFormat="false" ht="15" hidden="false" customHeight="false" outlineLevel="0" collapsed="false">
      <c r="A1483" s="92" t="str">
        <f aca="false">Gov_Map!$H693&amp;""</f>
        <v/>
      </c>
      <c r="B1483" s="65" t="str">
        <f aca="false">IF(A1483="","（哨兵：Gov_Map 該列無 SRC_ID）",IF(COUNTIF($A$5:$A$794,A1483)&gt;0,"（哨兵：此 SRC_ID 已在上方 SRC 頁，查詢不會命中本列）","（哨兵：SRC 頁查無此 ID）"))</f>
        <v>（哨兵：Gov_Map 該列無 SRC_ID）</v>
      </c>
      <c r="C1483" s="61" t="n">
        <v>693</v>
      </c>
      <c r="D1483" s="61" t="s">
        <v>10703</v>
      </c>
      <c r="E1483" s="61" t="s">
        <v>10703</v>
      </c>
      <c r="F1483" s="62" t="s">
        <v>814</v>
      </c>
    </row>
    <row r="1484" customFormat="false" ht="15" hidden="false" customHeight="false" outlineLevel="0" collapsed="false">
      <c r="A1484" s="92" t="str">
        <f aca="false">Gov_Map!$H694&amp;""</f>
        <v/>
      </c>
      <c r="B1484" s="65" t="str">
        <f aca="false">IF(A1484="","（哨兵：Gov_Map 該列無 SRC_ID）",IF(COUNTIF($A$5:$A$794,A1484)&gt;0,"（哨兵：此 SRC_ID 已在上方 SRC 頁，查詢不會命中本列）","（哨兵：SRC 頁查無此 ID）"))</f>
        <v>（哨兵：Gov_Map 該列無 SRC_ID）</v>
      </c>
      <c r="C1484" s="61" t="n">
        <v>694</v>
      </c>
      <c r="D1484" s="61" t="s">
        <v>10703</v>
      </c>
      <c r="E1484" s="61" t="s">
        <v>10703</v>
      </c>
      <c r="F1484" s="62" t="s">
        <v>814</v>
      </c>
    </row>
    <row r="1485" customFormat="false" ht="15" hidden="false" customHeight="false" outlineLevel="0" collapsed="false">
      <c r="A1485" s="92" t="str">
        <f aca="false">Gov_Map!$H695&amp;""</f>
        <v/>
      </c>
      <c r="B1485" s="65" t="str">
        <f aca="false">IF(A1485="","（哨兵：Gov_Map 該列無 SRC_ID）",IF(COUNTIF($A$5:$A$794,A1485)&gt;0,"（哨兵：此 SRC_ID 已在上方 SRC 頁，查詢不會命中本列）","（哨兵：SRC 頁查無此 ID）"))</f>
        <v>（哨兵：Gov_Map 該列無 SRC_ID）</v>
      </c>
      <c r="C1485" s="61" t="n">
        <v>695</v>
      </c>
      <c r="D1485" s="61" t="s">
        <v>10703</v>
      </c>
      <c r="E1485" s="61" t="s">
        <v>10703</v>
      </c>
      <c r="F1485" s="62" t="s">
        <v>814</v>
      </c>
    </row>
    <row r="1486" customFormat="false" ht="15" hidden="false" customHeight="false" outlineLevel="0" collapsed="false">
      <c r="A1486" s="92" t="str">
        <f aca="false">Gov_Map!$H696&amp;""</f>
        <v/>
      </c>
      <c r="B1486" s="65" t="str">
        <f aca="false">IF(A1486="","（哨兵：Gov_Map 該列無 SRC_ID）",IF(COUNTIF($A$5:$A$794,A1486)&gt;0,"（哨兵：此 SRC_ID 已在上方 SRC 頁，查詢不會命中本列）","（哨兵：SRC 頁查無此 ID）"))</f>
        <v>（哨兵：Gov_Map 該列無 SRC_ID）</v>
      </c>
      <c r="C1486" s="61" t="n">
        <v>696</v>
      </c>
      <c r="D1486" s="61" t="s">
        <v>10703</v>
      </c>
      <c r="E1486" s="61" t="s">
        <v>10703</v>
      </c>
      <c r="F1486" s="62" t="s">
        <v>814</v>
      </c>
    </row>
    <row r="1487" customFormat="false" ht="15" hidden="false" customHeight="false" outlineLevel="0" collapsed="false">
      <c r="A1487" s="92" t="str">
        <f aca="false">Gov_Map!$H697&amp;""</f>
        <v/>
      </c>
      <c r="B1487" s="65" t="str">
        <f aca="false">IF(A1487="","（哨兵：Gov_Map 該列無 SRC_ID）",IF(COUNTIF($A$5:$A$794,A1487)&gt;0,"（哨兵：此 SRC_ID 已在上方 SRC 頁，查詢不會命中本列）","（哨兵：SRC 頁查無此 ID）"))</f>
        <v>（哨兵：Gov_Map 該列無 SRC_ID）</v>
      </c>
      <c r="C1487" s="61" t="n">
        <v>697</v>
      </c>
      <c r="D1487" s="61" t="s">
        <v>10703</v>
      </c>
      <c r="E1487" s="61" t="s">
        <v>10703</v>
      </c>
      <c r="F1487" s="62" t="s">
        <v>814</v>
      </c>
    </row>
    <row r="1488" customFormat="false" ht="15" hidden="false" customHeight="false" outlineLevel="0" collapsed="false">
      <c r="A1488" s="92" t="str">
        <f aca="false">Gov_Map!$H698&amp;""</f>
        <v/>
      </c>
      <c r="B1488" s="65" t="str">
        <f aca="false">IF(A1488="","（哨兵：Gov_Map 該列無 SRC_ID）",IF(COUNTIF($A$5:$A$794,A1488)&gt;0,"（哨兵：此 SRC_ID 已在上方 SRC 頁，查詢不會命中本列）","（哨兵：SRC 頁查無此 ID）"))</f>
        <v>（哨兵：Gov_Map 該列無 SRC_ID）</v>
      </c>
      <c r="C1488" s="61" t="n">
        <v>698</v>
      </c>
      <c r="D1488" s="61" t="s">
        <v>10703</v>
      </c>
      <c r="E1488" s="61" t="s">
        <v>10703</v>
      </c>
      <c r="F1488" s="62" t="s">
        <v>814</v>
      </c>
    </row>
    <row r="1489" customFormat="false" ht="15" hidden="false" customHeight="false" outlineLevel="0" collapsed="false">
      <c r="A1489" s="92" t="str">
        <f aca="false">Gov_Map!$H699&amp;""</f>
        <v/>
      </c>
      <c r="B1489" s="65" t="str">
        <f aca="false">IF(A1489="","（哨兵：Gov_Map 該列無 SRC_ID）",IF(COUNTIF($A$5:$A$794,A1489)&gt;0,"（哨兵：此 SRC_ID 已在上方 SRC 頁，查詢不會命中本列）","（哨兵：SRC 頁查無此 ID）"))</f>
        <v>（哨兵：Gov_Map 該列無 SRC_ID）</v>
      </c>
      <c r="C1489" s="61" t="n">
        <v>699</v>
      </c>
      <c r="D1489" s="61" t="s">
        <v>10703</v>
      </c>
      <c r="E1489" s="61" t="s">
        <v>10703</v>
      </c>
      <c r="F1489" s="62" t="s">
        <v>814</v>
      </c>
    </row>
    <row r="1490" customFormat="false" ht="15" hidden="false" customHeight="false" outlineLevel="0" collapsed="false">
      <c r="A1490" s="92" t="str">
        <f aca="false">Gov_Map!$H700&amp;""</f>
        <v/>
      </c>
      <c r="B1490" s="65" t="str">
        <f aca="false">IF(A1490="","（哨兵：Gov_Map 該列無 SRC_ID）",IF(COUNTIF($A$5:$A$794,A1490)&gt;0,"（哨兵：此 SRC_ID 已在上方 SRC 頁，查詢不會命中本列）","（哨兵：SRC 頁查無此 ID）"))</f>
        <v>（哨兵：Gov_Map 該列無 SRC_ID）</v>
      </c>
      <c r="C1490" s="61" t="n">
        <v>700</v>
      </c>
      <c r="D1490" s="61" t="s">
        <v>10703</v>
      </c>
      <c r="E1490" s="61" t="s">
        <v>10703</v>
      </c>
      <c r="F1490" s="62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10704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3" t="s">
        <v>793</v>
      </c>
      <c r="B3" s="12" t="s">
        <v>415</v>
      </c>
      <c r="C3" s="12" t="s">
        <v>10705</v>
      </c>
      <c r="D3" s="12" t="s">
        <v>117</v>
      </c>
      <c r="E3" s="12" t="s">
        <v>7245</v>
      </c>
      <c r="F3" s="12" t="s">
        <v>516</v>
      </c>
      <c r="G3" s="12" t="s">
        <v>10706</v>
      </c>
    </row>
    <row r="4" customFormat="false" ht="29.25" hidden="false" customHeight="true" outlineLevel="0" collapsed="false">
      <c r="A4" s="16" t="s">
        <v>7531</v>
      </c>
      <c r="B4" s="16" t="s">
        <v>10707</v>
      </c>
      <c r="C4" s="20" t="s">
        <v>10708</v>
      </c>
      <c r="D4" s="16" t="s">
        <v>168</v>
      </c>
      <c r="E4" s="16" t="s">
        <v>8578</v>
      </c>
      <c r="F4" s="6" t="s">
        <v>8579</v>
      </c>
      <c r="G4" s="22" t="s">
        <v>10709</v>
      </c>
    </row>
    <row r="5" customFormat="false" ht="15" hidden="false" customHeight="true" outlineLevel="0" collapsed="false">
      <c r="A5" s="16" t="s">
        <v>7540</v>
      </c>
      <c r="B5" s="16" t="s">
        <v>10710</v>
      </c>
      <c r="C5" s="20" t="s">
        <v>10711</v>
      </c>
      <c r="D5" s="16" t="s">
        <v>137</v>
      </c>
      <c r="E5" s="16" t="s">
        <v>8590</v>
      </c>
      <c r="F5" s="6" t="s">
        <v>8591</v>
      </c>
      <c r="G5" s="22" t="s">
        <v>10709</v>
      </c>
    </row>
    <row r="6" customFormat="false" ht="15" hidden="false" customHeight="true" outlineLevel="0" collapsed="false">
      <c r="A6" s="16" t="s">
        <v>8608</v>
      </c>
      <c r="B6" s="16" t="s">
        <v>10712</v>
      </c>
      <c r="C6" s="6" t="s">
        <v>10713</v>
      </c>
      <c r="D6" s="16" t="s">
        <v>245</v>
      </c>
      <c r="E6" s="16" t="s">
        <v>8604</v>
      </c>
      <c r="F6" s="6" t="s">
        <v>8613</v>
      </c>
      <c r="G6" s="22" t="s">
        <v>10709</v>
      </c>
    </row>
    <row r="7" customFormat="false" ht="15" hidden="false" customHeight="true" outlineLevel="0" collapsed="false">
      <c r="A7" s="16" t="s">
        <v>8624</v>
      </c>
      <c r="B7" s="16" t="s">
        <v>10714</v>
      </c>
      <c r="C7" s="6" t="s">
        <v>10715</v>
      </c>
      <c r="D7" s="16" t="s">
        <v>245</v>
      </c>
      <c r="E7" s="16" t="s">
        <v>8620</v>
      </c>
      <c r="F7" s="6" t="s">
        <v>8621</v>
      </c>
      <c r="G7" s="22" t="s">
        <v>10709</v>
      </c>
    </row>
    <row r="8" customFormat="false" ht="15" hidden="false" customHeight="true" outlineLevel="0" collapsed="false">
      <c r="A8" s="16" t="s">
        <v>8643</v>
      </c>
      <c r="B8" s="16" t="s">
        <v>10716</v>
      </c>
      <c r="C8" s="6" t="s">
        <v>10717</v>
      </c>
      <c r="D8" s="16" t="s">
        <v>245</v>
      </c>
      <c r="E8" s="16" t="s">
        <v>1521</v>
      </c>
      <c r="F8" s="6" t="s">
        <v>8640</v>
      </c>
      <c r="G8" s="22" t="s">
        <v>10709</v>
      </c>
    </row>
    <row r="9" customFormat="false" ht="15" hidden="false" customHeight="true" outlineLevel="0" collapsed="false">
      <c r="A9" s="16" t="s">
        <v>8650</v>
      </c>
      <c r="B9" s="16" t="s">
        <v>10718</v>
      </c>
      <c r="C9" s="6" t="s">
        <v>10719</v>
      </c>
      <c r="D9" s="16" t="s">
        <v>245</v>
      </c>
      <c r="E9" s="16" t="s">
        <v>1521</v>
      </c>
      <c r="F9" s="6" t="s">
        <v>10720</v>
      </c>
      <c r="G9" s="22" t="s">
        <v>10709</v>
      </c>
    </row>
    <row r="10" customFormat="false" ht="29.25" hidden="false" customHeight="true" outlineLevel="0" collapsed="false">
      <c r="A10" s="16" t="s">
        <v>8658</v>
      </c>
      <c r="B10" s="16" t="s">
        <v>10721</v>
      </c>
      <c r="C10" s="6" t="s">
        <v>10722</v>
      </c>
      <c r="D10" s="16" t="s">
        <v>245</v>
      </c>
      <c r="E10" s="16" t="s">
        <v>8590</v>
      </c>
      <c r="F10" s="6" t="s">
        <v>8663</v>
      </c>
      <c r="G10" s="22" t="s">
        <v>10709</v>
      </c>
    </row>
    <row r="11" customFormat="false" ht="15" hidden="false" customHeight="true" outlineLevel="0" collapsed="false">
      <c r="A11" s="16" t="s">
        <v>8680</v>
      </c>
      <c r="B11" s="16" t="s">
        <v>8674</v>
      </c>
      <c r="C11" s="6" t="s">
        <v>10723</v>
      </c>
      <c r="D11" s="16" t="s">
        <v>245</v>
      </c>
      <c r="E11" s="16" t="s">
        <v>1518</v>
      </c>
      <c r="F11" s="6" t="s">
        <v>10724</v>
      </c>
      <c r="G11" s="22" t="s">
        <v>10709</v>
      </c>
    </row>
    <row r="12" customFormat="false" ht="15" hidden="false" customHeight="true" outlineLevel="0" collapsed="false">
      <c r="A12" s="16" t="s">
        <v>8690</v>
      </c>
      <c r="B12" s="16" t="s">
        <v>10725</v>
      </c>
      <c r="C12" s="6" t="s">
        <v>10726</v>
      </c>
      <c r="D12" s="16" t="s">
        <v>245</v>
      </c>
      <c r="E12" s="16" t="s">
        <v>10727</v>
      </c>
      <c r="F12" s="6" t="s">
        <v>8686</v>
      </c>
      <c r="G12" s="22" t="s">
        <v>10709</v>
      </c>
    </row>
    <row r="13" customFormat="false" ht="15" hidden="false" customHeight="true" outlineLevel="0" collapsed="false">
      <c r="A13" s="16" t="s">
        <v>8975</v>
      </c>
      <c r="B13" s="22" t="s">
        <v>10728</v>
      </c>
      <c r="C13" s="6" t="s">
        <v>10729</v>
      </c>
      <c r="D13" s="16" t="s">
        <v>137</v>
      </c>
      <c r="E13" s="16" t="s">
        <v>8590</v>
      </c>
      <c r="F13" s="6" t="s">
        <v>8972</v>
      </c>
      <c r="G13" s="22" t="s">
        <v>10709</v>
      </c>
    </row>
    <row r="14" customFormat="false" ht="15" hidden="false" customHeight="true" outlineLevel="0" collapsed="false">
      <c r="A14" s="16" t="s">
        <v>8711</v>
      </c>
      <c r="B14" s="16" t="s">
        <v>10730</v>
      </c>
      <c r="C14" s="20" t="s">
        <v>10731</v>
      </c>
      <c r="D14" s="16" t="s">
        <v>245</v>
      </c>
      <c r="E14" s="16" t="s">
        <v>8590</v>
      </c>
      <c r="F14" s="6" t="s">
        <v>8708</v>
      </c>
      <c r="G14" s="22" t="s">
        <v>10732</v>
      </c>
    </row>
    <row r="15" customFormat="false" ht="29.25" hidden="false" customHeight="true" outlineLevel="0" collapsed="false">
      <c r="A15" s="16" t="s">
        <v>8987</v>
      </c>
      <c r="B15" s="22" t="s">
        <v>10733</v>
      </c>
      <c r="C15" s="6" t="s">
        <v>10734</v>
      </c>
      <c r="D15" s="16" t="s">
        <v>137</v>
      </c>
      <c r="E15" s="16" t="s">
        <v>8590</v>
      </c>
      <c r="F15" s="6" t="s">
        <v>8985</v>
      </c>
      <c r="G15" s="22" t="s">
        <v>10709</v>
      </c>
    </row>
    <row r="16" customFormat="false" ht="26.25" hidden="false" customHeight="true" outlineLevel="0" collapsed="false">
      <c r="A16" s="16" t="s">
        <v>9000</v>
      </c>
      <c r="B16" s="22" t="s">
        <v>10735</v>
      </c>
      <c r="C16" s="6" t="s">
        <v>10736</v>
      </c>
      <c r="D16" s="16" t="s">
        <v>168</v>
      </c>
      <c r="E16" s="16" t="s">
        <v>8685</v>
      </c>
      <c r="F16" s="6" t="s">
        <v>8997</v>
      </c>
      <c r="G16" s="22" t="s">
        <v>10737</v>
      </c>
    </row>
    <row r="17" customFormat="false" ht="15" hidden="false" customHeight="true" outlineLevel="0" collapsed="false">
      <c r="A17" s="16" t="s">
        <v>10738</v>
      </c>
      <c r="B17" s="16" t="s">
        <v>135</v>
      </c>
      <c r="C17" s="20" t="s">
        <v>10739</v>
      </c>
      <c r="D17" s="16" t="s">
        <v>137</v>
      </c>
      <c r="E17" s="16" t="s">
        <v>814</v>
      </c>
      <c r="F17" s="6" t="s">
        <v>10740</v>
      </c>
      <c r="G17" s="22" t="s">
        <v>10709</v>
      </c>
    </row>
    <row r="18" customFormat="false" ht="29.25" hidden="false" customHeight="true" outlineLevel="0" collapsed="false">
      <c r="A18" s="16" t="s">
        <v>9009</v>
      </c>
      <c r="B18" s="16" t="s">
        <v>10741</v>
      </c>
      <c r="C18" s="6" t="s">
        <v>10742</v>
      </c>
      <c r="D18" s="16" t="s">
        <v>168</v>
      </c>
      <c r="E18" s="16" t="s">
        <v>8715</v>
      </c>
      <c r="F18" s="6" t="s">
        <v>9007</v>
      </c>
      <c r="G18" s="22" t="s">
        <v>10743</v>
      </c>
    </row>
    <row r="19" customFormat="false" ht="15" hidden="false" customHeight="true" outlineLevel="0" collapsed="false">
      <c r="A19" s="16" t="s">
        <v>9024</v>
      </c>
      <c r="B19" s="22" t="s">
        <v>10744</v>
      </c>
      <c r="C19" s="20" t="s">
        <v>10745</v>
      </c>
      <c r="D19" s="16" t="s">
        <v>245</v>
      </c>
      <c r="E19" s="16" t="s">
        <v>9020</v>
      </c>
      <c r="F19" s="6" t="s">
        <v>9021</v>
      </c>
      <c r="G19" s="22" t="s">
        <v>10746</v>
      </c>
    </row>
    <row r="20" customFormat="false" ht="15" hidden="false" customHeight="true" outlineLevel="0" collapsed="false">
      <c r="A20" s="16" t="s">
        <v>9034</v>
      </c>
      <c r="B20" s="16" t="s">
        <v>10747</v>
      </c>
      <c r="C20" s="6" t="s">
        <v>10748</v>
      </c>
      <c r="D20" s="16" t="s">
        <v>245</v>
      </c>
      <c r="E20" s="16" t="s">
        <v>8685</v>
      </c>
      <c r="F20" s="6" t="s">
        <v>9030</v>
      </c>
      <c r="G20" s="22" t="s">
        <v>9029</v>
      </c>
    </row>
    <row r="21" customFormat="false" ht="15" hidden="false" customHeight="true" outlineLevel="0" collapsed="false">
      <c r="A21" s="16" t="s">
        <v>9854</v>
      </c>
      <c r="B21" s="16" t="s">
        <v>10749</v>
      </c>
      <c r="C21" s="6" t="s">
        <v>10750</v>
      </c>
      <c r="D21" s="16" t="s">
        <v>168</v>
      </c>
      <c r="E21" s="16" t="s">
        <v>8685</v>
      </c>
      <c r="F21" s="6" t="s">
        <v>9851</v>
      </c>
      <c r="G21" s="22" t="s">
        <v>10709</v>
      </c>
    </row>
    <row r="22" customFormat="false" ht="15" hidden="false" customHeight="true" outlineLevel="0" collapsed="false">
      <c r="A22" s="16" t="s">
        <v>9864</v>
      </c>
      <c r="B22" s="22" t="s">
        <v>10751</v>
      </c>
      <c r="C22" s="6" t="s">
        <v>10752</v>
      </c>
      <c r="D22" s="16" t="s">
        <v>180</v>
      </c>
      <c r="E22" s="16" t="s">
        <v>1518</v>
      </c>
      <c r="F22" s="6" t="s">
        <v>9860</v>
      </c>
      <c r="G22" s="22" t="s">
        <v>9859</v>
      </c>
    </row>
    <row r="23" customFormat="false" ht="54.75" hidden="false" customHeight="true" outlineLevel="0" collapsed="false">
      <c r="A23" s="6" t="s">
        <v>519</v>
      </c>
      <c r="B23" s="6" t="s">
        <v>10753</v>
      </c>
      <c r="C23" s="6" t="s">
        <v>10754</v>
      </c>
      <c r="D23" s="6" t="s">
        <v>10755</v>
      </c>
      <c r="E23" s="6" t="s">
        <v>8685</v>
      </c>
      <c r="F23" s="6" t="s">
        <v>9381</v>
      </c>
      <c r="G23" s="5" t="s">
        <v>10756</v>
      </c>
    </row>
    <row r="24" customFormat="false" ht="43.5" hidden="false" customHeight="true" outlineLevel="0" collapsed="false">
      <c r="A24" s="6" t="s">
        <v>518</v>
      </c>
      <c r="B24" s="6" t="s">
        <v>10757</v>
      </c>
      <c r="C24" s="6" t="s">
        <v>10758</v>
      </c>
      <c r="D24" s="6" t="s">
        <v>10759</v>
      </c>
      <c r="E24" s="6" t="s">
        <v>9395</v>
      </c>
      <c r="F24" s="6" t="s">
        <v>9396</v>
      </c>
      <c r="G24" s="5" t="s">
        <v>10760</v>
      </c>
    </row>
    <row r="25" customFormat="false" ht="29.25" hidden="false" customHeight="true" outlineLevel="0" collapsed="false">
      <c r="A25" s="6" t="s">
        <v>517</v>
      </c>
      <c r="B25" s="6" t="s">
        <v>10761</v>
      </c>
      <c r="C25" s="6" t="s">
        <v>10762</v>
      </c>
      <c r="D25" s="6" t="s">
        <v>10763</v>
      </c>
      <c r="E25" s="5" t="s">
        <v>10764</v>
      </c>
      <c r="F25" s="6" t="s">
        <v>9419</v>
      </c>
      <c r="G25" s="5" t="s">
        <v>10765</v>
      </c>
    </row>
    <row r="26" customFormat="false" ht="29.25" hidden="false" customHeight="true" outlineLevel="0" collapsed="false">
      <c r="A26" s="6" t="s">
        <v>520</v>
      </c>
      <c r="B26" s="6" t="s">
        <v>10766</v>
      </c>
      <c r="C26" s="6" t="s">
        <v>10767</v>
      </c>
      <c r="D26" s="6" t="s">
        <v>10768</v>
      </c>
      <c r="E26" s="6" t="s">
        <v>9441</v>
      </c>
      <c r="F26" s="6" t="s">
        <v>9442</v>
      </c>
      <c r="G26" s="5" t="s">
        <v>10769</v>
      </c>
    </row>
    <row r="27" customFormat="false" ht="29.25" hidden="false" customHeight="true" outlineLevel="0" collapsed="false">
      <c r="A27" s="6" t="s">
        <v>9455</v>
      </c>
      <c r="B27" s="6" t="s">
        <v>10770</v>
      </c>
      <c r="C27" s="6" t="s">
        <v>10771</v>
      </c>
      <c r="D27" s="6" t="s">
        <v>10768</v>
      </c>
      <c r="E27" s="6" t="s">
        <v>1521</v>
      </c>
      <c r="F27" s="6" t="s">
        <v>9452</v>
      </c>
      <c r="G27" s="5" t="s">
        <v>10772</v>
      </c>
    </row>
    <row r="28" customFormat="false" ht="29.25" hidden="false" customHeight="true" outlineLevel="0" collapsed="false">
      <c r="A28" s="6" t="s">
        <v>10142</v>
      </c>
      <c r="B28" s="6" t="s">
        <v>10773</v>
      </c>
      <c r="C28" s="6" t="s">
        <v>10774</v>
      </c>
      <c r="D28" s="6" t="s">
        <v>10775</v>
      </c>
      <c r="E28" s="6" t="s">
        <v>9215</v>
      </c>
      <c r="F28" s="6" t="s">
        <v>10139</v>
      </c>
      <c r="G28" s="5" t="s">
        <v>10776</v>
      </c>
    </row>
    <row r="29" customFormat="false" ht="54.75" hidden="false" customHeight="true" outlineLevel="0" collapsed="false">
      <c r="A29" s="6" t="s">
        <v>9467</v>
      </c>
      <c r="B29" s="6" t="s">
        <v>10777</v>
      </c>
      <c r="C29" s="6" t="s">
        <v>10778</v>
      </c>
      <c r="D29" s="6" t="s">
        <v>10779</v>
      </c>
      <c r="E29" s="6" t="s">
        <v>1518</v>
      </c>
      <c r="F29" s="6" t="s">
        <v>9464</v>
      </c>
      <c r="G29" s="5" t="s">
        <v>10780</v>
      </c>
    </row>
    <row r="30" customFormat="false" ht="29.25" hidden="false" customHeight="true" outlineLevel="0" collapsed="false">
      <c r="A30" s="6" t="s">
        <v>4926</v>
      </c>
      <c r="B30" s="6" t="s">
        <v>10781</v>
      </c>
      <c r="C30" s="6" t="s">
        <v>10782</v>
      </c>
      <c r="D30" s="6" t="s">
        <v>168</v>
      </c>
      <c r="E30" s="6" t="s">
        <v>8590</v>
      </c>
      <c r="F30" s="6" t="s">
        <v>9095</v>
      </c>
      <c r="G30" s="5" t="s">
        <v>10783</v>
      </c>
    </row>
    <row r="31" customFormat="false" ht="43.5" hidden="false" customHeight="true" outlineLevel="0" collapsed="false">
      <c r="A31" s="6" t="s">
        <v>8720</v>
      </c>
      <c r="B31" s="6" t="s">
        <v>10784</v>
      </c>
      <c r="C31" s="6" t="s">
        <v>10785</v>
      </c>
      <c r="D31" s="6" t="s">
        <v>10786</v>
      </c>
      <c r="E31" s="6" t="s">
        <v>8715</v>
      </c>
      <c r="F31" s="5" t="s">
        <v>8716</v>
      </c>
      <c r="G31" s="5" t="s">
        <v>10787</v>
      </c>
    </row>
    <row r="32" customFormat="false" ht="15" hidden="false" customHeight="true" outlineLevel="0" collapsed="false">
      <c r="A32" s="6" t="s">
        <v>8769</v>
      </c>
      <c r="B32" s="5" t="s">
        <v>10788</v>
      </c>
      <c r="C32" s="6" t="s">
        <v>10789</v>
      </c>
      <c r="D32" s="6" t="s">
        <v>137</v>
      </c>
      <c r="E32" s="6" t="s">
        <v>814</v>
      </c>
      <c r="F32" s="5" t="s">
        <v>8766</v>
      </c>
      <c r="G32" s="5" t="s">
        <v>10709</v>
      </c>
    </row>
    <row r="33" customFormat="false" ht="29.25" hidden="false" customHeight="true" outlineLevel="0" collapsed="false">
      <c r="A33" s="6" t="s">
        <v>9503</v>
      </c>
      <c r="B33" s="6" t="s">
        <v>10790</v>
      </c>
      <c r="C33" s="6" t="s">
        <v>10791</v>
      </c>
      <c r="D33" s="6" t="s">
        <v>10792</v>
      </c>
      <c r="E33" s="6" t="s">
        <v>9498</v>
      </c>
      <c r="F33" s="6" t="s">
        <v>9499</v>
      </c>
      <c r="G33" s="5" t="s">
        <v>10776</v>
      </c>
    </row>
    <row r="34" customFormat="false" ht="69" hidden="false" customHeight="true" outlineLevel="0" collapsed="false">
      <c r="A34" s="6" t="s">
        <v>4912</v>
      </c>
      <c r="B34" s="6" t="s">
        <v>10793</v>
      </c>
      <c r="C34" s="6" t="s">
        <v>10794</v>
      </c>
      <c r="D34" s="6" t="s">
        <v>10795</v>
      </c>
      <c r="E34" s="6" t="s">
        <v>9515</v>
      </c>
      <c r="F34" s="6" t="s">
        <v>10796</v>
      </c>
      <c r="G34" s="5" t="s">
        <v>10797</v>
      </c>
    </row>
    <row r="35" customFormat="false" ht="29.25" hidden="false" customHeight="true" outlineLevel="0" collapsed="false">
      <c r="A35" s="6" t="s">
        <v>9531</v>
      </c>
      <c r="B35" s="6" t="s">
        <v>10798</v>
      </c>
      <c r="C35" s="5" t="s">
        <v>10799</v>
      </c>
      <c r="D35" s="6" t="s">
        <v>168</v>
      </c>
      <c r="E35" s="6" t="s">
        <v>10800</v>
      </c>
      <c r="F35" s="6" t="s">
        <v>9528</v>
      </c>
      <c r="G35" s="5" t="s">
        <v>10780</v>
      </c>
    </row>
    <row r="36" customFormat="false" ht="29.25" hidden="false" customHeight="true" outlineLevel="0" collapsed="false">
      <c r="A36" s="6" t="s">
        <v>10801</v>
      </c>
      <c r="B36" s="6" t="s">
        <v>10802</v>
      </c>
      <c r="C36" s="6" t="s">
        <v>10803</v>
      </c>
      <c r="D36" s="6" t="s">
        <v>10804</v>
      </c>
      <c r="E36" s="6" t="s">
        <v>8620</v>
      </c>
      <c r="F36" s="6" t="s">
        <v>10805</v>
      </c>
      <c r="G36" s="5" t="s">
        <v>10806</v>
      </c>
    </row>
    <row r="37" customFormat="false" ht="29.25" hidden="false" customHeight="true" outlineLevel="0" collapsed="false">
      <c r="A37" s="6" t="s">
        <v>9202</v>
      </c>
      <c r="B37" s="6" t="s">
        <v>10807</v>
      </c>
      <c r="C37" s="6" t="s">
        <v>10808</v>
      </c>
      <c r="D37" s="6" t="s">
        <v>10809</v>
      </c>
      <c r="E37" s="6" t="s">
        <v>8604</v>
      </c>
      <c r="F37" s="6" t="s">
        <v>9198</v>
      </c>
      <c r="G37" s="5" t="s">
        <v>10810</v>
      </c>
    </row>
    <row r="38" customFormat="false" ht="29.25" hidden="false" customHeight="true" outlineLevel="0" collapsed="false">
      <c r="A38" s="6" t="s">
        <v>8788</v>
      </c>
      <c r="B38" s="6" t="s">
        <v>10811</v>
      </c>
      <c r="C38" s="6" t="s">
        <v>10812</v>
      </c>
      <c r="D38" s="6" t="s">
        <v>10786</v>
      </c>
      <c r="E38" s="6" t="s">
        <v>8590</v>
      </c>
      <c r="F38" s="6" t="s">
        <v>8784</v>
      </c>
      <c r="G38" s="5" t="s">
        <v>10813</v>
      </c>
    </row>
    <row r="39" customFormat="false" ht="29.25" hidden="false" customHeight="true" outlineLevel="0" collapsed="false">
      <c r="A39" s="6" t="s">
        <v>9557</v>
      </c>
      <c r="B39" s="6" t="s">
        <v>10814</v>
      </c>
      <c r="C39" s="6" t="s">
        <v>10815</v>
      </c>
      <c r="D39" s="6" t="s">
        <v>10816</v>
      </c>
      <c r="E39" s="6" t="s">
        <v>9553</v>
      </c>
      <c r="F39" s="6" t="s">
        <v>9554</v>
      </c>
      <c r="G39" s="5" t="s">
        <v>10709</v>
      </c>
    </row>
    <row r="40" customFormat="false" ht="57.75" hidden="false" customHeight="true" outlineLevel="0" collapsed="false">
      <c r="A40" s="6" t="s">
        <v>10216</v>
      </c>
      <c r="B40" s="6" t="s">
        <v>10817</v>
      </c>
      <c r="C40" s="5" t="s">
        <v>10818</v>
      </c>
      <c r="D40" s="6" t="s">
        <v>10819</v>
      </c>
      <c r="E40" s="6" t="s">
        <v>8620</v>
      </c>
      <c r="F40" s="6" t="s">
        <v>10213</v>
      </c>
      <c r="G40" s="5" t="s">
        <v>10780</v>
      </c>
    </row>
    <row r="41" customFormat="false" ht="29.25" hidden="false" customHeight="true" outlineLevel="0" collapsed="false">
      <c r="A41" s="6" t="s">
        <v>9220</v>
      </c>
      <c r="B41" s="6" t="s">
        <v>10820</v>
      </c>
      <c r="C41" s="6" t="s">
        <v>10821</v>
      </c>
      <c r="D41" s="6" t="s">
        <v>10822</v>
      </c>
      <c r="E41" s="6" t="s">
        <v>9215</v>
      </c>
      <c r="F41" s="6" t="s">
        <v>9216</v>
      </c>
      <c r="G41" s="5" t="s">
        <v>10780</v>
      </c>
    </row>
    <row r="42" customFormat="false" ht="43.5" hidden="false" customHeight="true" outlineLevel="0" collapsed="false">
      <c r="A42" s="6" t="s">
        <v>9231</v>
      </c>
      <c r="B42" s="6" t="s">
        <v>10823</v>
      </c>
      <c r="C42" s="6" t="s">
        <v>10824</v>
      </c>
      <c r="D42" s="6" t="s">
        <v>10825</v>
      </c>
      <c r="E42" s="6" t="s">
        <v>10826</v>
      </c>
      <c r="F42" s="6" t="s">
        <v>9228</v>
      </c>
      <c r="G42" s="5" t="s">
        <v>10827</v>
      </c>
    </row>
    <row r="43" customFormat="false" ht="29.25" hidden="false" customHeight="true" outlineLevel="0" collapsed="false">
      <c r="A43" s="6" t="s">
        <v>9243</v>
      </c>
      <c r="B43" s="6" t="s">
        <v>10828</v>
      </c>
      <c r="C43" s="6" t="s">
        <v>10829</v>
      </c>
      <c r="D43" s="6" t="s">
        <v>10830</v>
      </c>
      <c r="E43" s="6" t="s">
        <v>9239</v>
      </c>
      <c r="F43" s="6" t="s">
        <v>9240</v>
      </c>
      <c r="G43" s="5" t="s">
        <v>10780</v>
      </c>
    </row>
    <row r="44" customFormat="false" ht="40.5" hidden="false" customHeight="true" outlineLevel="0" collapsed="false">
      <c r="A44" s="6" t="s">
        <v>9251</v>
      </c>
      <c r="B44" s="6" t="s">
        <v>10831</v>
      </c>
      <c r="C44" s="5" t="s">
        <v>10832</v>
      </c>
      <c r="D44" s="6" t="s">
        <v>10833</v>
      </c>
      <c r="E44" s="6" t="s">
        <v>9247</v>
      </c>
      <c r="F44" s="6" t="s">
        <v>9248</v>
      </c>
      <c r="G44" s="5" t="s">
        <v>10834</v>
      </c>
    </row>
    <row r="45" customFormat="false" ht="29.25" hidden="false" customHeight="true" outlineLevel="0" collapsed="false">
      <c r="A45" s="6" t="s">
        <v>10835</v>
      </c>
      <c r="B45" s="6" t="s">
        <v>10836</v>
      </c>
      <c r="C45" s="6" t="s">
        <v>10837</v>
      </c>
      <c r="D45" s="6" t="s">
        <v>10838</v>
      </c>
      <c r="E45" s="6" t="s">
        <v>8590</v>
      </c>
      <c r="F45" s="6" t="s">
        <v>10839</v>
      </c>
      <c r="G45" s="5" t="s">
        <v>10840</v>
      </c>
    </row>
    <row r="46" customFormat="false" ht="29.25" hidden="false" customHeight="true" outlineLevel="0" collapsed="false">
      <c r="A46" s="6" t="s">
        <v>1211</v>
      </c>
      <c r="B46" s="6" t="s">
        <v>10841</v>
      </c>
      <c r="C46" s="5" t="s">
        <v>10842</v>
      </c>
      <c r="D46" s="6" t="s">
        <v>10809</v>
      </c>
      <c r="E46" s="6" t="s">
        <v>9261</v>
      </c>
      <c r="F46" s="6" t="s">
        <v>9262</v>
      </c>
      <c r="G46" s="6" t="s">
        <v>10843</v>
      </c>
    </row>
    <row r="47" customFormat="false" ht="29.25" hidden="false" customHeight="true" outlineLevel="0" collapsed="false">
      <c r="A47" s="6" t="s">
        <v>9280</v>
      </c>
      <c r="B47" s="6" t="s">
        <v>10844</v>
      </c>
      <c r="C47" s="5" t="s">
        <v>10845</v>
      </c>
      <c r="D47" s="6" t="s">
        <v>10809</v>
      </c>
      <c r="E47" s="6" t="s">
        <v>1518</v>
      </c>
      <c r="F47" s="6" t="s">
        <v>9278</v>
      </c>
      <c r="G47" s="5" t="s">
        <v>10810</v>
      </c>
    </row>
    <row r="48" customFormat="false" ht="29.25" hidden="false" customHeight="true" outlineLevel="0" collapsed="false">
      <c r="A48" s="6" t="s">
        <v>9290</v>
      </c>
      <c r="B48" s="6" t="s">
        <v>10846</v>
      </c>
      <c r="C48" s="5" t="s">
        <v>10847</v>
      </c>
      <c r="D48" s="6" t="s">
        <v>10848</v>
      </c>
      <c r="E48" s="6" t="s">
        <v>9286</v>
      </c>
      <c r="F48" s="6" t="s">
        <v>9287</v>
      </c>
      <c r="G48" s="5" t="s">
        <v>10810</v>
      </c>
    </row>
    <row r="49" customFormat="false" ht="29.25" hidden="false" customHeight="true" outlineLevel="0" collapsed="false">
      <c r="A49" s="6" t="s">
        <v>9295</v>
      </c>
      <c r="B49" s="6" t="s">
        <v>10849</v>
      </c>
      <c r="C49" s="5" t="s">
        <v>10850</v>
      </c>
      <c r="D49" s="6" t="s">
        <v>10851</v>
      </c>
      <c r="E49" s="6" t="s">
        <v>9227</v>
      </c>
      <c r="F49" s="6" t="s">
        <v>9293</v>
      </c>
      <c r="G49" s="5" t="s">
        <v>10827</v>
      </c>
    </row>
    <row r="50" customFormat="false" ht="29.25" hidden="false" customHeight="true" outlineLevel="0" collapsed="false">
      <c r="A50" s="6" t="s">
        <v>9304</v>
      </c>
      <c r="B50" s="6" t="s">
        <v>10852</v>
      </c>
      <c r="C50" s="6" t="s">
        <v>10853</v>
      </c>
      <c r="D50" s="6" t="s">
        <v>10816</v>
      </c>
      <c r="E50" s="6" t="s">
        <v>9247</v>
      </c>
      <c r="F50" s="6" t="s">
        <v>9301</v>
      </c>
      <c r="G50" s="5" t="s">
        <v>10780</v>
      </c>
    </row>
    <row r="51" customFormat="false" ht="29.25" hidden="false" customHeight="true" outlineLevel="0" collapsed="false">
      <c r="A51" s="6" t="s">
        <v>9571</v>
      </c>
      <c r="B51" s="6" t="s">
        <v>10854</v>
      </c>
      <c r="C51" s="6" t="s">
        <v>10855</v>
      </c>
      <c r="D51" s="6" t="s">
        <v>10856</v>
      </c>
      <c r="E51" s="6" t="s">
        <v>10857</v>
      </c>
      <c r="F51" s="6" t="s">
        <v>9568</v>
      </c>
      <c r="G51" s="5" t="s">
        <v>10858</v>
      </c>
    </row>
    <row r="52" customFormat="false" ht="29.25" hidden="false" customHeight="true" outlineLevel="0" collapsed="false">
      <c r="A52" s="6" t="s">
        <v>9492</v>
      </c>
      <c r="B52" s="6" t="s">
        <v>10859</v>
      </c>
      <c r="C52" s="6" t="s">
        <v>10860</v>
      </c>
      <c r="D52" s="6" t="s">
        <v>10809</v>
      </c>
      <c r="E52" s="6" t="s">
        <v>9488</v>
      </c>
      <c r="F52" s="6" t="s">
        <v>9489</v>
      </c>
      <c r="G52" s="5" t="s">
        <v>10709</v>
      </c>
    </row>
    <row r="53" customFormat="false" ht="29.25" hidden="false" customHeight="true" outlineLevel="0" collapsed="false">
      <c r="A53" s="6" t="s">
        <v>9873</v>
      </c>
      <c r="B53" s="6" t="s">
        <v>10861</v>
      </c>
      <c r="C53" s="6" t="s">
        <v>10862</v>
      </c>
      <c r="D53" s="6" t="s">
        <v>168</v>
      </c>
      <c r="E53" s="6" t="s">
        <v>1509</v>
      </c>
      <c r="F53" s="6" t="s">
        <v>9870</v>
      </c>
      <c r="G53" s="5" t="s">
        <v>10780</v>
      </c>
    </row>
    <row r="54" customFormat="false" ht="72" hidden="false" customHeight="true" outlineLevel="0" collapsed="false">
      <c r="A54" s="6" t="s">
        <v>9904</v>
      </c>
      <c r="B54" s="6" t="s">
        <v>10863</v>
      </c>
      <c r="C54" s="6" t="s">
        <v>10864</v>
      </c>
      <c r="D54" s="6" t="s">
        <v>10865</v>
      </c>
      <c r="E54" s="6" t="s">
        <v>10866</v>
      </c>
      <c r="F54" s="6" t="s">
        <v>9901</v>
      </c>
      <c r="G54" s="5" t="s">
        <v>10867</v>
      </c>
    </row>
    <row r="55" customFormat="false" ht="29.25" hidden="false" customHeight="true" outlineLevel="0" collapsed="false">
      <c r="A55" s="6" t="s">
        <v>4963</v>
      </c>
      <c r="B55" s="6" t="s">
        <v>10868</v>
      </c>
      <c r="C55" s="6" t="s">
        <v>10869</v>
      </c>
      <c r="D55" s="6" t="s">
        <v>168</v>
      </c>
      <c r="E55" s="6" t="s">
        <v>1530</v>
      </c>
      <c r="F55" s="6" t="s">
        <v>9936</v>
      </c>
      <c r="G55" s="5" t="s">
        <v>10870</v>
      </c>
    </row>
    <row r="56" customFormat="false" ht="29.25" hidden="false" customHeight="true" outlineLevel="0" collapsed="false">
      <c r="A56" s="6" t="s">
        <v>9969</v>
      </c>
      <c r="B56" s="6" t="s">
        <v>10871</v>
      </c>
      <c r="C56" s="6" t="s">
        <v>10872</v>
      </c>
      <c r="D56" s="6" t="s">
        <v>168</v>
      </c>
      <c r="E56" s="6" t="s">
        <v>1530</v>
      </c>
      <c r="F56" s="6" t="s">
        <v>9966</v>
      </c>
      <c r="G56" s="5" t="s">
        <v>10760</v>
      </c>
    </row>
    <row r="57" customFormat="false" ht="43.5" hidden="false" customHeight="true" outlineLevel="0" collapsed="false">
      <c r="A57" s="6" t="s">
        <v>9990</v>
      </c>
      <c r="B57" s="6" t="s">
        <v>10873</v>
      </c>
      <c r="C57" s="6" t="s">
        <v>10874</v>
      </c>
      <c r="D57" s="6" t="s">
        <v>10875</v>
      </c>
      <c r="E57" s="6" t="s">
        <v>10866</v>
      </c>
      <c r="F57" s="6" t="s">
        <v>9988</v>
      </c>
      <c r="G57" s="5" t="s">
        <v>10876</v>
      </c>
    </row>
    <row r="58" customFormat="false" ht="54.75" hidden="false" customHeight="true" outlineLevel="0" collapsed="false">
      <c r="A58" s="6" t="s">
        <v>10055</v>
      </c>
      <c r="B58" s="6" t="s">
        <v>10877</v>
      </c>
      <c r="C58" s="6" t="s">
        <v>10878</v>
      </c>
      <c r="D58" s="6" t="s">
        <v>10879</v>
      </c>
      <c r="E58" s="6" t="s">
        <v>1518</v>
      </c>
      <c r="F58" s="6" t="s">
        <v>10052</v>
      </c>
      <c r="G58" s="5" t="s">
        <v>10880</v>
      </c>
    </row>
    <row r="59" customFormat="false" ht="29.25" hidden="false" customHeight="true" outlineLevel="0" collapsed="false">
      <c r="A59" s="6" t="s">
        <v>10081</v>
      </c>
      <c r="B59" s="6" t="s">
        <v>10881</v>
      </c>
      <c r="C59" s="6" t="s">
        <v>10882</v>
      </c>
      <c r="D59" s="6" t="s">
        <v>390</v>
      </c>
      <c r="E59" s="6" t="s">
        <v>1518</v>
      </c>
      <c r="F59" s="6" t="s">
        <v>10078</v>
      </c>
      <c r="G59" s="5" t="s">
        <v>10883</v>
      </c>
    </row>
    <row r="60" customFormat="false" ht="72" hidden="false" customHeight="true" outlineLevel="0" collapsed="false">
      <c r="A60" s="6" t="s">
        <v>10228</v>
      </c>
      <c r="B60" s="6" t="s">
        <v>10884</v>
      </c>
      <c r="C60" s="5" t="s">
        <v>10885</v>
      </c>
      <c r="D60" s="6" t="s">
        <v>10886</v>
      </c>
      <c r="E60" s="6" t="s">
        <v>8590</v>
      </c>
      <c r="F60" s="6" t="s">
        <v>10225</v>
      </c>
      <c r="G60" s="5" t="s">
        <v>10887</v>
      </c>
    </row>
    <row r="61" customFormat="false" ht="83.25" hidden="false" customHeight="true" outlineLevel="0" collapsed="false">
      <c r="A61" s="6" t="s">
        <v>2454</v>
      </c>
      <c r="B61" s="6" t="s">
        <v>10888</v>
      </c>
      <c r="C61" s="6" t="s">
        <v>10889</v>
      </c>
      <c r="D61" s="6" t="s">
        <v>10890</v>
      </c>
      <c r="E61" s="6" t="s">
        <v>1518</v>
      </c>
      <c r="F61" s="6" t="s">
        <v>10149</v>
      </c>
      <c r="G61" s="6" t="s">
        <v>10891</v>
      </c>
    </row>
    <row r="62" customFormat="false" ht="57.75" hidden="false" customHeight="true" outlineLevel="0" collapsed="false">
      <c r="A62" s="6" t="s">
        <v>2477</v>
      </c>
      <c r="B62" s="6" t="s">
        <v>10892</v>
      </c>
      <c r="C62" s="6" t="s">
        <v>10893</v>
      </c>
      <c r="D62" s="6" t="s">
        <v>10894</v>
      </c>
      <c r="E62" s="6" t="s">
        <v>10895</v>
      </c>
      <c r="F62" s="6" t="s">
        <v>10100</v>
      </c>
      <c r="G62" s="6" t="s">
        <v>10896</v>
      </c>
    </row>
    <row r="63" customFormat="false" ht="40.5" hidden="false" customHeight="true" outlineLevel="0" collapsed="false">
      <c r="A63" s="6" t="s">
        <v>10190</v>
      </c>
      <c r="B63" s="6" t="s">
        <v>10897</v>
      </c>
      <c r="C63" s="6" t="s">
        <v>10898</v>
      </c>
      <c r="D63" s="6" t="s">
        <v>10899</v>
      </c>
      <c r="E63" s="6" t="s">
        <v>1518</v>
      </c>
      <c r="F63" s="6" t="s">
        <v>10187</v>
      </c>
      <c r="G63" s="5" t="s">
        <v>10900</v>
      </c>
    </row>
    <row r="64" customFormat="false" ht="29.25" hidden="false" customHeight="true" outlineLevel="0" collapsed="false">
      <c r="A64" s="6" t="s">
        <v>10200</v>
      </c>
      <c r="B64" s="6" t="s">
        <v>10901</v>
      </c>
      <c r="C64" s="6" t="s">
        <v>10902</v>
      </c>
      <c r="D64" s="6" t="s">
        <v>10903</v>
      </c>
      <c r="E64" s="6" t="s">
        <v>1518</v>
      </c>
      <c r="F64" s="6" t="s">
        <v>10197</v>
      </c>
      <c r="G64" s="5" t="s">
        <v>10904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2" t="s">
        <v>10905</v>
      </c>
    </row>
    <row r="2" customFormat="false" ht="15" hidden="false" customHeight="true" outlineLevel="0" collapsed="false">
      <c r="A2" s="262" t="s">
        <v>10906</v>
      </c>
    </row>
    <row r="3" customFormat="false" ht="15" hidden="false" customHeight="true" outlineLevel="0" collapsed="false">
      <c r="A3" s="45" t="s">
        <v>10907</v>
      </c>
    </row>
    <row r="4" customFormat="false" ht="15" hidden="false" customHeight="true" outlineLevel="0" collapsed="false">
      <c r="A4" s="85" t="s">
        <v>793</v>
      </c>
      <c r="B4" s="253" t="s">
        <v>7245</v>
      </c>
      <c r="C4" s="253" t="s">
        <v>10908</v>
      </c>
      <c r="D4" s="253" t="s">
        <v>10909</v>
      </c>
      <c r="E4" s="253" t="s">
        <v>117</v>
      </c>
      <c r="F4" s="253" t="s">
        <v>10910</v>
      </c>
      <c r="G4" s="85" t="s">
        <v>10911</v>
      </c>
      <c r="H4" s="253" t="s">
        <v>10912</v>
      </c>
      <c r="I4" s="253" t="s">
        <v>10913</v>
      </c>
      <c r="J4" s="253" t="s">
        <v>10914</v>
      </c>
      <c r="K4" s="253" t="s">
        <v>8569</v>
      </c>
      <c r="L4" s="253" t="s">
        <v>10915</v>
      </c>
      <c r="M4" s="253" t="s">
        <v>10916</v>
      </c>
      <c r="N4" s="253" t="s">
        <v>8562</v>
      </c>
      <c r="O4" s="253" t="s">
        <v>10917</v>
      </c>
      <c r="P4" s="253" t="s">
        <v>7414</v>
      </c>
      <c r="Q4" s="253" t="s">
        <v>8559</v>
      </c>
      <c r="R4" s="85" t="s">
        <v>10918</v>
      </c>
    </row>
    <row r="5" customFormat="false" ht="30" hidden="false" customHeight="true" outlineLevel="0" collapsed="false">
      <c r="A5" s="256" t="s">
        <v>8804</v>
      </c>
      <c r="B5" s="256" t="s">
        <v>7305</v>
      </c>
      <c r="C5" s="264" t="s">
        <v>10919</v>
      </c>
      <c r="D5" s="256" t="s">
        <v>10920</v>
      </c>
      <c r="E5" s="256" t="s">
        <v>245</v>
      </c>
      <c r="F5" s="264" t="s">
        <v>10921</v>
      </c>
      <c r="G5" s="256" t="s">
        <v>10922</v>
      </c>
      <c r="H5" s="256" t="s">
        <v>10923</v>
      </c>
      <c r="I5" s="265" t="s">
        <v>10924</v>
      </c>
      <c r="J5" s="256" t="s">
        <v>10925</v>
      </c>
      <c r="K5" s="264" t="s">
        <v>10926</v>
      </c>
      <c r="L5" s="254" t="s">
        <v>10927</v>
      </c>
      <c r="M5" s="6" t="s">
        <v>10928</v>
      </c>
      <c r="N5" s="30" t="s">
        <v>814</v>
      </c>
      <c r="O5" s="30" t="s">
        <v>814</v>
      </c>
      <c r="P5" s="30" t="s">
        <v>814</v>
      </c>
      <c r="Q5" s="6" t="s">
        <v>814</v>
      </c>
    </row>
    <row r="6" customFormat="false" ht="30" hidden="false" customHeight="true" outlineLevel="0" collapsed="false">
      <c r="A6" s="256" t="s">
        <v>10929</v>
      </c>
      <c r="B6" s="256" t="s">
        <v>7305</v>
      </c>
      <c r="C6" s="264" t="s">
        <v>10930</v>
      </c>
      <c r="D6" s="256" t="s">
        <v>9202</v>
      </c>
      <c r="E6" s="256" t="s">
        <v>168</v>
      </c>
      <c r="F6" s="264" t="s">
        <v>10931</v>
      </c>
      <c r="G6" s="265" t="s">
        <v>10932</v>
      </c>
      <c r="H6" s="256" t="s">
        <v>10933</v>
      </c>
      <c r="I6" s="265" t="s">
        <v>10924</v>
      </c>
      <c r="J6" s="256" t="s">
        <v>10925</v>
      </c>
      <c r="K6" s="264"/>
      <c r="L6" s="254" t="s">
        <v>10927</v>
      </c>
      <c r="M6" s="6" t="s">
        <v>10934</v>
      </c>
      <c r="N6" s="30" t="s">
        <v>814</v>
      </c>
      <c r="O6" s="30" t="s">
        <v>814</v>
      </c>
      <c r="P6" s="30" t="s">
        <v>814</v>
      </c>
      <c r="Q6" s="6" t="s">
        <v>814</v>
      </c>
    </row>
    <row r="7" customFormat="false" ht="30" hidden="false" customHeight="true" outlineLevel="0" collapsed="false">
      <c r="A7" s="256" t="s">
        <v>10935</v>
      </c>
      <c r="B7" s="256" t="s">
        <v>7305</v>
      </c>
      <c r="C7" s="264" t="s">
        <v>10936</v>
      </c>
      <c r="D7" s="256" t="s">
        <v>8788</v>
      </c>
      <c r="E7" s="256" t="s">
        <v>245</v>
      </c>
      <c r="F7" s="264" t="s">
        <v>10937</v>
      </c>
      <c r="G7" s="265" t="s">
        <v>10932</v>
      </c>
      <c r="H7" s="256" t="s">
        <v>10938</v>
      </c>
      <c r="I7" s="265" t="s">
        <v>10924</v>
      </c>
      <c r="J7" s="256" t="s">
        <v>10925</v>
      </c>
      <c r="K7" s="264"/>
      <c r="L7" s="254" t="s">
        <v>10927</v>
      </c>
      <c r="M7" s="6" t="s">
        <v>10939</v>
      </c>
      <c r="N7" s="30" t="s">
        <v>814</v>
      </c>
      <c r="O7" s="30" t="s">
        <v>814</v>
      </c>
      <c r="P7" s="30" t="s">
        <v>814</v>
      </c>
      <c r="Q7" s="6" t="s">
        <v>814</v>
      </c>
    </row>
    <row r="8" customFormat="false" ht="30" hidden="false" customHeight="true" outlineLevel="0" collapsed="false">
      <c r="A8" s="256" t="s">
        <v>10940</v>
      </c>
      <c r="B8" s="256" t="s">
        <v>7305</v>
      </c>
      <c r="C8" s="266" t="s">
        <v>10941</v>
      </c>
      <c r="D8" s="256" t="s">
        <v>10216</v>
      </c>
      <c r="E8" s="256" t="s">
        <v>137</v>
      </c>
      <c r="F8" s="264" t="s">
        <v>10942</v>
      </c>
      <c r="G8" s="265" t="s">
        <v>10932</v>
      </c>
      <c r="H8" s="256" t="s">
        <v>10943</v>
      </c>
      <c r="I8" s="265" t="s">
        <v>10944</v>
      </c>
      <c r="J8" s="256" t="s">
        <v>10925</v>
      </c>
      <c r="K8" s="266" t="s">
        <v>10945</v>
      </c>
      <c r="L8" s="254" t="s">
        <v>10927</v>
      </c>
      <c r="M8" s="6" t="s">
        <v>10946</v>
      </c>
      <c r="N8" s="30" t="s">
        <v>814</v>
      </c>
      <c r="O8" s="30" t="s">
        <v>814</v>
      </c>
      <c r="P8" s="30" t="s">
        <v>814</v>
      </c>
      <c r="Q8" s="6" t="s">
        <v>814</v>
      </c>
    </row>
    <row r="9" customFormat="false" ht="30" hidden="false" customHeight="true" outlineLevel="0" collapsed="false">
      <c r="A9" s="256" t="s">
        <v>10947</v>
      </c>
      <c r="B9" s="256" t="s">
        <v>7305</v>
      </c>
      <c r="C9" s="264" t="s">
        <v>10948</v>
      </c>
      <c r="D9" s="256" t="s">
        <v>9251</v>
      </c>
      <c r="E9" s="256" t="s">
        <v>245</v>
      </c>
      <c r="F9" s="264" t="s">
        <v>10949</v>
      </c>
      <c r="G9" s="256" t="s">
        <v>814</v>
      </c>
      <c r="H9" s="256" t="s">
        <v>10950</v>
      </c>
      <c r="I9" s="265" t="s">
        <v>10951</v>
      </c>
      <c r="J9" s="256" t="s">
        <v>10925</v>
      </c>
      <c r="K9" s="266" t="s">
        <v>10952</v>
      </c>
      <c r="L9" s="254" t="s">
        <v>10927</v>
      </c>
      <c r="M9" s="6" t="s">
        <v>10953</v>
      </c>
      <c r="N9" s="30" t="s">
        <v>814</v>
      </c>
      <c r="O9" s="30" t="s">
        <v>814</v>
      </c>
      <c r="P9" s="30" t="s">
        <v>814</v>
      </c>
      <c r="Q9" s="6" t="s">
        <v>814</v>
      </c>
      <c r="R9" s="246" t="s">
        <v>10954</v>
      </c>
    </row>
    <row r="10" customFormat="false" ht="30" hidden="false" customHeight="true" outlineLevel="0" collapsed="false">
      <c r="A10" s="256" t="s">
        <v>10955</v>
      </c>
      <c r="B10" s="256" t="s">
        <v>7305</v>
      </c>
      <c r="C10" s="266" t="s">
        <v>10956</v>
      </c>
      <c r="D10" s="256" t="s">
        <v>9220</v>
      </c>
      <c r="E10" s="256" t="s">
        <v>137</v>
      </c>
      <c r="F10" s="264" t="s">
        <v>10957</v>
      </c>
      <c r="G10" s="256" t="s">
        <v>10958</v>
      </c>
      <c r="H10" s="265" t="s">
        <v>10959</v>
      </c>
      <c r="I10" s="265" t="s">
        <v>1524</v>
      </c>
      <c r="J10" s="256" t="s">
        <v>814</v>
      </c>
      <c r="K10" s="264" t="s">
        <v>10960</v>
      </c>
      <c r="L10" s="254" t="s">
        <v>10961</v>
      </c>
      <c r="M10" s="6" t="s">
        <v>6666</v>
      </c>
      <c r="N10" s="30" t="s">
        <v>814</v>
      </c>
      <c r="O10" s="30" t="s">
        <v>814</v>
      </c>
      <c r="P10" s="30" t="s">
        <v>814</v>
      </c>
      <c r="Q10" s="6" t="s">
        <v>814</v>
      </c>
      <c r="R10" s="246" t="s">
        <v>10962</v>
      </c>
    </row>
    <row r="11" customFormat="false" ht="30" hidden="false" customHeight="true" outlineLevel="0" collapsed="false">
      <c r="A11" s="256" t="s">
        <v>10963</v>
      </c>
      <c r="B11" s="256" t="s">
        <v>1530</v>
      </c>
      <c r="C11" s="266" t="s">
        <v>10964</v>
      </c>
      <c r="D11" s="256" t="s">
        <v>10965</v>
      </c>
      <c r="E11" s="256" t="s">
        <v>245</v>
      </c>
      <c r="F11" s="264" t="s">
        <v>10966</v>
      </c>
      <c r="G11" s="256" t="s">
        <v>10967</v>
      </c>
      <c r="H11" s="256" t="s">
        <v>10968</v>
      </c>
      <c r="I11" s="265" t="s">
        <v>10924</v>
      </c>
      <c r="J11" s="256" t="s">
        <v>10969</v>
      </c>
      <c r="K11" s="264" t="s">
        <v>10970</v>
      </c>
      <c r="L11" s="254" t="s">
        <v>10927</v>
      </c>
      <c r="M11" s="6" t="s">
        <v>10971</v>
      </c>
      <c r="N11" s="30" t="s">
        <v>814</v>
      </c>
      <c r="O11" s="30" t="s">
        <v>814</v>
      </c>
      <c r="P11" s="30" t="s">
        <v>814</v>
      </c>
      <c r="Q11" s="6" t="s">
        <v>814</v>
      </c>
    </row>
    <row r="12" customFormat="false" ht="30" hidden="false" customHeight="true" outlineLevel="0" collapsed="false">
      <c r="A12" s="256" t="s">
        <v>10972</v>
      </c>
      <c r="B12" s="256" t="s">
        <v>1530</v>
      </c>
      <c r="C12" s="266" t="s">
        <v>10973</v>
      </c>
      <c r="D12" s="256" t="s">
        <v>10835</v>
      </c>
      <c r="E12" s="256" t="s">
        <v>168</v>
      </c>
      <c r="F12" s="264" t="s">
        <v>10974</v>
      </c>
      <c r="G12" s="256" t="s">
        <v>10975</v>
      </c>
      <c r="H12" s="256" t="s">
        <v>251</v>
      </c>
      <c r="I12" s="265" t="s">
        <v>10976</v>
      </c>
      <c r="J12" s="256" t="s">
        <v>10925</v>
      </c>
      <c r="K12" s="266" t="s">
        <v>10977</v>
      </c>
      <c r="L12" s="254" t="s">
        <v>10927</v>
      </c>
      <c r="M12" s="6" t="s">
        <v>814</v>
      </c>
      <c r="N12" s="30" t="s">
        <v>814</v>
      </c>
      <c r="O12" s="30" t="s">
        <v>814</v>
      </c>
      <c r="P12" s="30" t="s">
        <v>814</v>
      </c>
      <c r="Q12" s="20" t="s">
        <v>10978</v>
      </c>
    </row>
    <row r="13" customFormat="false" ht="30" hidden="false" customHeight="true" outlineLevel="0" collapsed="false">
      <c r="A13" s="256" t="s">
        <v>10979</v>
      </c>
      <c r="B13" s="256" t="s">
        <v>1530</v>
      </c>
      <c r="C13" s="264" t="s">
        <v>10980</v>
      </c>
      <c r="D13" s="256" t="s">
        <v>9571</v>
      </c>
      <c r="E13" s="256" t="s">
        <v>137</v>
      </c>
      <c r="F13" s="264" t="s">
        <v>10981</v>
      </c>
      <c r="G13" s="256" t="s">
        <v>814</v>
      </c>
      <c r="H13" s="265" t="s">
        <v>10982</v>
      </c>
      <c r="I13" s="265" t="s">
        <v>10951</v>
      </c>
      <c r="J13" s="256" t="s">
        <v>10969</v>
      </c>
      <c r="K13" s="266" t="s">
        <v>10983</v>
      </c>
      <c r="L13" s="254" t="s">
        <v>10927</v>
      </c>
      <c r="M13" s="6" t="s">
        <v>10984</v>
      </c>
      <c r="N13" s="30" t="s">
        <v>814</v>
      </c>
      <c r="O13" s="30" t="s">
        <v>814</v>
      </c>
      <c r="P13" s="30" t="s">
        <v>814</v>
      </c>
      <c r="Q13" s="6" t="s">
        <v>814</v>
      </c>
      <c r="R13" s="246" t="s">
        <v>10954</v>
      </c>
    </row>
    <row r="14" customFormat="false" ht="30" hidden="false" customHeight="true" outlineLevel="0" collapsed="false">
      <c r="A14" s="256" t="s">
        <v>10985</v>
      </c>
      <c r="B14" s="256" t="s">
        <v>1530</v>
      </c>
      <c r="C14" s="264" t="s">
        <v>10986</v>
      </c>
      <c r="D14" s="256" t="s">
        <v>10228</v>
      </c>
      <c r="E14" s="256" t="s">
        <v>245</v>
      </c>
      <c r="F14" s="264" t="s">
        <v>10987</v>
      </c>
      <c r="G14" s="265" t="s">
        <v>10932</v>
      </c>
      <c r="H14" s="256" t="s">
        <v>10988</v>
      </c>
      <c r="I14" s="265" t="s">
        <v>10924</v>
      </c>
      <c r="J14" s="256" t="s">
        <v>10989</v>
      </c>
      <c r="K14" s="266" t="s">
        <v>10990</v>
      </c>
      <c r="L14" s="254" t="s">
        <v>10927</v>
      </c>
      <c r="M14" s="6" t="s">
        <v>10991</v>
      </c>
      <c r="N14" s="30" t="s">
        <v>814</v>
      </c>
      <c r="O14" s="30" t="s">
        <v>814</v>
      </c>
      <c r="P14" s="30" t="s">
        <v>814</v>
      </c>
      <c r="Q14" s="6" t="s">
        <v>814</v>
      </c>
    </row>
    <row r="15" customFormat="false" ht="30" hidden="false" customHeight="true" outlineLevel="0" collapsed="false">
      <c r="A15" s="256" t="s">
        <v>10992</v>
      </c>
      <c r="B15" s="256" t="s">
        <v>1530</v>
      </c>
      <c r="C15" s="264" t="s">
        <v>10993</v>
      </c>
      <c r="D15" s="256" t="s">
        <v>4963</v>
      </c>
      <c r="E15" s="256" t="s">
        <v>168</v>
      </c>
      <c r="F15" s="264" t="s">
        <v>10994</v>
      </c>
      <c r="G15" s="265" t="s">
        <v>10995</v>
      </c>
      <c r="H15" s="265" t="s">
        <v>10996</v>
      </c>
      <c r="I15" s="265" t="s">
        <v>10924</v>
      </c>
      <c r="J15" s="256" t="s">
        <v>10989</v>
      </c>
      <c r="K15" s="266" t="s">
        <v>10997</v>
      </c>
      <c r="L15" s="254" t="s">
        <v>10927</v>
      </c>
      <c r="M15" s="6" t="s">
        <v>10998</v>
      </c>
      <c r="N15" s="30" t="s">
        <v>814</v>
      </c>
      <c r="O15" s="30" t="s">
        <v>814</v>
      </c>
      <c r="P15" s="30" t="s">
        <v>814</v>
      </c>
      <c r="Q15" s="6" t="s">
        <v>814</v>
      </c>
    </row>
    <row r="16" customFormat="false" ht="30" hidden="false" customHeight="true" outlineLevel="0" collapsed="false">
      <c r="A16" s="256" t="s">
        <v>10999</v>
      </c>
      <c r="B16" s="256" t="s">
        <v>1530</v>
      </c>
      <c r="C16" s="266" t="s">
        <v>11000</v>
      </c>
      <c r="D16" s="256" t="s">
        <v>11001</v>
      </c>
      <c r="E16" s="256" t="s">
        <v>245</v>
      </c>
      <c r="F16" s="264" t="s">
        <v>11002</v>
      </c>
      <c r="G16" s="256" t="s">
        <v>814</v>
      </c>
      <c r="H16" s="265" t="s">
        <v>11003</v>
      </c>
      <c r="I16" s="265" t="s">
        <v>10951</v>
      </c>
      <c r="J16" s="256" t="s">
        <v>10989</v>
      </c>
      <c r="K16" s="266" t="s">
        <v>11004</v>
      </c>
      <c r="L16" s="254" t="s">
        <v>10927</v>
      </c>
      <c r="M16" s="6" t="s">
        <v>11005</v>
      </c>
      <c r="N16" s="30" t="s">
        <v>814</v>
      </c>
      <c r="O16" s="30" t="s">
        <v>814</v>
      </c>
      <c r="P16" s="30" t="s">
        <v>814</v>
      </c>
      <c r="Q16" s="6" t="s">
        <v>814</v>
      </c>
      <c r="R16" s="246" t="s">
        <v>10954</v>
      </c>
    </row>
    <row r="17" customFormat="false" ht="30" hidden="false" customHeight="true" outlineLevel="0" collapsed="false">
      <c r="A17" s="256" t="s">
        <v>11006</v>
      </c>
      <c r="B17" s="256" t="s">
        <v>1530</v>
      </c>
      <c r="C17" s="264" t="s">
        <v>11007</v>
      </c>
      <c r="D17" s="256" t="s">
        <v>10055</v>
      </c>
      <c r="E17" s="256" t="s">
        <v>390</v>
      </c>
      <c r="F17" s="264" t="s">
        <v>11008</v>
      </c>
      <c r="G17" s="256" t="s">
        <v>814</v>
      </c>
      <c r="H17" s="256" t="s">
        <v>11009</v>
      </c>
      <c r="I17" s="265" t="s">
        <v>10951</v>
      </c>
      <c r="J17" s="256" t="s">
        <v>10989</v>
      </c>
      <c r="K17" s="266" t="s">
        <v>11010</v>
      </c>
      <c r="L17" s="254" t="s">
        <v>10927</v>
      </c>
      <c r="M17" s="6" t="s">
        <v>11011</v>
      </c>
      <c r="N17" s="30" t="s">
        <v>814</v>
      </c>
      <c r="O17" s="30" t="s">
        <v>814</v>
      </c>
      <c r="P17" s="30" t="s">
        <v>814</v>
      </c>
      <c r="Q17" s="6" t="s">
        <v>814</v>
      </c>
      <c r="R17" s="246" t="s">
        <v>10954</v>
      </c>
    </row>
    <row r="18" customFormat="false" ht="30" hidden="false" customHeight="true" outlineLevel="0" collapsed="false">
      <c r="A18" s="256" t="s">
        <v>11012</v>
      </c>
      <c r="B18" s="256" t="s">
        <v>1530</v>
      </c>
      <c r="C18" s="264" t="s">
        <v>11013</v>
      </c>
      <c r="D18" s="256" t="s">
        <v>9904</v>
      </c>
      <c r="E18" s="256" t="s">
        <v>245</v>
      </c>
      <c r="F18" s="264" t="s">
        <v>11014</v>
      </c>
      <c r="G18" s="256" t="s">
        <v>814</v>
      </c>
      <c r="H18" s="265" t="s">
        <v>11015</v>
      </c>
      <c r="I18" s="265" t="s">
        <v>1524</v>
      </c>
      <c r="J18" s="256" t="s">
        <v>814</v>
      </c>
      <c r="K18" s="266" t="s">
        <v>11016</v>
      </c>
      <c r="L18" s="254" t="s">
        <v>10961</v>
      </c>
      <c r="M18" s="6" t="s">
        <v>11017</v>
      </c>
      <c r="N18" s="30" t="s">
        <v>814</v>
      </c>
      <c r="O18" s="30" t="s">
        <v>814</v>
      </c>
      <c r="P18" s="30" t="s">
        <v>814</v>
      </c>
      <c r="Q18" s="6" t="s">
        <v>814</v>
      </c>
      <c r="R18" s="246" t="s">
        <v>11018</v>
      </c>
    </row>
    <row r="19" customFormat="false" ht="30" hidden="false" customHeight="true" outlineLevel="0" collapsed="false">
      <c r="A19" s="256" t="s">
        <v>11019</v>
      </c>
      <c r="B19" s="256" t="s">
        <v>1530</v>
      </c>
      <c r="C19" s="264" t="s">
        <v>11020</v>
      </c>
      <c r="D19" s="256" t="s">
        <v>9990</v>
      </c>
      <c r="E19" s="256" t="s">
        <v>245</v>
      </c>
      <c r="F19" s="264" t="s">
        <v>11021</v>
      </c>
      <c r="G19" s="256" t="s">
        <v>814</v>
      </c>
      <c r="H19" s="265" t="s">
        <v>1546</v>
      </c>
      <c r="I19" s="265" t="s">
        <v>1524</v>
      </c>
      <c r="J19" s="256" t="s">
        <v>814</v>
      </c>
      <c r="K19" s="264"/>
      <c r="L19" s="254" t="s">
        <v>10961</v>
      </c>
      <c r="M19" s="6" t="s">
        <v>11022</v>
      </c>
      <c r="N19" s="30" t="s">
        <v>814</v>
      </c>
      <c r="O19" s="30" t="s">
        <v>814</v>
      </c>
      <c r="P19" s="30" t="s">
        <v>814</v>
      </c>
      <c r="Q19" s="6" t="s">
        <v>814</v>
      </c>
      <c r="R19" s="246" t="s">
        <v>11023</v>
      </c>
    </row>
    <row r="20" customFormat="false" ht="30" hidden="false" customHeight="true" outlineLevel="0" collapsed="false">
      <c r="A20" s="256" t="s">
        <v>11024</v>
      </c>
      <c r="B20" s="256" t="s">
        <v>1530</v>
      </c>
      <c r="C20" s="264" t="s">
        <v>11025</v>
      </c>
      <c r="D20" s="256" t="s">
        <v>2454</v>
      </c>
      <c r="E20" s="256" t="s">
        <v>11026</v>
      </c>
      <c r="F20" s="264" t="s">
        <v>11027</v>
      </c>
      <c r="G20" s="265" t="s">
        <v>10932</v>
      </c>
      <c r="H20" s="256" t="s">
        <v>11028</v>
      </c>
      <c r="I20" s="265" t="s">
        <v>10951</v>
      </c>
      <c r="J20" s="256" t="s">
        <v>11029</v>
      </c>
      <c r="K20" s="266" t="s">
        <v>11030</v>
      </c>
      <c r="L20" s="254" t="s">
        <v>10927</v>
      </c>
      <c r="M20" s="6" t="s">
        <v>11031</v>
      </c>
      <c r="N20" s="30" t="s">
        <v>814</v>
      </c>
      <c r="O20" s="30" t="s">
        <v>814</v>
      </c>
      <c r="P20" s="30" t="s">
        <v>814</v>
      </c>
      <c r="Q20" s="6" t="s">
        <v>814</v>
      </c>
      <c r="R20" s="246" t="s">
        <v>10954</v>
      </c>
    </row>
    <row r="21" customFormat="false" ht="30" hidden="false" customHeight="true" outlineLevel="0" collapsed="false">
      <c r="A21" s="256" t="s">
        <v>11032</v>
      </c>
      <c r="B21" s="256" t="s">
        <v>1530</v>
      </c>
      <c r="C21" s="264" t="s">
        <v>11033</v>
      </c>
      <c r="D21" s="256" t="s">
        <v>10142</v>
      </c>
      <c r="E21" s="256" t="s">
        <v>245</v>
      </c>
      <c r="F21" s="264" t="s">
        <v>11034</v>
      </c>
      <c r="G21" s="256" t="s">
        <v>814</v>
      </c>
      <c r="H21" s="256" t="s">
        <v>11035</v>
      </c>
      <c r="I21" s="265" t="s">
        <v>10951</v>
      </c>
      <c r="J21" s="256" t="s">
        <v>11029</v>
      </c>
      <c r="K21" s="264" t="s">
        <v>11036</v>
      </c>
      <c r="L21" s="254" t="s">
        <v>10927</v>
      </c>
      <c r="M21" s="6" t="s">
        <v>11037</v>
      </c>
      <c r="N21" s="30" t="s">
        <v>814</v>
      </c>
      <c r="O21" s="30" t="s">
        <v>814</v>
      </c>
      <c r="P21" s="30" t="s">
        <v>814</v>
      </c>
      <c r="Q21" s="6" t="s">
        <v>814</v>
      </c>
      <c r="R21" s="246" t="s">
        <v>10954</v>
      </c>
    </row>
    <row r="22" customFormat="false" ht="30" hidden="false" customHeight="true" outlineLevel="0" collapsed="false">
      <c r="A22" s="256" t="s">
        <v>11038</v>
      </c>
      <c r="B22" s="256" t="s">
        <v>1530</v>
      </c>
      <c r="C22" s="264" t="s">
        <v>11039</v>
      </c>
      <c r="D22" s="256" t="s">
        <v>2477</v>
      </c>
      <c r="E22" s="256" t="s">
        <v>390</v>
      </c>
      <c r="F22" s="264" t="s">
        <v>11040</v>
      </c>
      <c r="G22" s="256" t="s">
        <v>814</v>
      </c>
      <c r="H22" s="256" t="s">
        <v>11041</v>
      </c>
      <c r="I22" s="265" t="s">
        <v>10951</v>
      </c>
      <c r="J22" s="256" t="s">
        <v>11029</v>
      </c>
      <c r="K22" s="264" t="s">
        <v>11042</v>
      </c>
      <c r="L22" s="254" t="s">
        <v>10927</v>
      </c>
      <c r="M22" s="6" t="s">
        <v>11043</v>
      </c>
      <c r="N22" s="30" t="s">
        <v>814</v>
      </c>
      <c r="O22" s="30" t="s">
        <v>814</v>
      </c>
      <c r="P22" s="30" t="s">
        <v>814</v>
      </c>
      <c r="Q22" s="6" t="s">
        <v>814</v>
      </c>
    </row>
    <row r="23" customFormat="false" ht="30" hidden="false" customHeight="true" outlineLevel="0" collapsed="false">
      <c r="A23" s="256" t="s">
        <v>11044</v>
      </c>
      <c r="B23" s="256" t="s">
        <v>1530</v>
      </c>
      <c r="C23" s="264" t="s">
        <v>11045</v>
      </c>
      <c r="D23" s="256" t="s">
        <v>2477</v>
      </c>
      <c r="E23" s="256" t="s">
        <v>390</v>
      </c>
      <c r="F23" s="264" t="s">
        <v>11046</v>
      </c>
      <c r="G23" s="256" t="s">
        <v>814</v>
      </c>
      <c r="H23" s="256" t="s">
        <v>11047</v>
      </c>
      <c r="I23" s="265" t="s">
        <v>10924</v>
      </c>
      <c r="J23" s="256" t="s">
        <v>11029</v>
      </c>
      <c r="K23" s="264"/>
      <c r="L23" s="254" t="s">
        <v>10927</v>
      </c>
      <c r="M23" s="6" t="s">
        <v>11043</v>
      </c>
      <c r="N23" s="30" t="s">
        <v>814</v>
      </c>
      <c r="O23" s="30" t="s">
        <v>814</v>
      </c>
      <c r="P23" s="30" t="s">
        <v>814</v>
      </c>
      <c r="Q23" s="6" t="s">
        <v>814</v>
      </c>
    </row>
    <row r="24" customFormat="false" ht="30" hidden="false" customHeight="true" outlineLevel="0" collapsed="false">
      <c r="A24" s="256" t="s">
        <v>11048</v>
      </c>
      <c r="B24" s="256" t="s">
        <v>1530</v>
      </c>
      <c r="C24" s="264" t="s">
        <v>11049</v>
      </c>
      <c r="D24" s="256" t="s">
        <v>10200</v>
      </c>
      <c r="E24" s="256" t="s">
        <v>245</v>
      </c>
      <c r="F24" s="264" t="s">
        <v>11050</v>
      </c>
      <c r="G24" s="256" t="s">
        <v>11051</v>
      </c>
      <c r="H24" s="256" t="s">
        <v>11052</v>
      </c>
      <c r="I24" s="265" t="s">
        <v>1524</v>
      </c>
      <c r="J24" s="256" t="s">
        <v>814</v>
      </c>
      <c r="K24" s="266" t="s">
        <v>11053</v>
      </c>
      <c r="L24" s="254" t="s">
        <v>10961</v>
      </c>
      <c r="M24" s="6" t="s">
        <v>10194</v>
      </c>
      <c r="N24" s="30" t="s">
        <v>814</v>
      </c>
      <c r="O24" s="30" t="s">
        <v>814</v>
      </c>
      <c r="P24" s="30" t="s">
        <v>814</v>
      </c>
      <c r="Q24" s="6" t="s">
        <v>814</v>
      </c>
      <c r="R24" s="246" t="s">
        <v>11054</v>
      </c>
    </row>
    <row r="25" customFormat="false" ht="29.25" hidden="false" customHeight="true" outlineLevel="0" collapsed="false">
      <c r="A25" s="256" t="s">
        <v>11055</v>
      </c>
      <c r="B25" s="256" t="s">
        <v>7366</v>
      </c>
      <c r="C25" s="264" t="s">
        <v>11056</v>
      </c>
      <c r="D25" s="256" t="s">
        <v>7531</v>
      </c>
      <c r="E25" s="265" t="s">
        <v>11057</v>
      </c>
      <c r="F25" s="265" t="s">
        <v>11058</v>
      </c>
      <c r="G25" s="256" t="s">
        <v>814</v>
      </c>
      <c r="H25" s="256" t="s">
        <v>814</v>
      </c>
      <c r="I25" s="265" t="s">
        <v>11059</v>
      </c>
      <c r="J25" s="256" t="s">
        <v>11060</v>
      </c>
      <c r="K25" s="264" t="s">
        <v>11061</v>
      </c>
      <c r="L25" s="254" t="s">
        <v>10927</v>
      </c>
      <c r="M25" s="6" t="s">
        <v>5438</v>
      </c>
      <c r="N25" s="30" t="s">
        <v>814</v>
      </c>
      <c r="O25" s="30" t="s">
        <v>814</v>
      </c>
      <c r="P25" s="30" t="s">
        <v>11062</v>
      </c>
      <c r="Q25" s="254" t="s">
        <v>8580</v>
      </c>
      <c r="R25" s="246" t="s">
        <v>11063</v>
      </c>
    </row>
    <row r="26" customFormat="false" ht="29.25" hidden="false" customHeight="true" outlineLevel="0" collapsed="false">
      <c r="A26" s="256" t="s">
        <v>8594</v>
      </c>
      <c r="B26" s="256" t="s">
        <v>7366</v>
      </c>
      <c r="C26" s="264" t="s">
        <v>11064</v>
      </c>
      <c r="D26" s="256" t="s">
        <v>7540</v>
      </c>
      <c r="E26" s="265" t="s">
        <v>11057</v>
      </c>
      <c r="F26" s="265" t="s">
        <v>11058</v>
      </c>
      <c r="G26" s="256" t="s">
        <v>814</v>
      </c>
      <c r="H26" s="256" t="s">
        <v>814</v>
      </c>
      <c r="I26" s="265" t="s">
        <v>11059</v>
      </c>
      <c r="J26" s="256" t="s">
        <v>11060</v>
      </c>
      <c r="K26" s="264" t="s">
        <v>11061</v>
      </c>
      <c r="L26" s="254" t="s">
        <v>10927</v>
      </c>
      <c r="M26" s="6" t="s">
        <v>11065</v>
      </c>
      <c r="N26" s="30" t="s">
        <v>814</v>
      </c>
      <c r="O26" s="30" t="s">
        <v>814</v>
      </c>
      <c r="P26" s="30" t="s">
        <v>11062</v>
      </c>
      <c r="Q26" s="254" t="s">
        <v>8580</v>
      </c>
    </row>
    <row r="27" customFormat="false" ht="29.25" hidden="false" customHeight="true" outlineLevel="0" collapsed="false">
      <c r="A27" s="256" t="s">
        <v>11066</v>
      </c>
      <c r="B27" s="256" t="s">
        <v>7366</v>
      </c>
      <c r="C27" s="264" t="s">
        <v>11067</v>
      </c>
      <c r="D27" s="256" t="s">
        <v>8608</v>
      </c>
      <c r="E27" s="265" t="s">
        <v>11057</v>
      </c>
      <c r="F27" s="265" t="s">
        <v>11058</v>
      </c>
      <c r="G27" s="256" t="s">
        <v>814</v>
      </c>
      <c r="H27" s="256" t="s">
        <v>814</v>
      </c>
      <c r="I27" s="265" t="s">
        <v>11059</v>
      </c>
      <c r="J27" s="256" t="s">
        <v>11060</v>
      </c>
      <c r="K27" s="264" t="s">
        <v>11061</v>
      </c>
      <c r="L27" s="254" t="s">
        <v>10927</v>
      </c>
      <c r="M27" s="6" t="s">
        <v>11068</v>
      </c>
      <c r="N27" s="30" t="s">
        <v>814</v>
      </c>
      <c r="O27" s="30" t="s">
        <v>814</v>
      </c>
      <c r="P27" s="30" t="s">
        <v>11062</v>
      </c>
      <c r="Q27" s="254" t="s">
        <v>8580</v>
      </c>
      <c r="R27" s="246" t="s">
        <v>11069</v>
      </c>
    </row>
    <row r="28" customFormat="false" ht="29.25" hidden="false" customHeight="true" outlineLevel="0" collapsed="false">
      <c r="A28" s="256" t="s">
        <v>8635</v>
      </c>
      <c r="B28" s="256" t="s">
        <v>7366</v>
      </c>
      <c r="C28" s="264" t="s">
        <v>11070</v>
      </c>
      <c r="D28" s="256" t="s">
        <v>8624</v>
      </c>
      <c r="E28" s="265" t="s">
        <v>11057</v>
      </c>
      <c r="F28" s="265" t="s">
        <v>11058</v>
      </c>
      <c r="G28" s="256" t="s">
        <v>814</v>
      </c>
      <c r="H28" s="256" t="s">
        <v>814</v>
      </c>
      <c r="I28" s="265" t="s">
        <v>11059</v>
      </c>
      <c r="J28" s="256" t="s">
        <v>11060</v>
      </c>
      <c r="K28" s="264" t="s">
        <v>11061</v>
      </c>
      <c r="L28" s="254" t="s">
        <v>10927</v>
      </c>
      <c r="M28" s="6" t="s">
        <v>11071</v>
      </c>
      <c r="N28" s="30" t="s">
        <v>814</v>
      </c>
      <c r="O28" s="30" t="s">
        <v>814</v>
      </c>
      <c r="P28" s="30" t="s">
        <v>11062</v>
      </c>
      <c r="Q28" s="254" t="s">
        <v>8580</v>
      </c>
      <c r="R28" s="246" t="s">
        <v>11072</v>
      </c>
    </row>
    <row r="29" customFormat="false" ht="29.25" hidden="false" customHeight="true" outlineLevel="0" collapsed="false">
      <c r="A29" s="256" t="s">
        <v>8642</v>
      </c>
      <c r="B29" s="256" t="s">
        <v>7366</v>
      </c>
      <c r="C29" s="264" t="s">
        <v>11073</v>
      </c>
      <c r="D29" s="256" t="s">
        <v>8643</v>
      </c>
      <c r="E29" s="265" t="s">
        <v>11057</v>
      </c>
      <c r="F29" s="265" t="s">
        <v>11058</v>
      </c>
      <c r="G29" s="256" t="s">
        <v>814</v>
      </c>
      <c r="H29" s="256" t="s">
        <v>814</v>
      </c>
      <c r="I29" s="265" t="s">
        <v>11059</v>
      </c>
      <c r="J29" s="256" t="s">
        <v>11060</v>
      </c>
      <c r="K29" s="264" t="s">
        <v>11061</v>
      </c>
      <c r="L29" s="254" t="s">
        <v>10927</v>
      </c>
      <c r="M29" s="6" t="s">
        <v>8637</v>
      </c>
      <c r="N29" s="30" t="s">
        <v>814</v>
      </c>
      <c r="O29" s="30" t="s">
        <v>814</v>
      </c>
      <c r="P29" s="30" t="s">
        <v>11062</v>
      </c>
      <c r="Q29" s="254" t="s">
        <v>8580</v>
      </c>
      <c r="R29" s="246" t="s">
        <v>11063</v>
      </c>
    </row>
    <row r="30" customFormat="false" ht="29.25" hidden="false" customHeight="true" outlineLevel="0" collapsed="false">
      <c r="A30" s="256" t="s">
        <v>11074</v>
      </c>
      <c r="B30" s="256" t="s">
        <v>7366</v>
      </c>
      <c r="C30" s="264" t="s">
        <v>11075</v>
      </c>
      <c r="D30" s="256" t="s">
        <v>8650</v>
      </c>
      <c r="E30" s="265" t="s">
        <v>11057</v>
      </c>
      <c r="F30" s="265" t="s">
        <v>11058</v>
      </c>
      <c r="G30" s="256" t="s">
        <v>814</v>
      </c>
      <c r="H30" s="256" t="s">
        <v>814</v>
      </c>
      <c r="I30" s="265" t="s">
        <v>11059</v>
      </c>
      <c r="J30" s="256" t="s">
        <v>11060</v>
      </c>
      <c r="K30" s="264" t="s">
        <v>11061</v>
      </c>
      <c r="L30" s="254" t="s">
        <v>10927</v>
      </c>
      <c r="M30" s="6" t="s">
        <v>5504</v>
      </c>
      <c r="N30" s="30" t="s">
        <v>814</v>
      </c>
      <c r="O30" s="30" t="s">
        <v>814</v>
      </c>
      <c r="P30" s="30" t="s">
        <v>11062</v>
      </c>
      <c r="Q30" s="254" t="s">
        <v>8580</v>
      </c>
      <c r="R30" s="246" t="s">
        <v>11063</v>
      </c>
    </row>
    <row r="31" customFormat="false" ht="29.25" hidden="false" customHeight="true" outlineLevel="0" collapsed="false">
      <c r="A31" s="256" t="s">
        <v>8664</v>
      </c>
      <c r="B31" s="256" t="s">
        <v>7366</v>
      </c>
      <c r="C31" s="264" t="s">
        <v>11076</v>
      </c>
      <c r="D31" s="256" t="s">
        <v>8658</v>
      </c>
      <c r="E31" s="265" t="s">
        <v>11057</v>
      </c>
      <c r="F31" s="265" t="s">
        <v>11058</v>
      </c>
      <c r="G31" s="256" t="s">
        <v>814</v>
      </c>
      <c r="H31" s="256" t="s">
        <v>814</v>
      </c>
      <c r="I31" s="265" t="s">
        <v>11059</v>
      </c>
      <c r="J31" s="256" t="s">
        <v>11060</v>
      </c>
      <c r="K31" s="264" t="s">
        <v>11061</v>
      </c>
      <c r="L31" s="254" t="s">
        <v>10927</v>
      </c>
      <c r="M31" s="6" t="s">
        <v>11077</v>
      </c>
      <c r="N31" s="30" t="s">
        <v>814</v>
      </c>
      <c r="O31" s="30" t="s">
        <v>814</v>
      </c>
      <c r="P31" s="30" t="s">
        <v>11062</v>
      </c>
      <c r="Q31" s="254" t="s">
        <v>8580</v>
      </c>
    </row>
    <row r="32" customFormat="false" ht="29.25" hidden="false" customHeight="true" outlineLevel="0" collapsed="false">
      <c r="A32" s="256" t="s">
        <v>11078</v>
      </c>
      <c r="B32" s="256" t="s">
        <v>7366</v>
      </c>
      <c r="C32" s="264" t="s">
        <v>11079</v>
      </c>
      <c r="D32" s="256" t="s">
        <v>8680</v>
      </c>
      <c r="E32" s="265" t="s">
        <v>11057</v>
      </c>
      <c r="F32" s="265" t="s">
        <v>11058</v>
      </c>
      <c r="G32" s="256" t="s">
        <v>814</v>
      </c>
      <c r="H32" s="256" t="s">
        <v>814</v>
      </c>
      <c r="I32" s="265" t="s">
        <v>11059</v>
      </c>
      <c r="J32" s="256" t="s">
        <v>11060</v>
      </c>
      <c r="K32" s="264" t="s">
        <v>11061</v>
      </c>
      <c r="L32" s="254" t="s">
        <v>10927</v>
      </c>
      <c r="M32" s="6" t="s">
        <v>5449</v>
      </c>
      <c r="N32" s="30" t="s">
        <v>814</v>
      </c>
      <c r="O32" s="30" t="s">
        <v>814</v>
      </c>
      <c r="P32" s="30" t="s">
        <v>11062</v>
      </c>
      <c r="Q32" s="254" t="s">
        <v>8580</v>
      </c>
      <c r="R32" s="246" t="s">
        <v>11063</v>
      </c>
    </row>
    <row r="33" customFormat="false" ht="29.25" hidden="false" customHeight="true" outlineLevel="0" collapsed="false">
      <c r="A33" s="256" t="s">
        <v>8697</v>
      </c>
      <c r="B33" s="256" t="s">
        <v>7366</v>
      </c>
      <c r="C33" s="264" t="s">
        <v>11080</v>
      </c>
      <c r="D33" s="256" t="s">
        <v>8690</v>
      </c>
      <c r="E33" s="265" t="s">
        <v>11057</v>
      </c>
      <c r="F33" s="265" t="s">
        <v>11058</v>
      </c>
      <c r="G33" s="256" t="s">
        <v>814</v>
      </c>
      <c r="H33" s="256" t="s">
        <v>814</v>
      </c>
      <c r="I33" s="265" t="s">
        <v>11059</v>
      </c>
      <c r="J33" s="256" t="s">
        <v>11060</v>
      </c>
      <c r="K33" s="264" t="s">
        <v>11061</v>
      </c>
      <c r="L33" s="254" t="s">
        <v>10927</v>
      </c>
      <c r="M33" s="6" t="s">
        <v>11081</v>
      </c>
      <c r="N33" s="30" t="s">
        <v>814</v>
      </c>
      <c r="O33" s="30" t="s">
        <v>814</v>
      </c>
      <c r="P33" s="30" t="s">
        <v>11062</v>
      </c>
      <c r="Q33" s="254" t="s">
        <v>8687</v>
      </c>
      <c r="R33" s="246" t="s">
        <v>11072</v>
      </c>
    </row>
    <row r="34" customFormat="false" ht="29.25" hidden="false" customHeight="true" outlineLevel="0" collapsed="false">
      <c r="A34" s="256" t="s">
        <v>8710</v>
      </c>
      <c r="B34" s="256" t="s">
        <v>7366</v>
      </c>
      <c r="C34" s="264" t="s">
        <v>11082</v>
      </c>
      <c r="D34" s="256" t="s">
        <v>8711</v>
      </c>
      <c r="E34" s="265" t="s">
        <v>11057</v>
      </c>
      <c r="F34" s="265" t="s">
        <v>11058</v>
      </c>
      <c r="G34" s="256" t="s">
        <v>814</v>
      </c>
      <c r="H34" s="256" t="s">
        <v>814</v>
      </c>
      <c r="I34" s="265" t="s">
        <v>11059</v>
      </c>
      <c r="J34" s="256" t="s">
        <v>11060</v>
      </c>
      <c r="K34" s="264" t="s">
        <v>11061</v>
      </c>
      <c r="L34" s="254" t="s">
        <v>10927</v>
      </c>
      <c r="M34" s="6" t="s">
        <v>8706</v>
      </c>
      <c r="N34" s="30" t="s">
        <v>814</v>
      </c>
      <c r="O34" s="30" t="s">
        <v>814</v>
      </c>
      <c r="P34" s="30" t="s">
        <v>11062</v>
      </c>
      <c r="Q34" s="254" t="s">
        <v>8580</v>
      </c>
    </row>
    <row r="35" customFormat="false" ht="97.5" hidden="false" customHeight="true" outlineLevel="0" collapsed="false">
      <c r="A35" s="256" t="s">
        <v>8719</v>
      </c>
      <c r="B35" s="256" t="s">
        <v>7366</v>
      </c>
      <c r="C35" s="264" t="s">
        <v>11083</v>
      </c>
      <c r="D35" s="256" t="s">
        <v>8720</v>
      </c>
      <c r="E35" s="265" t="s">
        <v>11057</v>
      </c>
      <c r="F35" s="265" t="s">
        <v>11058</v>
      </c>
      <c r="G35" s="256" t="s">
        <v>814</v>
      </c>
      <c r="H35" s="256" t="s">
        <v>814</v>
      </c>
      <c r="I35" s="265" t="s">
        <v>11059</v>
      </c>
      <c r="J35" s="256" t="s">
        <v>11060</v>
      </c>
      <c r="K35" s="264" t="s">
        <v>11061</v>
      </c>
      <c r="L35" s="254" t="s">
        <v>10927</v>
      </c>
      <c r="M35" s="6" t="s">
        <v>11084</v>
      </c>
      <c r="N35" s="30" t="s">
        <v>814</v>
      </c>
      <c r="O35" s="30" t="s">
        <v>814</v>
      </c>
      <c r="P35" s="30" t="s">
        <v>11062</v>
      </c>
      <c r="Q35" s="254" t="s">
        <v>8580</v>
      </c>
      <c r="R35" s="246" t="s">
        <v>11085</v>
      </c>
    </row>
    <row r="36" customFormat="false" ht="29.25" hidden="false" customHeight="true" outlineLevel="0" collapsed="false">
      <c r="A36" s="256" t="s">
        <v>8768</v>
      </c>
      <c r="B36" s="256" t="s">
        <v>7366</v>
      </c>
      <c r="C36" s="264" t="s">
        <v>11086</v>
      </c>
      <c r="D36" s="256" t="s">
        <v>8769</v>
      </c>
      <c r="E36" s="265" t="s">
        <v>11057</v>
      </c>
      <c r="F36" s="265" t="s">
        <v>11058</v>
      </c>
      <c r="G36" s="256" t="s">
        <v>814</v>
      </c>
      <c r="H36" s="256" t="s">
        <v>814</v>
      </c>
      <c r="I36" s="265" t="s">
        <v>11059</v>
      </c>
      <c r="J36" s="256" t="s">
        <v>11060</v>
      </c>
      <c r="K36" s="264" t="s">
        <v>11061</v>
      </c>
      <c r="L36" s="254" t="s">
        <v>10927</v>
      </c>
      <c r="M36" s="6" t="s">
        <v>11087</v>
      </c>
      <c r="N36" s="30" t="s">
        <v>814</v>
      </c>
      <c r="O36" s="30" t="s">
        <v>814</v>
      </c>
      <c r="P36" s="30" t="s">
        <v>11062</v>
      </c>
      <c r="Q36" s="254" t="s">
        <v>8687</v>
      </c>
    </row>
    <row r="37" customFormat="false" ht="29.25" hidden="false" customHeight="true" outlineLevel="0" collapsed="false">
      <c r="A37" s="256" t="s">
        <v>11088</v>
      </c>
      <c r="B37" s="256" t="s">
        <v>7366</v>
      </c>
      <c r="C37" s="264" t="s">
        <v>11089</v>
      </c>
      <c r="D37" s="256" t="s">
        <v>8788</v>
      </c>
      <c r="E37" s="265" t="s">
        <v>11057</v>
      </c>
      <c r="F37" s="265" t="s">
        <v>11058</v>
      </c>
      <c r="G37" s="256" t="s">
        <v>814</v>
      </c>
      <c r="H37" s="256" t="s">
        <v>814</v>
      </c>
      <c r="I37" s="265" t="s">
        <v>11059</v>
      </c>
      <c r="J37" s="256" t="s">
        <v>11060</v>
      </c>
      <c r="K37" s="264" t="s">
        <v>11061</v>
      </c>
      <c r="L37" s="254" t="s">
        <v>10927</v>
      </c>
      <c r="M37" s="6" t="s">
        <v>10939</v>
      </c>
      <c r="N37" s="30" t="s">
        <v>814</v>
      </c>
      <c r="O37" s="30" t="s">
        <v>814</v>
      </c>
      <c r="P37" s="30" t="s">
        <v>11090</v>
      </c>
      <c r="Q37" s="254" t="s">
        <v>8580</v>
      </c>
    </row>
    <row r="38" customFormat="false" ht="29.25" hidden="false" customHeight="true" outlineLevel="0" collapsed="false">
      <c r="A38" s="256" t="s">
        <v>11091</v>
      </c>
      <c r="B38" s="256" t="s">
        <v>7366</v>
      </c>
      <c r="C38" s="264" t="s">
        <v>11092</v>
      </c>
      <c r="D38" s="256" t="s">
        <v>8804</v>
      </c>
      <c r="E38" s="265" t="s">
        <v>11057</v>
      </c>
      <c r="F38" s="265" t="s">
        <v>11058</v>
      </c>
      <c r="G38" s="256" t="s">
        <v>814</v>
      </c>
      <c r="H38" s="256" t="s">
        <v>814</v>
      </c>
      <c r="I38" s="265" t="s">
        <v>11059</v>
      </c>
      <c r="J38" s="256" t="s">
        <v>11060</v>
      </c>
      <c r="K38" s="264" t="s">
        <v>11061</v>
      </c>
      <c r="L38" s="254" t="s">
        <v>10927</v>
      </c>
      <c r="M38" s="6" t="s">
        <v>5514</v>
      </c>
      <c r="N38" s="30" t="s">
        <v>814</v>
      </c>
      <c r="O38" s="30" t="s">
        <v>814</v>
      </c>
      <c r="P38" s="30" t="s">
        <v>11062</v>
      </c>
      <c r="Q38" s="254" t="s">
        <v>8580</v>
      </c>
      <c r="R38" s="246" t="s">
        <v>11063</v>
      </c>
    </row>
    <row r="39" customFormat="false" ht="72" hidden="false" customHeight="true" outlineLevel="0" collapsed="false">
      <c r="A39" s="256" t="s">
        <v>8811</v>
      </c>
      <c r="B39" s="256" t="s">
        <v>7366</v>
      </c>
      <c r="C39" s="264" t="s">
        <v>11093</v>
      </c>
      <c r="D39" s="256" t="s">
        <v>8812</v>
      </c>
      <c r="E39" s="265" t="s">
        <v>11057</v>
      </c>
      <c r="F39" s="265" t="s">
        <v>11058</v>
      </c>
      <c r="G39" s="256" t="s">
        <v>814</v>
      </c>
      <c r="H39" s="256" t="s">
        <v>814</v>
      </c>
      <c r="I39" s="265" t="s">
        <v>11059</v>
      </c>
      <c r="J39" s="256" t="s">
        <v>11060</v>
      </c>
      <c r="K39" s="264" t="s">
        <v>11061</v>
      </c>
      <c r="L39" s="254" t="s">
        <v>10927</v>
      </c>
      <c r="M39" s="6" t="s">
        <v>11094</v>
      </c>
      <c r="N39" s="30" t="s">
        <v>814</v>
      </c>
      <c r="O39" s="30" t="s">
        <v>814</v>
      </c>
      <c r="P39" s="30" t="s">
        <v>11062</v>
      </c>
      <c r="Q39" s="254" t="s">
        <v>8580</v>
      </c>
    </row>
    <row r="40" customFormat="false" ht="29.25" hidden="false" customHeight="true" outlineLevel="0" collapsed="false">
      <c r="A40" s="256" t="s">
        <v>8856</v>
      </c>
      <c r="B40" s="256" t="s">
        <v>7366</v>
      </c>
      <c r="C40" s="264" t="s">
        <v>11095</v>
      </c>
      <c r="D40" s="256" t="s">
        <v>8857</v>
      </c>
      <c r="E40" s="265" t="s">
        <v>11057</v>
      </c>
      <c r="F40" s="265" t="s">
        <v>11058</v>
      </c>
      <c r="G40" s="256" t="s">
        <v>814</v>
      </c>
      <c r="H40" s="256" t="s">
        <v>814</v>
      </c>
      <c r="I40" s="265" t="s">
        <v>11059</v>
      </c>
      <c r="J40" s="256" t="s">
        <v>11060</v>
      </c>
      <c r="K40" s="264" t="s">
        <v>11061</v>
      </c>
      <c r="L40" s="254" t="s">
        <v>10927</v>
      </c>
      <c r="M40" s="6" t="s">
        <v>11096</v>
      </c>
      <c r="N40" s="30" t="s">
        <v>814</v>
      </c>
      <c r="O40" s="30" t="s">
        <v>814</v>
      </c>
      <c r="P40" s="30" t="s">
        <v>11062</v>
      </c>
      <c r="Q40" s="254" t="s">
        <v>8687</v>
      </c>
      <c r="R40" s="246" t="s">
        <v>11069</v>
      </c>
    </row>
    <row r="41" customFormat="false" ht="29.25" hidden="false" customHeight="true" outlineLevel="0" collapsed="false">
      <c r="A41" s="256" t="s">
        <v>8974</v>
      </c>
      <c r="B41" s="256" t="s">
        <v>7366</v>
      </c>
      <c r="C41" s="264" t="s">
        <v>11097</v>
      </c>
      <c r="D41" s="256" t="s">
        <v>8975</v>
      </c>
      <c r="E41" s="265" t="s">
        <v>11057</v>
      </c>
      <c r="F41" s="265" t="s">
        <v>11058</v>
      </c>
      <c r="G41" s="256" t="s">
        <v>814</v>
      </c>
      <c r="H41" s="256" t="s">
        <v>814</v>
      </c>
      <c r="I41" s="265" t="s">
        <v>11059</v>
      </c>
      <c r="J41" s="256" t="s">
        <v>11060</v>
      </c>
      <c r="K41" s="264" t="s">
        <v>11061</v>
      </c>
      <c r="L41" s="254" t="s">
        <v>10927</v>
      </c>
      <c r="M41" s="6" t="s">
        <v>11098</v>
      </c>
      <c r="N41" s="30" t="s">
        <v>814</v>
      </c>
      <c r="O41" s="30" t="s">
        <v>814</v>
      </c>
      <c r="P41" s="30" t="s">
        <v>11062</v>
      </c>
      <c r="Q41" s="254" t="s">
        <v>8580</v>
      </c>
    </row>
    <row r="42" customFormat="false" ht="29.25" hidden="false" customHeight="true" outlineLevel="0" collapsed="false">
      <c r="A42" s="256" t="s">
        <v>6102</v>
      </c>
      <c r="B42" s="256" t="s">
        <v>7366</v>
      </c>
      <c r="C42" s="264" t="s">
        <v>11099</v>
      </c>
      <c r="D42" s="256" t="s">
        <v>8987</v>
      </c>
      <c r="E42" s="265" t="s">
        <v>11057</v>
      </c>
      <c r="F42" s="265" t="s">
        <v>11058</v>
      </c>
      <c r="G42" s="256" t="s">
        <v>814</v>
      </c>
      <c r="H42" s="256" t="s">
        <v>814</v>
      </c>
      <c r="I42" s="265" t="s">
        <v>11059</v>
      </c>
      <c r="J42" s="256" t="s">
        <v>11060</v>
      </c>
      <c r="K42" s="264" t="s">
        <v>11061</v>
      </c>
      <c r="L42" s="254" t="s">
        <v>10927</v>
      </c>
      <c r="M42" s="6" t="s">
        <v>11100</v>
      </c>
      <c r="N42" s="30" t="s">
        <v>814</v>
      </c>
      <c r="O42" s="30" t="s">
        <v>814</v>
      </c>
      <c r="P42" s="30" t="s">
        <v>11062</v>
      </c>
      <c r="Q42" s="254" t="s">
        <v>8687</v>
      </c>
    </row>
    <row r="43" customFormat="false" ht="29.25" hidden="false" customHeight="true" outlineLevel="0" collapsed="false">
      <c r="A43" s="256" t="s">
        <v>6114</v>
      </c>
      <c r="B43" s="256" t="s">
        <v>7366</v>
      </c>
      <c r="C43" s="264" t="s">
        <v>11101</v>
      </c>
      <c r="D43" s="256" t="s">
        <v>9000</v>
      </c>
      <c r="E43" s="265" t="s">
        <v>11057</v>
      </c>
      <c r="F43" s="265" t="s">
        <v>11058</v>
      </c>
      <c r="G43" s="256" t="s">
        <v>814</v>
      </c>
      <c r="H43" s="256" t="s">
        <v>814</v>
      </c>
      <c r="I43" s="265" t="s">
        <v>11059</v>
      </c>
      <c r="J43" s="256" t="s">
        <v>11060</v>
      </c>
      <c r="K43" s="264" t="s">
        <v>11061</v>
      </c>
      <c r="L43" s="254" t="s">
        <v>10927</v>
      </c>
      <c r="M43" s="6" t="s">
        <v>11102</v>
      </c>
      <c r="N43" s="30" t="s">
        <v>814</v>
      </c>
      <c r="O43" s="30" t="s">
        <v>814</v>
      </c>
      <c r="P43" s="30" t="s">
        <v>11090</v>
      </c>
      <c r="Q43" s="254" t="s">
        <v>8687</v>
      </c>
      <c r="R43" s="246" t="s">
        <v>11069</v>
      </c>
    </row>
    <row r="44" customFormat="false" ht="29.25" hidden="false" customHeight="true" outlineLevel="0" collapsed="false">
      <c r="A44" s="256" t="s">
        <v>6126</v>
      </c>
      <c r="B44" s="256" t="s">
        <v>7366</v>
      </c>
      <c r="C44" s="264" t="s">
        <v>11103</v>
      </c>
      <c r="D44" s="256" t="s">
        <v>9009</v>
      </c>
      <c r="E44" s="265" t="s">
        <v>11057</v>
      </c>
      <c r="F44" s="265" t="s">
        <v>11058</v>
      </c>
      <c r="G44" s="256" t="s">
        <v>814</v>
      </c>
      <c r="H44" s="256" t="s">
        <v>814</v>
      </c>
      <c r="I44" s="265" t="s">
        <v>11059</v>
      </c>
      <c r="J44" s="256" t="s">
        <v>11060</v>
      </c>
      <c r="K44" s="264" t="s">
        <v>11061</v>
      </c>
      <c r="L44" s="254" t="s">
        <v>10927</v>
      </c>
      <c r="M44" s="6" t="s">
        <v>11104</v>
      </c>
      <c r="N44" s="30" t="s">
        <v>814</v>
      </c>
      <c r="O44" s="30" t="s">
        <v>814</v>
      </c>
      <c r="P44" s="30" t="s">
        <v>11090</v>
      </c>
      <c r="Q44" s="254" t="s">
        <v>8580</v>
      </c>
      <c r="R44" s="246" t="s">
        <v>11105</v>
      </c>
    </row>
    <row r="45" customFormat="false" ht="29.25" hidden="false" customHeight="true" outlineLevel="0" collapsed="false">
      <c r="A45" s="256" t="s">
        <v>9023</v>
      </c>
      <c r="B45" s="256" t="s">
        <v>7366</v>
      </c>
      <c r="C45" s="264" t="s">
        <v>11106</v>
      </c>
      <c r="D45" s="256" t="s">
        <v>9024</v>
      </c>
      <c r="E45" s="265" t="s">
        <v>11057</v>
      </c>
      <c r="F45" s="265" t="s">
        <v>11058</v>
      </c>
      <c r="G45" s="256" t="s">
        <v>814</v>
      </c>
      <c r="H45" s="256" t="s">
        <v>814</v>
      </c>
      <c r="I45" s="265" t="s">
        <v>11059</v>
      </c>
      <c r="J45" s="256" t="s">
        <v>11060</v>
      </c>
      <c r="K45" s="264" t="s">
        <v>11061</v>
      </c>
      <c r="L45" s="254" t="s">
        <v>10927</v>
      </c>
      <c r="M45" s="6" t="s">
        <v>11107</v>
      </c>
      <c r="N45" s="30" t="s">
        <v>814</v>
      </c>
      <c r="O45" s="30" t="s">
        <v>814</v>
      </c>
      <c r="P45" s="30" t="s">
        <v>11062</v>
      </c>
      <c r="Q45" s="254" t="s">
        <v>8580</v>
      </c>
      <c r="R45" s="246" t="s">
        <v>11069</v>
      </c>
    </row>
    <row r="46" customFormat="false" ht="29.25" hidden="false" customHeight="true" outlineLevel="0" collapsed="false">
      <c r="A46" s="256" t="s">
        <v>9033</v>
      </c>
      <c r="B46" s="256" t="s">
        <v>7366</v>
      </c>
      <c r="C46" s="264" t="s">
        <v>11108</v>
      </c>
      <c r="D46" s="256" t="s">
        <v>9034</v>
      </c>
      <c r="E46" s="265" t="s">
        <v>11057</v>
      </c>
      <c r="F46" s="265" t="s">
        <v>11058</v>
      </c>
      <c r="G46" s="256" t="s">
        <v>814</v>
      </c>
      <c r="H46" s="256" t="s">
        <v>814</v>
      </c>
      <c r="I46" s="265" t="s">
        <v>11059</v>
      </c>
      <c r="J46" s="256" t="s">
        <v>11060</v>
      </c>
      <c r="K46" s="264" t="s">
        <v>11061</v>
      </c>
      <c r="L46" s="254" t="s">
        <v>10927</v>
      </c>
      <c r="M46" s="6" t="s">
        <v>11109</v>
      </c>
      <c r="N46" s="30" t="s">
        <v>814</v>
      </c>
      <c r="O46" s="30" t="s">
        <v>814</v>
      </c>
      <c r="P46" s="30" t="s">
        <v>11090</v>
      </c>
      <c r="Q46" s="254" t="s">
        <v>8580</v>
      </c>
      <c r="R46" s="246" t="s">
        <v>11069</v>
      </c>
    </row>
    <row r="47" customFormat="false" ht="54.75" hidden="false" customHeight="true" outlineLevel="0" collapsed="false">
      <c r="A47" s="256" t="s">
        <v>9097</v>
      </c>
      <c r="B47" s="256" t="s">
        <v>7366</v>
      </c>
      <c r="C47" s="264" t="s">
        <v>11110</v>
      </c>
      <c r="D47" s="256" t="s">
        <v>4926</v>
      </c>
      <c r="E47" s="265" t="s">
        <v>11057</v>
      </c>
      <c r="F47" s="265" t="s">
        <v>11058</v>
      </c>
      <c r="G47" s="256" t="s">
        <v>814</v>
      </c>
      <c r="H47" s="256" t="s">
        <v>814</v>
      </c>
      <c r="I47" s="265" t="s">
        <v>11059</v>
      </c>
      <c r="J47" s="256" t="s">
        <v>11060</v>
      </c>
      <c r="K47" s="264" t="s">
        <v>11061</v>
      </c>
      <c r="L47" s="254" t="s">
        <v>10927</v>
      </c>
      <c r="M47" s="6" t="s">
        <v>11111</v>
      </c>
      <c r="N47" s="30" t="s">
        <v>814</v>
      </c>
      <c r="O47" s="30" t="s">
        <v>814</v>
      </c>
      <c r="P47" s="30" t="s">
        <v>11062</v>
      </c>
      <c r="Q47" s="254" t="s">
        <v>8580</v>
      </c>
    </row>
    <row r="48" customFormat="false" ht="168" hidden="false" customHeight="true" outlineLevel="0" collapsed="false">
      <c r="A48" s="256" t="s">
        <v>9126</v>
      </c>
      <c r="B48" s="256" t="s">
        <v>7366</v>
      </c>
      <c r="C48" s="264" t="s">
        <v>11112</v>
      </c>
      <c r="D48" s="256" t="s">
        <v>9121</v>
      </c>
      <c r="E48" s="265" t="s">
        <v>11057</v>
      </c>
      <c r="F48" s="265" t="s">
        <v>11058</v>
      </c>
      <c r="G48" s="256" t="s">
        <v>814</v>
      </c>
      <c r="H48" s="256" t="s">
        <v>814</v>
      </c>
      <c r="I48" s="265" t="s">
        <v>11059</v>
      </c>
      <c r="J48" s="256" t="s">
        <v>11060</v>
      </c>
      <c r="K48" s="264" t="s">
        <v>11061</v>
      </c>
      <c r="L48" s="254" t="s">
        <v>10927</v>
      </c>
      <c r="M48" s="6" t="s">
        <v>11113</v>
      </c>
      <c r="N48" s="30" t="s">
        <v>814</v>
      </c>
      <c r="O48" s="30" t="s">
        <v>814</v>
      </c>
      <c r="P48" s="30" t="s">
        <v>11062</v>
      </c>
      <c r="Q48" s="254" t="s">
        <v>8580</v>
      </c>
    </row>
    <row r="49" customFormat="false" ht="40.5" hidden="false" customHeight="true" outlineLevel="0" collapsed="false">
      <c r="A49" s="256" t="s">
        <v>11114</v>
      </c>
      <c r="B49" s="256" t="s">
        <v>7366</v>
      </c>
      <c r="C49" s="264" t="s">
        <v>11115</v>
      </c>
      <c r="D49" s="256" t="s">
        <v>9202</v>
      </c>
      <c r="E49" s="265" t="s">
        <v>11057</v>
      </c>
      <c r="F49" s="265" t="s">
        <v>11058</v>
      </c>
      <c r="G49" s="256" t="s">
        <v>814</v>
      </c>
      <c r="H49" s="256" t="s">
        <v>814</v>
      </c>
      <c r="I49" s="265" t="s">
        <v>11059</v>
      </c>
      <c r="J49" s="256" t="s">
        <v>11060</v>
      </c>
      <c r="K49" s="264" t="s">
        <v>11061</v>
      </c>
      <c r="L49" s="254" t="s">
        <v>10927</v>
      </c>
      <c r="M49" s="6" t="s">
        <v>10934</v>
      </c>
      <c r="N49" s="30" t="s">
        <v>814</v>
      </c>
      <c r="O49" s="30" t="s">
        <v>814</v>
      </c>
      <c r="P49" s="30" t="s">
        <v>11116</v>
      </c>
      <c r="Q49" s="254" t="s">
        <v>8580</v>
      </c>
      <c r="R49" s="246" t="s">
        <v>11117</v>
      </c>
    </row>
    <row r="50" customFormat="false" ht="29.25" hidden="false" customHeight="true" outlineLevel="0" collapsed="false">
      <c r="A50" s="256" t="s">
        <v>11118</v>
      </c>
      <c r="B50" s="256" t="s">
        <v>7366</v>
      </c>
      <c r="C50" s="264" t="s">
        <v>11119</v>
      </c>
      <c r="D50" s="256" t="s">
        <v>9220</v>
      </c>
      <c r="E50" s="265" t="s">
        <v>11057</v>
      </c>
      <c r="F50" s="265" t="s">
        <v>11058</v>
      </c>
      <c r="G50" s="256" t="s">
        <v>814</v>
      </c>
      <c r="H50" s="256" t="s">
        <v>814</v>
      </c>
      <c r="I50" s="265" t="s">
        <v>11059</v>
      </c>
      <c r="J50" s="256" t="s">
        <v>11060</v>
      </c>
      <c r="K50" s="264" t="s">
        <v>11061</v>
      </c>
      <c r="L50" s="254" t="s">
        <v>10927</v>
      </c>
      <c r="M50" s="6" t="s">
        <v>6666</v>
      </c>
      <c r="N50" s="30" t="s">
        <v>814</v>
      </c>
      <c r="O50" s="30" t="s">
        <v>814</v>
      </c>
      <c r="P50" s="30" t="s">
        <v>11116</v>
      </c>
      <c r="Q50" s="254" t="s">
        <v>8687</v>
      </c>
      <c r="R50" s="246" t="s">
        <v>11063</v>
      </c>
    </row>
    <row r="51" customFormat="false" ht="29.25" hidden="false" customHeight="true" outlineLevel="0" collapsed="false">
      <c r="A51" s="256" t="s">
        <v>9230</v>
      </c>
      <c r="B51" s="256" t="s">
        <v>7366</v>
      </c>
      <c r="C51" s="264" t="s">
        <v>11120</v>
      </c>
      <c r="D51" s="256" t="s">
        <v>9231</v>
      </c>
      <c r="E51" s="265" t="s">
        <v>11057</v>
      </c>
      <c r="F51" s="265" t="s">
        <v>11058</v>
      </c>
      <c r="G51" s="256" t="s">
        <v>814</v>
      </c>
      <c r="H51" s="256" t="s">
        <v>814</v>
      </c>
      <c r="I51" s="265" t="s">
        <v>11059</v>
      </c>
      <c r="J51" s="256" t="s">
        <v>11060</v>
      </c>
      <c r="K51" s="264" t="s">
        <v>11061</v>
      </c>
      <c r="L51" s="254" t="s">
        <v>10927</v>
      </c>
      <c r="M51" s="6" t="s">
        <v>4041</v>
      </c>
      <c r="N51" s="30" t="s">
        <v>814</v>
      </c>
      <c r="O51" s="30" t="s">
        <v>814</v>
      </c>
      <c r="P51" s="30" t="s">
        <v>11090</v>
      </c>
      <c r="Q51" s="254" t="s">
        <v>8580</v>
      </c>
      <c r="R51" s="246" t="s">
        <v>11063</v>
      </c>
    </row>
    <row r="52" customFormat="false" ht="29.25" hidden="false" customHeight="true" outlineLevel="0" collapsed="false">
      <c r="A52" s="256" t="s">
        <v>9242</v>
      </c>
      <c r="B52" s="256" t="s">
        <v>7366</v>
      </c>
      <c r="C52" s="264" t="s">
        <v>11121</v>
      </c>
      <c r="D52" s="256" t="s">
        <v>9243</v>
      </c>
      <c r="E52" s="265" t="s">
        <v>11057</v>
      </c>
      <c r="F52" s="265" t="s">
        <v>11058</v>
      </c>
      <c r="G52" s="256" t="s">
        <v>814</v>
      </c>
      <c r="H52" s="256" t="s">
        <v>814</v>
      </c>
      <c r="I52" s="265" t="s">
        <v>11059</v>
      </c>
      <c r="J52" s="256" t="s">
        <v>11060</v>
      </c>
      <c r="K52" s="264" t="s">
        <v>11061</v>
      </c>
      <c r="L52" s="254" t="s">
        <v>10927</v>
      </c>
      <c r="M52" s="6" t="s">
        <v>9234</v>
      </c>
      <c r="N52" s="30" t="s">
        <v>814</v>
      </c>
      <c r="O52" s="30" t="s">
        <v>814</v>
      </c>
      <c r="P52" s="30" t="s">
        <v>11090</v>
      </c>
      <c r="Q52" s="254" t="s">
        <v>8580</v>
      </c>
      <c r="R52" s="246" t="s">
        <v>11063</v>
      </c>
    </row>
    <row r="53" customFormat="false" ht="29.25" hidden="false" customHeight="true" outlineLevel="0" collapsed="false">
      <c r="A53" s="256" t="s">
        <v>11122</v>
      </c>
      <c r="B53" s="256" t="s">
        <v>7366</v>
      </c>
      <c r="C53" s="264" t="s">
        <v>11123</v>
      </c>
      <c r="D53" s="256" t="s">
        <v>9251</v>
      </c>
      <c r="E53" s="265" t="s">
        <v>11057</v>
      </c>
      <c r="F53" s="265" t="s">
        <v>11058</v>
      </c>
      <c r="G53" s="256" t="s">
        <v>814</v>
      </c>
      <c r="H53" s="256" t="s">
        <v>814</v>
      </c>
      <c r="I53" s="265" t="s">
        <v>11059</v>
      </c>
      <c r="J53" s="256" t="s">
        <v>11060</v>
      </c>
      <c r="K53" s="264" t="s">
        <v>11061</v>
      </c>
      <c r="L53" s="254" t="s">
        <v>10927</v>
      </c>
      <c r="M53" s="6" t="s">
        <v>10953</v>
      </c>
      <c r="N53" s="30" t="s">
        <v>814</v>
      </c>
      <c r="O53" s="30" t="s">
        <v>814</v>
      </c>
      <c r="P53" s="30" t="s">
        <v>11116</v>
      </c>
      <c r="Q53" s="254" t="s">
        <v>8580</v>
      </c>
      <c r="R53" s="246" t="s">
        <v>11105</v>
      </c>
    </row>
    <row r="54" customFormat="false" ht="40.5" hidden="false" customHeight="true" outlineLevel="0" collapsed="false">
      <c r="A54" s="256" t="s">
        <v>9264</v>
      </c>
      <c r="B54" s="256" t="s">
        <v>7366</v>
      </c>
      <c r="C54" s="264" t="s">
        <v>11124</v>
      </c>
      <c r="D54" s="256" t="s">
        <v>1211</v>
      </c>
      <c r="E54" s="265" t="s">
        <v>11057</v>
      </c>
      <c r="F54" s="265" t="s">
        <v>11058</v>
      </c>
      <c r="G54" s="256" t="s">
        <v>814</v>
      </c>
      <c r="H54" s="256" t="s">
        <v>814</v>
      </c>
      <c r="I54" s="265" t="s">
        <v>11059</v>
      </c>
      <c r="J54" s="256" t="s">
        <v>11060</v>
      </c>
      <c r="K54" s="264" t="s">
        <v>11061</v>
      </c>
      <c r="L54" s="254" t="s">
        <v>10927</v>
      </c>
      <c r="M54" s="6" t="s">
        <v>11125</v>
      </c>
      <c r="N54" s="30" t="s">
        <v>814</v>
      </c>
      <c r="O54" s="30" t="s">
        <v>814</v>
      </c>
      <c r="P54" s="30" t="s">
        <v>11062</v>
      </c>
      <c r="Q54" s="254" t="s">
        <v>8580</v>
      </c>
      <c r="R54" s="246" t="s">
        <v>11117</v>
      </c>
    </row>
    <row r="55" customFormat="false" ht="29.25" hidden="false" customHeight="true" outlineLevel="0" collapsed="false">
      <c r="A55" s="256" t="s">
        <v>11126</v>
      </c>
      <c r="B55" s="256" t="s">
        <v>7366</v>
      </c>
      <c r="C55" s="264" t="s">
        <v>11127</v>
      </c>
      <c r="D55" s="256" t="s">
        <v>9280</v>
      </c>
      <c r="E55" s="265" t="s">
        <v>11057</v>
      </c>
      <c r="F55" s="265" t="s">
        <v>11058</v>
      </c>
      <c r="G55" s="256" t="s">
        <v>814</v>
      </c>
      <c r="H55" s="256" t="s">
        <v>814</v>
      </c>
      <c r="I55" s="265" t="s">
        <v>11059</v>
      </c>
      <c r="J55" s="256" t="s">
        <v>11060</v>
      </c>
      <c r="K55" s="264" t="s">
        <v>11061</v>
      </c>
      <c r="L55" s="254" t="s">
        <v>10927</v>
      </c>
      <c r="M55" s="6" t="s">
        <v>6230</v>
      </c>
      <c r="N55" s="30" t="s">
        <v>814</v>
      </c>
      <c r="O55" s="30" t="s">
        <v>814</v>
      </c>
      <c r="P55" s="30" t="s">
        <v>11116</v>
      </c>
      <c r="Q55" s="254" t="s">
        <v>8580</v>
      </c>
      <c r="R55" s="246" t="s">
        <v>11063</v>
      </c>
    </row>
    <row r="56" customFormat="false" ht="29.25" hidden="false" customHeight="true" outlineLevel="0" collapsed="false">
      <c r="A56" s="256" t="s">
        <v>11128</v>
      </c>
      <c r="B56" s="256" t="s">
        <v>7366</v>
      </c>
      <c r="C56" s="264" t="s">
        <v>11129</v>
      </c>
      <c r="D56" s="256" t="s">
        <v>9290</v>
      </c>
      <c r="E56" s="265" t="s">
        <v>11057</v>
      </c>
      <c r="F56" s="265" t="s">
        <v>11058</v>
      </c>
      <c r="G56" s="256" t="s">
        <v>814</v>
      </c>
      <c r="H56" s="256" t="s">
        <v>814</v>
      </c>
      <c r="I56" s="265" t="s">
        <v>11059</v>
      </c>
      <c r="J56" s="256" t="s">
        <v>11060</v>
      </c>
      <c r="K56" s="264" t="s">
        <v>11061</v>
      </c>
      <c r="L56" s="254" t="s">
        <v>10927</v>
      </c>
      <c r="M56" s="6" t="s">
        <v>9283</v>
      </c>
      <c r="N56" s="30" t="s">
        <v>814</v>
      </c>
      <c r="O56" s="30" t="s">
        <v>814</v>
      </c>
      <c r="P56" s="30" t="s">
        <v>11116</v>
      </c>
      <c r="Q56" s="254" t="s">
        <v>8580</v>
      </c>
      <c r="R56" s="246" t="s">
        <v>11063</v>
      </c>
    </row>
    <row r="57" customFormat="false" ht="29.25" hidden="false" customHeight="true" outlineLevel="0" collapsed="false">
      <c r="A57" s="256" t="s">
        <v>11130</v>
      </c>
      <c r="B57" s="256" t="s">
        <v>7366</v>
      </c>
      <c r="C57" s="264" t="s">
        <v>11131</v>
      </c>
      <c r="D57" s="256" t="s">
        <v>9295</v>
      </c>
      <c r="E57" s="265" t="s">
        <v>11057</v>
      </c>
      <c r="F57" s="265" t="s">
        <v>11058</v>
      </c>
      <c r="G57" s="256" t="s">
        <v>814</v>
      </c>
      <c r="H57" s="256" t="s">
        <v>814</v>
      </c>
      <c r="I57" s="265" t="s">
        <v>11059</v>
      </c>
      <c r="J57" s="256" t="s">
        <v>11060</v>
      </c>
      <c r="K57" s="264" t="s">
        <v>11061</v>
      </c>
      <c r="L57" s="254" t="s">
        <v>10927</v>
      </c>
      <c r="M57" s="6" t="s">
        <v>11132</v>
      </c>
      <c r="N57" s="30" t="s">
        <v>814</v>
      </c>
      <c r="O57" s="30" t="s">
        <v>814</v>
      </c>
      <c r="P57" s="30" t="s">
        <v>11090</v>
      </c>
      <c r="Q57" s="254" t="s">
        <v>8580</v>
      </c>
      <c r="R57" s="246" t="s">
        <v>11069</v>
      </c>
    </row>
    <row r="58" customFormat="false" ht="29.25" hidden="false" customHeight="true" outlineLevel="0" collapsed="false">
      <c r="A58" s="256" t="s">
        <v>11133</v>
      </c>
      <c r="B58" s="256" t="s">
        <v>7366</v>
      </c>
      <c r="C58" s="264" t="s">
        <v>11134</v>
      </c>
      <c r="D58" s="256" t="s">
        <v>9304</v>
      </c>
      <c r="E58" s="265" t="s">
        <v>11057</v>
      </c>
      <c r="F58" s="265" t="s">
        <v>11058</v>
      </c>
      <c r="G58" s="256" t="s">
        <v>814</v>
      </c>
      <c r="H58" s="256" t="s">
        <v>814</v>
      </c>
      <c r="I58" s="265" t="s">
        <v>11059</v>
      </c>
      <c r="J58" s="256" t="s">
        <v>11060</v>
      </c>
      <c r="K58" s="264" t="s">
        <v>11061</v>
      </c>
      <c r="L58" s="254" t="s">
        <v>10927</v>
      </c>
      <c r="M58" s="6" t="s">
        <v>11135</v>
      </c>
      <c r="N58" s="30" t="s">
        <v>814</v>
      </c>
      <c r="O58" s="30" t="s">
        <v>814</v>
      </c>
      <c r="P58" s="30" t="s">
        <v>11116</v>
      </c>
      <c r="Q58" s="254" t="s">
        <v>8580</v>
      </c>
      <c r="R58" s="246" t="s">
        <v>11069</v>
      </c>
    </row>
    <row r="59" customFormat="false" ht="29.25" hidden="false" customHeight="true" outlineLevel="0" collapsed="false">
      <c r="A59" s="256" t="s">
        <v>9383</v>
      </c>
      <c r="B59" s="256" t="s">
        <v>7366</v>
      </c>
      <c r="C59" s="264" t="s">
        <v>11136</v>
      </c>
      <c r="D59" s="256" t="s">
        <v>519</v>
      </c>
      <c r="E59" s="265" t="s">
        <v>11057</v>
      </c>
      <c r="F59" s="265" t="s">
        <v>11058</v>
      </c>
      <c r="G59" s="256" t="s">
        <v>814</v>
      </c>
      <c r="H59" s="256" t="s">
        <v>814</v>
      </c>
      <c r="I59" s="265" t="s">
        <v>11059</v>
      </c>
      <c r="J59" s="256" t="s">
        <v>11060</v>
      </c>
      <c r="K59" s="264" t="s">
        <v>11061</v>
      </c>
      <c r="L59" s="254" t="s">
        <v>10927</v>
      </c>
      <c r="M59" s="6" t="s">
        <v>11137</v>
      </c>
      <c r="N59" s="30" t="s">
        <v>814</v>
      </c>
      <c r="O59" s="30" t="s">
        <v>814</v>
      </c>
      <c r="P59" s="30" t="s">
        <v>11116</v>
      </c>
      <c r="Q59" s="254" t="s">
        <v>8580</v>
      </c>
      <c r="R59" s="246" t="s">
        <v>11105</v>
      </c>
    </row>
    <row r="60" customFormat="false" ht="43.5" hidden="false" customHeight="true" outlineLevel="0" collapsed="false">
      <c r="A60" s="256" t="s">
        <v>9398</v>
      </c>
      <c r="B60" s="256" t="s">
        <v>7366</v>
      </c>
      <c r="C60" s="264" t="s">
        <v>11138</v>
      </c>
      <c r="D60" s="256" t="s">
        <v>518</v>
      </c>
      <c r="E60" s="265" t="s">
        <v>11057</v>
      </c>
      <c r="F60" s="265" t="s">
        <v>11058</v>
      </c>
      <c r="G60" s="256" t="s">
        <v>814</v>
      </c>
      <c r="H60" s="256" t="s">
        <v>814</v>
      </c>
      <c r="I60" s="265" t="s">
        <v>11059</v>
      </c>
      <c r="J60" s="256" t="s">
        <v>11060</v>
      </c>
      <c r="K60" s="264" t="s">
        <v>11061</v>
      </c>
      <c r="L60" s="254" t="s">
        <v>10927</v>
      </c>
      <c r="M60" s="6" t="s">
        <v>11139</v>
      </c>
      <c r="N60" s="30" t="s">
        <v>814</v>
      </c>
      <c r="O60" s="30" t="s">
        <v>814</v>
      </c>
      <c r="P60" s="30" t="s">
        <v>11116</v>
      </c>
      <c r="Q60" s="254" t="s">
        <v>8580</v>
      </c>
      <c r="R60" s="246" t="s">
        <v>11140</v>
      </c>
    </row>
    <row r="61" customFormat="false" ht="43.5" hidden="false" customHeight="true" outlineLevel="0" collapsed="false">
      <c r="A61" s="256" t="s">
        <v>9433</v>
      </c>
      <c r="B61" s="256" t="s">
        <v>7366</v>
      </c>
      <c r="C61" s="264" t="s">
        <v>11141</v>
      </c>
      <c r="D61" s="256" t="s">
        <v>517</v>
      </c>
      <c r="E61" s="265" t="s">
        <v>11057</v>
      </c>
      <c r="F61" s="265" t="s">
        <v>11058</v>
      </c>
      <c r="G61" s="256" t="s">
        <v>814</v>
      </c>
      <c r="H61" s="256" t="s">
        <v>814</v>
      </c>
      <c r="I61" s="265" t="s">
        <v>11059</v>
      </c>
      <c r="J61" s="256" t="s">
        <v>11060</v>
      </c>
      <c r="K61" s="264" t="s">
        <v>11061</v>
      </c>
      <c r="L61" s="254" t="s">
        <v>10927</v>
      </c>
      <c r="M61" s="6" t="s">
        <v>11142</v>
      </c>
      <c r="N61" s="30" t="s">
        <v>814</v>
      </c>
      <c r="O61" s="30" t="s">
        <v>814</v>
      </c>
      <c r="P61" s="30" t="s">
        <v>11062</v>
      </c>
      <c r="Q61" s="254" t="s">
        <v>8580</v>
      </c>
      <c r="R61" s="246" t="s">
        <v>11143</v>
      </c>
    </row>
    <row r="62" customFormat="false" ht="29.25" hidden="false" customHeight="true" outlineLevel="0" collapsed="false">
      <c r="A62" s="256" t="s">
        <v>9444</v>
      </c>
      <c r="B62" s="256" t="s">
        <v>7366</v>
      </c>
      <c r="C62" s="264" t="s">
        <v>11144</v>
      </c>
      <c r="D62" s="256" t="s">
        <v>520</v>
      </c>
      <c r="E62" s="265" t="s">
        <v>11057</v>
      </c>
      <c r="F62" s="265" t="s">
        <v>11058</v>
      </c>
      <c r="G62" s="256" t="s">
        <v>814</v>
      </c>
      <c r="H62" s="256" t="s">
        <v>814</v>
      </c>
      <c r="I62" s="265" t="s">
        <v>11059</v>
      </c>
      <c r="J62" s="256" t="s">
        <v>11060</v>
      </c>
      <c r="K62" s="264" t="s">
        <v>11061</v>
      </c>
      <c r="L62" s="254" t="s">
        <v>10927</v>
      </c>
      <c r="M62" s="6" t="s">
        <v>11145</v>
      </c>
      <c r="N62" s="30" t="s">
        <v>814</v>
      </c>
      <c r="O62" s="30" t="s">
        <v>814</v>
      </c>
      <c r="P62" s="30" t="s">
        <v>11116</v>
      </c>
      <c r="Q62" s="254" t="s">
        <v>8580</v>
      </c>
      <c r="R62" s="246" t="s">
        <v>11069</v>
      </c>
    </row>
    <row r="63" customFormat="false" ht="29.25" hidden="false" customHeight="true" outlineLevel="0" collapsed="false">
      <c r="A63" s="256" t="s">
        <v>9454</v>
      </c>
      <c r="B63" s="256" t="s">
        <v>7366</v>
      </c>
      <c r="C63" s="264" t="s">
        <v>11146</v>
      </c>
      <c r="D63" s="256" t="s">
        <v>9455</v>
      </c>
      <c r="E63" s="265" t="s">
        <v>11057</v>
      </c>
      <c r="F63" s="265" t="s">
        <v>11058</v>
      </c>
      <c r="G63" s="256" t="s">
        <v>814</v>
      </c>
      <c r="H63" s="256" t="s">
        <v>814</v>
      </c>
      <c r="I63" s="265" t="s">
        <v>11059</v>
      </c>
      <c r="J63" s="256" t="s">
        <v>11060</v>
      </c>
      <c r="K63" s="264" t="s">
        <v>11061</v>
      </c>
      <c r="L63" s="254" t="s">
        <v>10927</v>
      </c>
      <c r="M63" s="6" t="s">
        <v>11147</v>
      </c>
      <c r="N63" s="30" t="s">
        <v>814</v>
      </c>
      <c r="O63" s="30" t="s">
        <v>814</v>
      </c>
      <c r="P63" s="30" t="s">
        <v>11116</v>
      </c>
      <c r="Q63" s="254" t="s">
        <v>8580</v>
      </c>
      <c r="R63" s="246" t="s">
        <v>11069</v>
      </c>
    </row>
    <row r="64" customFormat="false" ht="43.5" hidden="false" customHeight="true" outlineLevel="0" collapsed="false">
      <c r="A64" s="256" t="s">
        <v>9466</v>
      </c>
      <c r="B64" s="256" t="s">
        <v>7366</v>
      </c>
      <c r="C64" s="264" t="s">
        <v>11148</v>
      </c>
      <c r="D64" s="256" t="s">
        <v>9467</v>
      </c>
      <c r="E64" s="265" t="s">
        <v>11057</v>
      </c>
      <c r="F64" s="265" t="s">
        <v>11058</v>
      </c>
      <c r="G64" s="256" t="s">
        <v>814</v>
      </c>
      <c r="H64" s="256" t="s">
        <v>814</v>
      </c>
      <c r="I64" s="265" t="s">
        <v>11059</v>
      </c>
      <c r="J64" s="256" t="s">
        <v>11060</v>
      </c>
      <c r="K64" s="264" t="s">
        <v>11061</v>
      </c>
      <c r="L64" s="254" t="s">
        <v>10927</v>
      </c>
      <c r="M64" s="6" t="s">
        <v>11149</v>
      </c>
      <c r="N64" s="30" t="s">
        <v>814</v>
      </c>
      <c r="O64" s="30" t="s">
        <v>814</v>
      </c>
      <c r="P64" s="30" t="s">
        <v>11116</v>
      </c>
      <c r="Q64" s="254" t="s">
        <v>8687</v>
      </c>
      <c r="R64" s="246" t="s">
        <v>11143</v>
      </c>
    </row>
    <row r="65" customFormat="false" ht="29.25" hidden="false" customHeight="true" outlineLevel="0" collapsed="false">
      <c r="A65" s="256" t="s">
        <v>9491</v>
      </c>
      <c r="B65" s="256" t="s">
        <v>7366</v>
      </c>
      <c r="C65" s="264" t="s">
        <v>11150</v>
      </c>
      <c r="D65" s="256" t="s">
        <v>9492</v>
      </c>
      <c r="E65" s="265" t="s">
        <v>11057</v>
      </c>
      <c r="F65" s="265" t="s">
        <v>11058</v>
      </c>
      <c r="G65" s="256" t="s">
        <v>814</v>
      </c>
      <c r="H65" s="256" t="s">
        <v>814</v>
      </c>
      <c r="I65" s="265" t="s">
        <v>11059</v>
      </c>
      <c r="J65" s="256" t="s">
        <v>11060</v>
      </c>
      <c r="K65" s="264" t="s">
        <v>11061</v>
      </c>
      <c r="L65" s="254" t="s">
        <v>10927</v>
      </c>
      <c r="M65" s="6" t="s">
        <v>9484</v>
      </c>
      <c r="N65" s="30" t="s">
        <v>814</v>
      </c>
      <c r="O65" s="30" t="s">
        <v>814</v>
      </c>
      <c r="P65" s="30" t="s">
        <v>11062</v>
      </c>
      <c r="Q65" s="254" t="s">
        <v>8580</v>
      </c>
      <c r="R65" s="246" t="s">
        <v>11063</v>
      </c>
    </row>
    <row r="66" customFormat="false" ht="29.25" hidden="false" customHeight="true" outlineLevel="0" collapsed="false">
      <c r="A66" s="256" t="s">
        <v>9502</v>
      </c>
      <c r="B66" s="256" t="s">
        <v>7366</v>
      </c>
      <c r="C66" s="264" t="s">
        <v>11151</v>
      </c>
      <c r="D66" s="256" t="s">
        <v>9503</v>
      </c>
      <c r="E66" s="265" t="s">
        <v>11057</v>
      </c>
      <c r="F66" s="265" t="s">
        <v>11058</v>
      </c>
      <c r="G66" s="256" t="s">
        <v>814</v>
      </c>
      <c r="H66" s="256" t="s">
        <v>814</v>
      </c>
      <c r="I66" s="265" t="s">
        <v>11059</v>
      </c>
      <c r="J66" s="256" t="s">
        <v>11060</v>
      </c>
      <c r="K66" s="264" t="s">
        <v>11061</v>
      </c>
      <c r="L66" s="254" t="s">
        <v>10927</v>
      </c>
      <c r="M66" s="6" t="s">
        <v>11152</v>
      </c>
      <c r="N66" s="30" t="s">
        <v>814</v>
      </c>
      <c r="O66" s="30" t="s">
        <v>814</v>
      </c>
      <c r="P66" s="30" t="s">
        <v>11090</v>
      </c>
      <c r="Q66" s="254" t="s">
        <v>8580</v>
      </c>
      <c r="R66" s="246" t="s">
        <v>11105</v>
      </c>
    </row>
    <row r="67" customFormat="false" ht="29.25" hidden="false" customHeight="true" outlineLevel="0" collapsed="false">
      <c r="A67" s="256" t="s">
        <v>11153</v>
      </c>
      <c r="B67" s="256" t="s">
        <v>7366</v>
      </c>
      <c r="C67" s="264" t="s">
        <v>11154</v>
      </c>
      <c r="D67" s="256" t="s">
        <v>4912</v>
      </c>
      <c r="E67" s="265" t="s">
        <v>11057</v>
      </c>
      <c r="F67" s="265" t="s">
        <v>11058</v>
      </c>
      <c r="G67" s="256" t="s">
        <v>814</v>
      </c>
      <c r="H67" s="256" t="s">
        <v>814</v>
      </c>
      <c r="I67" s="265" t="s">
        <v>11059</v>
      </c>
      <c r="J67" s="256" t="s">
        <v>11060</v>
      </c>
      <c r="K67" s="264" t="s">
        <v>11061</v>
      </c>
      <c r="L67" s="254" t="s">
        <v>10927</v>
      </c>
      <c r="M67" s="6" t="s">
        <v>11155</v>
      </c>
      <c r="N67" s="30" t="s">
        <v>814</v>
      </c>
      <c r="O67" s="30" t="s">
        <v>814</v>
      </c>
      <c r="P67" s="30" t="s">
        <v>11090</v>
      </c>
      <c r="Q67" s="254" t="s">
        <v>8580</v>
      </c>
      <c r="R67" s="246" t="s">
        <v>11069</v>
      </c>
    </row>
    <row r="68" customFormat="false" ht="57.75" hidden="false" customHeight="true" outlineLevel="0" collapsed="false">
      <c r="A68" s="256" t="s">
        <v>9530</v>
      </c>
      <c r="B68" s="256" t="s">
        <v>7366</v>
      </c>
      <c r="C68" s="264" t="s">
        <v>11156</v>
      </c>
      <c r="D68" s="256" t="s">
        <v>9531</v>
      </c>
      <c r="E68" s="265" t="s">
        <v>11057</v>
      </c>
      <c r="F68" s="265" t="s">
        <v>11058</v>
      </c>
      <c r="G68" s="256" t="s">
        <v>814</v>
      </c>
      <c r="H68" s="256" t="s">
        <v>814</v>
      </c>
      <c r="I68" s="265" t="s">
        <v>11059</v>
      </c>
      <c r="J68" s="256" t="s">
        <v>11060</v>
      </c>
      <c r="K68" s="264" t="s">
        <v>11061</v>
      </c>
      <c r="L68" s="254" t="s">
        <v>10927</v>
      </c>
      <c r="M68" s="6" t="s">
        <v>11157</v>
      </c>
      <c r="N68" s="30" t="s">
        <v>814</v>
      </c>
      <c r="O68" s="30" t="s">
        <v>814</v>
      </c>
      <c r="P68" s="30" t="s">
        <v>11116</v>
      </c>
      <c r="Q68" s="254" t="s">
        <v>8687</v>
      </c>
      <c r="R68" s="246" t="s">
        <v>11158</v>
      </c>
    </row>
    <row r="69" customFormat="false" ht="29.25" hidden="false" customHeight="true" outlineLevel="0" collapsed="false">
      <c r="A69" s="256" t="s">
        <v>11159</v>
      </c>
      <c r="B69" s="256" t="s">
        <v>7366</v>
      </c>
      <c r="C69" s="264" t="s">
        <v>11160</v>
      </c>
      <c r="D69" s="256" t="s">
        <v>9557</v>
      </c>
      <c r="E69" s="265" t="s">
        <v>11057</v>
      </c>
      <c r="F69" s="265" t="s">
        <v>11058</v>
      </c>
      <c r="G69" s="256" t="s">
        <v>814</v>
      </c>
      <c r="H69" s="256" t="s">
        <v>814</v>
      </c>
      <c r="I69" s="265" t="s">
        <v>11059</v>
      </c>
      <c r="J69" s="256" t="s">
        <v>11060</v>
      </c>
      <c r="K69" s="264" t="s">
        <v>11061</v>
      </c>
      <c r="L69" s="254" t="s">
        <v>10927</v>
      </c>
      <c r="M69" s="6" t="s">
        <v>11161</v>
      </c>
      <c r="N69" s="30" t="s">
        <v>814</v>
      </c>
      <c r="O69" s="30" t="s">
        <v>814</v>
      </c>
      <c r="P69" s="30" t="s">
        <v>11062</v>
      </c>
      <c r="Q69" s="254" t="s">
        <v>8580</v>
      </c>
      <c r="R69" s="246" t="s">
        <v>11069</v>
      </c>
    </row>
    <row r="70" customFormat="false" ht="29.25" hidden="false" customHeight="true" outlineLevel="0" collapsed="false">
      <c r="A70" s="256" t="s">
        <v>11162</v>
      </c>
      <c r="B70" s="256" t="s">
        <v>7366</v>
      </c>
      <c r="C70" s="264" t="s">
        <v>11163</v>
      </c>
      <c r="D70" s="256" t="s">
        <v>9571</v>
      </c>
      <c r="E70" s="265" t="s">
        <v>11057</v>
      </c>
      <c r="F70" s="265" t="s">
        <v>11058</v>
      </c>
      <c r="G70" s="256" t="s">
        <v>814</v>
      </c>
      <c r="H70" s="256" t="s">
        <v>814</v>
      </c>
      <c r="I70" s="265" t="s">
        <v>11059</v>
      </c>
      <c r="J70" s="256" t="s">
        <v>11060</v>
      </c>
      <c r="K70" s="264" t="s">
        <v>11061</v>
      </c>
      <c r="L70" s="254" t="s">
        <v>10927</v>
      </c>
      <c r="M70" s="6" t="s">
        <v>10984</v>
      </c>
      <c r="N70" s="30" t="s">
        <v>814</v>
      </c>
      <c r="O70" s="30" t="s">
        <v>814</v>
      </c>
      <c r="P70" s="30" t="s">
        <v>11116</v>
      </c>
      <c r="Q70" s="254" t="s">
        <v>8580</v>
      </c>
      <c r="R70" s="246" t="s">
        <v>11105</v>
      </c>
    </row>
    <row r="71" customFormat="false" ht="83.25" hidden="false" customHeight="true" outlineLevel="0" collapsed="false">
      <c r="A71" s="256" t="s">
        <v>8878</v>
      </c>
      <c r="B71" s="256" t="s">
        <v>7366</v>
      </c>
      <c r="C71" s="264" t="s">
        <v>11164</v>
      </c>
      <c r="D71" s="256" t="s">
        <v>8871</v>
      </c>
      <c r="E71" s="265" t="s">
        <v>11165</v>
      </c>
      <c r="F71" s="265" t="s">
        <v>11058</v>
      </c>
      <c r="G71" s="256" t="s">
        <v>814</v>
      </c>
      <c r="H71" s="256" t="s">
        <v>814</v>
      </c>
      <c r="I71" s="265" t="s">
        <v>11166</v>
      </c>
      <c r="J71" s="256" t="s">
        <v>11060</v>
      </c>
      <c r="K71" s="264" t="s">
        <v>11167</v>
      </c>
      <c r="L71" s="254" t="s">
        <v>10927</v>
      </c>
      <c r="M71" s="6" t="s">
        <v>11168</v>
      </c>
      <c r="N71" s="30" t="s">
        <v>814</v>
      </c>
      <c r="O71" s="30" t="s">
        <v>814</v>
      </c>
      <c r="P71" s="30" t="s">
        <v>11062</v>
      </c>
      <c r="Q71" s="254" t="s">
        <v>11169</v>
      </c>
      <c r="R71" s="246" t="s">
        <v>11170</v>
      </c>
    </row>
    <row r="72" customFormat="false" ht="29.25" hidden="false" customHeight="true" outlineLevel="0" collapsed="false">
      <c r="A72" s="256" t="s">
        <v>9853</v>
      </c>
      <c r="B72" s="256" t="s">
        <v>11171</v>
      </c>
      <c r="C72" s="264" t="s">
        <v>11172</v>
      </c>
      <c r="D72" s="256" t="s">
        <v>9854</v>
      </c>
      <c r="E72" s="265" t="s">
        <v>11057</v>
      </c>
      <c r="F72" s="265" t="s">
        <v>11058</v>
      </c>
      <c r="G72" s="256" t="s">
        <v>814</v>
      </c>
      <c r="H72" s="256" t="s">
        <v>814</v>
      </c>
      <c r="I72" s="265" t="s">
        <v>11059</v>
      </c>
      <c r="J72" s="256" t="s">
        <v>11173</v>
      </c>
      <c r="K72" s="264" t="s">
        <v>11061</v>
      </c>
      <c r="L72" s="254" t="s">
        <v>10927</v>
      </c>
      <c r="M72" s="6" t="s">
        <v>4022</v>
      </c>
      <c r="N72" s="30" t="s">
        <v>814</v>
      </c>
      <c r="O72" s="30" t="s">
        <v>814</v>
      </c>
      <c r="P72" s="30" t="s">
        <v>11062</v>
      </c>
      <c r="Q72" s="254" t="s">
        <v>8580</v>
      </c>
      <c r="R72" s="246" t="s">
        <v>11063</v>
      </c>
    </row>
    <row r="73" customFormat="false" ht="29.25" hidden="false" customHeight="true" outlineLevel="0" collapsed="false">
      <c r="A73" s="256" t="s">
        <v>9863</v>
      </c>
      <c r="B73" s="256" t="s">
        <v>11171</v>
      </c>
      <c r="C73" s="264" t="s">
        <v>11174</v>
      </c>
      <c r="D73" s="256" t="s">
        <v>9864</v>
      </c>
      <c r="E73" s="265" t="s">
        <v>11057</v>
      </c>
      <c r="F73" s="265" t="s">
        <v>11058</v>
      </c>
      <c r="G73" s="256" t="s">
        <v>814</v>
      </c>
      <c r="H73" s="256" t="s">
        <v>814</v>
      </c>
      <c r="I73" s="265" t="s">
        <v>11059</v>
      </c>
      <c r="J73" s="256" t="s">
        <v>11173</v>
      </c>
      <c r="K73" s="264" t="s">
        <v>11061</v>
      </c>
      <c r="L73" s="254" t="s">
        <v>10927</v>
      </c>
      <c r="M73" s="6" t="s">
        <v>4031</v>
      </c>
      <c r="N73" s="30" t="s">
        <v>814</v>
      </c>
      <c r="O73" s="30" t="s">
        <v>814</v>
      </c>
      <c r="P73" s="30" t="s">
        <v>11090</v>
      </c>
      <c r="Q73" s="254" t="s">
        <v>8687</v>
      </c>
      <c r="R73" s="246" t="s">
        <v>11063</v>
      </c>
    </row>
    <row r="74" customFormat="false" ht="29.25" hidden="false" customHeight="true" outlineLevel="0" collapsed="false">
      <c r="A74" s="256" t="s">
        <v>10141</v>
      </c>
      <c r="B74" s="256" t="s">
        <v>11171</v>
      </c>
      <c r="C74" s="264" t="s">
        <v>11175</v>
      </c>
      <c r="D74" s="256" t="s">
        <v>10142</v>
      </c>
      <c r="E74" s="265" t="s">
        <v>11057</v>
      </c>
      <c r="F74" s="265" t="s">
        <v>11058</v>
      </c>
      <c r="G74" s="256" t="s">
        <v>814</v>
      </c>
      <c r="H74" s="256" t="s">
        <v>814</v>
      </c>
      <c r="I74" s="265" t="s">
        <v>11059</v>
      </c>
      <c r="J74" s="256" t="s">
        <v>11173</v>
      </c>
      <c r="K74" s="264" t="s">
        <v>11061</v>
      </c>
      <c r="L74" s="254" t="s">
        <v>10927</v>
      </c>
      <c r="M74" s="6" t="s">
        <v>11037</v>
      </c>
      <c r="N74" s="30" t="s">
        <v>814</v>
      </c>
      <c r="O74" s="30" t="s">
        <v>814</v>
      </c>
      <c r="P74" s="30" t="s">
        <v>11090</v>
      </c>
      <c r="Q74" s="254" t="s">
        <v>8580</v>
      </c>
      <c r="R74" s="246" t="s">
        <v>11069</v>
      </c>
    </row>
    <row r="75" customFormat="false" ht="29.25" hidden="false" customHeight="true" outlineLevel="0" collapsed="false">
      <c r="A75" s="256" t="s">
        <v>10215</v>
      </c>
      <c r="B75" s="256" t="s">
        <v>11171</v>
      </c>
      <c r="C75" s="264" t="s">
        <v>11176</v>
      </c>
      <c r="D75" s="256" t="s">
        <v>10216</v>
      </c>
      <c r="E75" s="265" t="s">
        <v>11057</v>
      </c>
      <c r="F75" s="265" t="s">
        <v>11058</v>
      </c>
      <c r="G75" s="256" t="s">
        <v>814</v>
      </c>
      <c r="H75" s="256" t="s">
        <v>814</v>
      </c>
      <c r="I75" s="265" t="s">
        <v>11059</v>
      </c>
      <c r="J75" s="256" t="s">
        <v>11173</v>
      </c>
      <c r="K75" s="264" t="s">
        <v>11061</v>
      </c>
      <c r="L75" s="254" t="s">
        <v>10927</v>
      </c>
      <c r="M75" s="6" t="s">
        <v>10946</v>
      </c>
      <c r="N75" s="30" t="s">
        <v>814</v>
      </c>
      <c r="O75" s="30" t="s">
        <v>814</v>
      </c>
      <c r="P75" s="30" t="s">
        <v>11116</v>
      </c>
      <c r="Q75" s="254" t="s">
        <v>8687</v>
      </c>
      <c r="R75" s="246" t="s">
        <v>11105</v>
      </c>
    </row>
    <row r="76" customFormat="false" ht="69" hidden="false" customHeight="true" outlineLevel="0" collapsed="false">
      <c r="A76" s="256" t="s">
        <v>9872</v>
      </c>
      <c r="B76" s="256" t="s">
        <v>11171</v>
      </c>
      <c r="C76" s="264" t="s">
        <v>11177</v>
      </c>
      <c r="D76" s="256" t="s">
        <v>9873</v>
      </c>
      <c r="E76" s="265" t="s">
        <v>11057</v>
      </c>
      <c r="F76" s="265" t="s">
        <v>11058</v>
      </c>
      <c r="G76" s="256" t="s">
        <v>814</v>
      </c>
      <c r="H76" s="256" t="s">
        <v>814</v>
      </c>
      <c r="I76" s="265" t="s">
        <v>11059</v>
      </c>
      <c r="J76" s="256" t="s">
        <v>11173</v>
      </c>
      <c r="K76" s="264" t="s">
        <v>11061</v>
      </c>
      <c r="L76" s="254" t="s">
        <v>10927</v>
      </c>
      <c r="M76" s="6" t="s">
        <v>11178</v>
      </c>
      <c r="N76" s="30" t="s">
        <v>814</v>
      </c>
      <c r="O76" s="30" t="s">
        <v>814</v>
      </c>
      <c r="P76" s="30" t="s">
        <v>11116</v>
      </c>
      <c r="Q76" s="254" t="s">
        <v>8580</v>
      </c>
      <c r="R76" s="246" t="s">
        <v>11179</v>
      </c>
    </row>
    <row r="77" customFormat="false" ht="69" hidden="false" customHeight="true" outlineLevel="0" collapsed="false">
      <c r="A77" s="256" t="s">
        <v>9903</v>
      </c>
      <c r="B77" s="256" t="s">
        <v>11171</v>
      </c>
      <c r="C77" s="264" t="s">
        <v>11180</v>
      </c>
      <c r="D77" s="256" t="s">
        <v>9904</v>
      </c>
      <c r="E77" s="265" t="s">
        <v>11057</v>
      </c>
      <c r="F77" s="265" t="s">
        <v>11058</v>
      </c>
      <c r="G77" s="256" t="s">
        <v>814</v>
      </c>
      <c r="H77" s="256" t="s">
        <v>814</v>
      </c>
      <c r="I77" s="265" t="s">
        <v>11059</v>
      </c>
      <c r="J77" s="256" t="s">
        <v>11173</v>
      </c>
      <c r="K77" s="264" t="s">
        <v>11061</v>
      </c>
      <c r="L77" s="254" t="s">
        <v>10927</v>
      </c>
      <c r="M77" s="6" t="s">
        <v>11017</v>
      </c>
      <c r="N77" s="30" t="s">
        <v>814</v>
      </c>
      <c r="O77" s="30" t="s">
        <v>814</v>
      </c>
      <c r="P77" s="30" t="s">
        <v>11090</v>
      </c>
      <c r="Q77" s="254" t="s">
        <v>8580</v>
      </c>
      <c r="R77" s="246" t="s">
        <v>11179</v>
      </c>
    </row>
    <row r="78" customFormat="false" ht="57.75" hidden="false" customHeight="true" outlineLevel="0" collapsed="false">
      <c r="A78" s="256" t="s">
        <v>9938</v>
      </c>
      <c r="B78" s="256" t="s">
        <v>11171</v>
      </c>
      <c r="C78" s="264" t="s">
        <v>11181</v>
      </c>
      <c r="D78" s="256" t="s">
        <v>4963</v>
      </c>
      <c r="E78" s="265" t="s">
        <v>11057</v>
      </c>
      <c r="F78" s="265" t="s">
        <v>11058</v>
      </c>
      <c r="G78" s="256" t="s">
        <v>814</v>
      </c>
      <c r="H78" s="256" t="s">
        <v>814</v>
      </c>
      <c r="I78" s="265" t="s">
        <v>11059</v>
      </c>
      <c r="J78" s="256" t="s">
        <v>11173</v>
      </c>
      <c r="K78" s="264" t="s">
        <v>11061</v>
      </c>
      <c r="L78" s="254" t="s">
        <v>10927</v>
      </c>
      <c r="M78" s="6" t="s">
        <v>10998</v>
      </c>
      <c r="N78" s="30" t="s">
        <v>814</v>
      </c>
      <c r="O78" s="30" t="s">
        <v>814</v>
      </c>
      <c r="P78" s="30" t="s">
        <v>11116</v>
      </c>
      <c r="Q78" s="254" t="s">
        <v>8580</v>
      </c>
      <c r="R78" s="246" t="s">
        <v>11182</v>
      </c>
    </row>
    <row r="79" customFormat="false" ht="43.5" hidden="false" customHeight="true" outlineLevel="0" collapsed="false">
      <c r="A79" s="256" t="s">
        <v>9968</v>
      </c>
      <c r="B79" s="256" t="s">
        <v>11171</v>
      </c>
      <c r="C79" s="264" t="s">
        <v>11183</v>
      </c>
      <c r="D79" s="256" t="s">
        <v>9969</v>
      </c>
      <c r="E79" s="265" t="s">
        <v>11057</v>
      </c>
      <c r="F79" s="265" t="s">
        <v>11058</v>
      </c>
      <c r="G79" s="256" t="s">
        <v>814</v>
      </c>
      <c r="H79" s="256" t="s">
        <v>814</v>
      </c>
      <c r="I79" s="265" t="s">
        <v>11059</v>
      </c>
      <c r="J79" s="256" t="s">
        <v>11173</v>
      </c>
      <c r="K79" s="264" t="s">
        <v>11061</v>
      </c>
      <c r="L79" s="254" t="s">
        <v>10927</v>
      </c>
      <c r="M79" s="6" t="s">
        <v>11184</v>
      </c>
      <c r="N79" s="30" t="s">
        <v>814</v>
      </c>
      <c r="O79" s="30" t="s">
        <v>814</v>
      </c>
      <c r="P79" s="30" t="s">
        <v>11116</v>
      </c>
      <c r="Q79" s="254" t="s">
        <v>8580</v>
      </c>
      <c r="R79" s="246" t="s">
        <v>11185</v>
      </c>
    </row>
    <row r="80" customFormat="false" ht="72" hidden="false" customHeight="true" outlineLevel="0" collapsed="false">
      <c r="A80" s="256" t="s">
        <v>3281</v>
      </c>
      <c r="B80" s="256" t="s">
        <v>11171</v>
      </c>
      <c r="C80" s="264" t="s">
        <v>11186</v>
      </c>
      <c r="D80" s="256" t="s">
        <v>9990</v>
      </c>
      <c r="E80" s="265" t="s">
        <v>11057</v>
      </c>
      <c r="F80" s="265" t="s">
        <v>11058</v>
      </c>
      <c r="G80" s="256" t="s">
        <v>814</v>
      </c>
      <c r="H80" s="256" t="s">
        <v>814</v>
      </c>
      <c r="I80" s="265" t="s">
        <v>11059</v>
      </c>
      <c r="J80" s="256" t="s">
        <v>11173</v>
      </c>
      <c r="K80" s="264" t="s">
        <v>11061</v>
      </c>
      <c r="L80" s="254" t="s">
        <v>10927</v>
      </c>
      <c r="M80" s="6" t="s">
        <v>11022</v>
      </c>
      <c r="N80" s="30" t="s">
        <v>814</v>
      </c>
      <c r="O80" s="30" t="s">
        <v>814</v>
      </c>
      <c r="P80" s="30" t="s">
        <v>11090</v>
      </c>
      <c r="Q80" s="254" t="s">
        <v>8580</v>
      </c>
      <c r="R80" s="246" t="s">
        <v>11187</v>
      </c>
    </row>
    <row r="81" customFormat="false" ht="54.75" hidden="false" customHeight="true" outlineLevel="0" collapsed="false">
      <c r="A81" s="256" t="s">
        <v>10054</v>
      </c>
      <c r="B81" s="256" t="s">
        <v>11171</v>
      </c>
      <c r="C81" s="264" t="s">
        <v>11188</v>
      </c>
      <c r="D81" s="256" t="s">
        <v>10055</v>
      </c>
      <c r="E81" s="265" t="s">
        <v>11057</v>
      </c>
      <c r="F81" s="265" t="s">
        <v>11058</v>
      </c>
      <c r="G81" s="256" t="s">
        <v>814</v>
      </c>
      <c r="H81" s="256" t="s">
        <v>814</v>
      </c>
      <c r="I81" s="265" t="s">
        <v>11059</v>
      </c>
      <c r="J81" s="256" t="s">
        <v>11173</v>
      </c>
      <c r="K81" s="264" t="s">
        <v>11061</v>
      </c>
      <c r="L81" s="254" t="s">
        <v>10927</v>
      </c>
      <c r="M81" s="6" t="s">
        <v>11011</v>
      </c>
      <c r="N81" s="30" t="s">
        <v>814</v>
      </c>
      <c r="O81" s="30" t="s">
        <v>814</v>
      </c>
      <c r="P81" s="30" t="s">
        <v>11090</v>
      </c>
      <c r="Q81" s="254" t="s">
        <v>8687</v>
      </c>
      <c r="R81" s="246" t="s">
        <v>11158</v>
      </c>
    </row>
    <row r="82" customFormat="false" ht="29.25" hidden="false" customHeight="true" outlineLevel="0" collapsed="false">
      <c r="A82" s="256" t="s">
        <v>10086</v>
      </c>
      <c r="B82" s="256" t="s">
        <v>11171</v>
      </c>
      <c r="C82" s="264" t="s">
        <v>11189</v>
      </c>
      <c r="D82" s="256" t="s">
        <v>10081</v>
      </c>
      <c r="E82" s="265" t="s">
        <v>11057</v>
      </c>
      <c r="F82" s="265" t="s">
        <v>11058</v>
      </c>
      <c r="G82" s="256" t="s">
        <v>814</v>
      </c>
      <c r="H82" s="256" t="s">
        <v>814</v>
      </c>
      <c r="I82" s="265" t="s">
        <v>11059</v>
      </c>
      <c r="J82" s="256" t="s">
        <v>11173</v>
      </c>
      <c r="K82" s="264" t="s">
        <v>11061</v>
      </c>
      <c r="L82" s="254" t="s">
        <v>10927</v>
      </c>
      <c r="M82" s="6" t="s">
        <v>11190</v>
      </c>
      <c r="N82" s="30" t="s">
        <v>814</v>
      </c>
      <c r="O82" s="30" t="s">
        <v>814</v>
      </c>
      <c r="P82" s="30" t="s">
        <v>11062</v>
      </c>
      <c r="Q82" s="254" t="s">
        <v>8687</v>
      </c>
      <c r="R82" s="246" t="s">
        <v>11117</v>
      </c>
    </row>
    <row r="83" customFormat="false" ht="43.5" hidden="false" customHeight="true" outlineLevel="0" collapsed="false">
      <c r="A83" s="256" t="s">
        <v>10227</v>
      </c>
      <c r="B83" s="256" t="s">
        <v>11171</v>
      </c>
      <c r="C83" s="264" t="s">
        <v>11191</v>
      </c>
      <c r="D83" s="256" t="s">
        <v>10228</v>
      </c>
      <c r="E83" s="265" t="s">
        <v>11057</v>
      </c>
      <c r="F83" s="265" t="s">
        <v>11058</v>
      </c>
      <c r="G83" s="256" t="s">
        <v>814</v>
      </c>
      <c r="H83" s="256" t="s">
        <v>814</v>
      </c>
      <c r="I83" s="265" t="s">
        <v>11059</v>
      </c>
      <c r="J83" s="256" t="s">
        <v>11173</v>
      </c>
      <c r="K83" s="264" t="s">
        <v>11061</v>
      </c>
      <c r="L83" s="254" t="s">
        <v>10927</v>
      </c>
      <c r="M83" s="6" t="s">
        <v>10991</v>
      </c>
      <c r="N83" s="30" t="s">
        <v>814</v>
      </c>
      <c r="O83" s="30" t="s">
        <v>814</v>
      </c>
      <c r="P83" s="30" t="s">
        <v>11090</v>
      </c>
      <c r="Q83" s="254" t="s">
        <v>8580</v>
      </c>
      <c r="R83" s="246" t="s">
        <v>11185</v>
      </c>
    </row>
    <row r="84" customFormat="false" ht="72" hidden="false" customHeight="true" outlineLevel="0" collapsed="false">
      <c r="A84" s="256" t="s">
        <v>10151</v>
      </c>
      <c r="B84" s="256" t="s">
        <v>11171</v>
      </c>
      <c r="C84" s="264" t="s">
        <v>11192</v>
      </c>
      <c r="D84" s="256" t="s">
        <v>2454</v>
      </c>
      <c r="E84" s="265" t="s">
        <v>11057</v>
      </c>
      <c r="F84" s="265" t="s">
        <v>11058</v>
      </c>
      <c r="G84" s="256" t="s">
        <v>814</v>
      </c>
      <c r="H84" s="256" t="s">
        <v>814</v>
      </c>
      <c r="I84" s="265" t="s">
        <v>11059</v>
      </c>
      <c r="J84" s="256" t="s">
        <v>11173</v>
      </c>
      <c r="K84" s="264" t="s">
        <v>11061</v>
      </c>
      <c r="L84" s="254" t="s">
        <v>10927</v>
      </c>
      <c r="M84" s="6" t="s">
        <v>11031</v>
      </c>
      <c r="N84" s="30" t="s">
        <v>814</v>
      </c>
      <c r="O84" s="30" t="s">
        <v>814</v>
      </c>
      <c r="P84" s="30" t="s">
        <v>11090</v>
      </c>
      <c r="Q84" s="254" t="s">
        <v>8580</v>
      </c>
      <c r="R84" s="246" t="s">
        <v>11193</v>
      </c>
    </row>
    <row r="85" customFormat="false" ht="72" hidden="false" customHeight="true" outlineLevel="0" collapsed="false">
      <c r="A85" s="256" t="s">
        <v>10102</v>
      </c>
      <c r="B85" s="256" t="s">
        <v>11171</v>
      </c>
      <c r="C85" s="264" t="s">
        <v>11194</v>
      </c>
      <c r="D85" s="256" t="s">
        <v>2477</v>
      </c>
      <c r="E85" s="265" t="s">
        <v>11057</v>
      </c>
      <c r="F85" s="265" t="s">
        <v>11058</v>
      </c>
      <c r="G85" s="256" t="s">
        <v>814</v>
      </c>
      <c r="H85" s="256" t="s">
        <v>814</v>
      </c>
      <c r="I85" s="265" t="s">
        <v>11059</v>
      </c>
      <c r="J85" s="256" t="s">
        <v>11173</v>
      </c>
      <c r="K85" s="264" t="s">
        <v>11061</v>
      </c>
      <c r="L85" s="254" t="s">
        <v>10927</v>
      </c>
      <c r="M85" s="6" t="s">
        <v>11043</v>
      </c>
      <c r="N85" s="30" t="s">
        <v>814</v>
      </c>
      <c r="O85" s="30" t="s">
        <v>814</v>
      </c>
      <c r="P85" s="30" t="s">
        <v>11090</v>
      </c>
      <c r="Q85" s="254" t="s">
        <v>8687</v>
      </c>
    </row>
    <row r="86" customFormat="false" ht="29.25" hidden="false" customHeight="true" outlineLevel="0" collapsed="false">
      <c r="A86" s="256" t="s">
        <v>10189</v>
      </c>
      <c r="B86" s="256" t="s">
        <v>11171</v>
      </c>
      <c r="C86" s="264" t="s">
        <v>11195</v>
      </c>
      <c r="D86" s="256" t="s">
        <v>10190</v>
      </c>
      <c r="E86" s="265" t="s">
        <v>11057</v>
      </c>
      <c r="F86" s="265" t="s">
        <v>11058</v>
      </c>
      <c r="G86" s="256" t="s">
        <v>814</v>
      </c>
      <c r="H86" s="256" t="s">
        <v>814</v>
      </c>
      <c r="I86" s="265" t="s">
        <v>11059</v>
      </c>
      <c r="J86" s="256" t="s">
        <v>11173</v>
      </c>
      <c r="K86" s="264" t="s">
        <v>11061</v>
      </c>
      <c r="L86" s="254" t="s">
        <v>10927</v>
      </c>
      <c r="M86" s="6" t="s">
        <v>11196</v>
      </c>
      <c r="N86" s="30" t="s">
        <v>814</v>
      </c>
      <c r="O86" s="30" t="s">
        <v>814</v>
      </c>
      <c r="P86" s="30" t="s">
        <v>11090</v>
      </c>
      <c r="Q86" s="254" t="s">
        <v>8687</v>
      </c>
      <c r="R86" s="246" t="s">
        <v>11069</v>
      </c>
    </row>
    <row r="87" customFormat="false" ht="29.25" hidden="false" customHeight="true" outlineLevel="0" collapsed="false">
      <c r="A87" s="256" t="s">
        <v>10199</v>
      </c>
      <c r="B87" s="256" t="s">
        <v>11171</v>
      </c>
      <c r="C87" s="264" t="s">
        <v>11197</v>
      </c>
      <c r="D87" s="256" t="s">
        <v>10200</v>
      </c>
      <c r="E87" s="265" t="s">
        <v>11057</v>
      </c>
      <c r="F87" s="265" t="s">
        <v>11058</v>
      </c>
      <c r="G87" s="256" t="s">
        <v>814</v>
      </c>
      <c r="H87" s="256" t="s">
        <v>814</v>
      </c>
      <c r="I87" s="265" t="s">
        <v>11059</v>
      </c>
      <c r="J87" s="256" t="s">
        <v>11173</v>
      </c>
      <c r="K87" s="264" t="s">
        <v>11061</v>
      </c>
      <c r="L87" s="254" t="s">
        <v>10927</v>
      </c>
      <c r="M87" s="6" t="s">
        <v>10194</v>
      </c>
      <c r="N87" s="30" t="s">
        <v>814</v>
      </c>
      <c r="O87" s="30" t="s">
        <v>814</v>
      </c>
      <c r="P87" s="30" t="s">
        <v>11090</v>
      </c>
      <c r="Q87" s="254" t="s">
        <v>8580</v>
      </c>
      <c r="R87" s="246" t="s">
        <v>11063</v>
      </c>
    </row>
    <row r="88" customFormat="false" ht="86.25" hidden="false" customHeight="true" outlineLevel="0" collapsed="false">
      <c r="A88" s="256" t="s">
        <v>9585</v>
      </c>
      <c r="B88" s="256" t="s">
        <v>11171</v>
      </c>
      <c r="C88" s="264" t="s">
        <v>11198</v>
      </c>
      <c r="D88" s="256" t="s">
        <v>9492</v>
      </c>
      <c r="E88" s="265" t="s">
        <v>11199</v>
      </c>
      <c r="F88" s="256" t="s">
        <v>11200</v>
      </c>
      <c r="G88" s="256" t="s">
        <v>814</v>
      </c>
      <c r="H88" s="256" t="s">
        <v>11201</v>
      </c>
      <c r="I88" s="265" t="s">
        <v>11202</v>
      </c>
      <c r="J88" s="256" t="s">
        <v>11173</v>
      </c>
      <c r="K88" s="264" t="s">
        <v>11203</v>
      </c>
      <c r="L88" s="254" t="s">
        <v>10927</v>
      </c>
      <c r="M88" s="6" t="s">
        <v>11204</v>
      </c>
      <c r="N88" s="30" t="s">
        <v>814</v>
      </c>
      <c r="O88" s="30" t="s">
        <v>814</v>
      </c>
      <c r="P88" s="30" t="s">
        <v>11116</v>
      </c>
      <c r="Q88" s="254" t="s">
        <v>8580</v>
      </c>
      <c r="R88" s="246" t="s">
        <v>11205</v>
      </c>
    </row>
    <row r="89" customFormat="false" ht="100.5" hidden="false" customHeight="true" outlineLevel="0" collapsed="false">
      <c r="A89" s="256" t="s">
        <v>9319</v>
      </c>
      <c r="B89" s="256" t="s">
        <v>11171</v>
      </c>
      <c r="C89" s="264" t="s">
        <v>11206</v>
      </c>
      <c r="D89" s="256" t="s">
        <v>9320</v>
      </c>
      <c r="E89" s="265" t="s">
        <v>11199</v>
      </c>
      <c r="F89" s="256" t="s">
        <v>11207</v>
      </c>
      <c r="G89" s="256" t="s">
        <v>11208</v>
      </c>
      <c r="H89" s="256" t="s">
        <v>11209</v>
      </c>
      <c r="I89" s="265" t="s">
        <v>11202</v>
      </c>
      <c r="J89" s="256" t="s">
        <v>11173</v>
      </c>
      <c r="K89" s="266" t="s">
        <v>11210</v>
      </c>
      <c r="L89" s="254" t="s">
        <v>10927</v>
      </c>
      <c r="M89" s="6" t="s">
        <v>11211</v>
      </c>
      <c r="N89" s="30" t="s">
        <v>814</v>
      </c>
      <c r="O89" s="30" t="s">
        <v>814</v>
      </c>
      <c r="P89" s="30" t="s">
        <v>11116</v>
      </c>
      <c r="Q89" s="254" t="s">
        <v>8580</v>
      </c>
    </row>
    <row r="90" customFormat="false" ht="15" hidden="false" customHeight="true" outlineLevel="0" collapsed="false">
      <c r="A90" s="256" t="s">
        <v>10255</v>
      </c>
      <c r="B90" s="256" t="s">
        <v>7523</v>
      </c>
      <c r="C90" s="264" t="s">
        <v>11212</v>
      </c>
      <c r="D90" s="256" t="s">
        <v>11213</v>
      </c>
      <c r="E90" s="265" t="s">
        <v>11214</v>
      </c>
      <c r="F90" s="256" t="s">
        <v>11215</v>
      </c>
      <c r="G90" s="256" t="s">
        <v>814</v>
      </c>
      <c r="H90" s="256" t="s">
        <v>11216</v>
      </c>
      <c r="I90" s="265" t="s">
        <v>11217</v>
      </c>
      <c r="J90" s="256" t="s">
        <v>11218</v>
      </c>
      <c r="K90" s="264" t="s">
        <v>11219</v>
      </c>
      <c r="L90" s="254" t="s">
        <v>10927</v>
      </c>
      <c r="M90" s="6" t="s">
        <v>6793</v>
      </c>
      <c r="N90" s="30" t="s">
        <v>814</v>
      </c>
      <c r="O90" s="30" t="s">
        <v>11220</v>
      </c>
      <c r="P90" s="30" t="s">
        <v>11090</v>
      </c>
      <c r="Q90" s="254" t="s">
        <v>8580</v>
      </c>
      <c r="R90" s="246" t="s">
        <v>11221</v>
      </c>
    </row>
    <row r="91" customFormat="false" ht="39" hidden="false" customHeight="true" outlineLevel="0" collapsed="false">
      <c r="A91" s="256" t="s">
        <v>11222</v>
      </c>
      <c r="B91" s="256" t="s">
        <v>7523</v>
      </c>
      <c r="C91" s="264" t="s">
        <v>11223</v>
      </c>
      <c r="D91" s="256" t="s">
        <v>11224</v>
      </c>
      <c r="E91" s="265" t="s">
        <v>11214</v>
      </c>
      <c r="F91" s="265" t="s">
        <v>11225</v>
      </c>
      <c r="G91" s="256" t="s">
        <v>814</v>
      </c>
      <c r="H91" s="256" t="s">
        <v>11226</v>
      </c>
      <c r="I91" s="265" t="s">
        <v>11217</v>
      </c>
      <c r="J91" s="256" t="s">
        <v>11218</v>
      </c>
      <c r="K91" s="266" t="s">
        <v>11227</v>
      </c>
      <c r="L91" s="254" t="s">
        <v>10927</v>
      </c>
      <c r="M91" s="6" t="s">
        <v>6987</v>
      </c>
      <c r="N91" s="30" t="s">
        <v>814</v>
      </c>
      <c r="O91" s="30" t="s">
        <v>11220</v>
      </c>
      <c r="P91" s="30" t="s">
        <v>11090</v>
      </c>
      <c r="Q91" s="254" t="s">
        <v>8580</v>
      </c>
      <c r="R91" s="246" t="s">
        <v>11221</v>
      </c>
    </row>
    <row r="92" customFormat="false" ht="15" hidden="false" customHeight="true" outlineLevel="0" collapsed="false">
      <c r="A92" s="256" t="s">
        <v>10270</v>
      </c>
      <c r="B92" s="256" t="s">
        <v>7523</v>
      </c>
      <c r="C92" s="264" t="s">
        <v>11228</v>
      </c>
      <c r="D92" s="256" t="s">
        <v>11229</v>
      </c>
      <c r="E92" s="265" t="s">
        <v>11214</v>
      </c>
      <c r="F92" s="256" t="s">
        <v>11215</v>
      </c>
      <c r="G92" s="256" t="s">
        <v>814</v>
      </c>
      <c r="H92" s="256" t="s">
        <v>11230</v>
      </c>
      <c r="I92" s="265" t="s">
        <v>11217</v>
      </c>
      <c r="J92" s="256" t="s">
        <v>11218</v>
      </c>
      <c r="K92" s="266" t="s">
        <v>11231</v>
      </c>
      <c r="L92" s="254" t="s">
        <v>10927</v>
      </c>
      <c r="M92" s="6" t="s">
        <v>6801</v>
      </c>
      <c r="N92" s="30" t="s">
        <v>814</v>
      </c>
      <c r="O92" s="30" t="s">
        <v>11220</v>
      </c>
      <c r="P92" s="30" t="s">
        <v>11090</v>
      </c>
      <c r="Q92" s="254" t="s">
        <v>8580</v>
      </c>
      <c r="R92" s="246" t="s">
        <v>11221</v>
      </c>
    </row>
    <row r="93" customFormat="false" ht="26.25" hidden="false" customHeight="true" outlineLevel="0" collapsed="false">
      <c r="A93" s="256" t="s">
        <v>11232</v>
      </c>
      <c r="B93" s="256" t="s">
        <v>7523</v>
      </c>
      <c r="C93" s="266" t="s">
        <v>11233</v>
      </c>
      <c r="D93" s="256" t="s">
        <v>11234</v>
      </c>
      <c r="E93" s="265" t="s">
        <v>11214</v>
      </c>
      <c r="F93" s="256" t="s">
        <v>11235</v>
      </c>
      <c r="G93" s="256" t="s">
        <v>814</v>
      </c>
      <c r="H93" s="256" t="s">
        <v>11236</v>
      </c>
      <c r="I93" s="265" t="s">
        <v>11217</v>
      </c>
      <c r="J93" s="256" t="s">
        <v>11218</v>
      </c>
      <c r="K93" s="266" t="s">
        <v>11237</v>
      </c>
      <c r="L93" s="254" t="s">
        <v>10927</v>
      </c>
      <c r="M93" s="6" t="s">
        <v>4182</v>
      </c>
      <c r="N93" s="30" t="s">
        <v>814</v>
      </c>
      <c r="O93" s="30" t="s">
        <v>11220</v>
      </c>
      <c r="P93" s="30" t="s">
        <v>11090</v>
      </c>
      <c r="Q93" s="254" t="s">
        <v>8687</v>
      </c>
      <c r="R93" s="246" t="s">
        <v>11221</v>
      </c>
    </row>
    <row r="94" customFormat="false" ht="51.75" hidden="false" customHeight="true" outlineLevel="0" collapsed="false">
      <c r="A94" s="256" t="s">
        <v>11238</v>
      </c>
      <c r="B94" s="256" t="s">
        <v>7535</v>
      </c>
      <c r="C94" s="264" t="s">
        <v>11239</v>
      </c>
      <c r="D94" s="256" t="s">
        <v>11240</v>
      </c>
      <c r="E94" s="265" t="s">
        <v>11241</v>
      </c>
      <c r="F94" s="256" t="s">
        <v>11242</v>
      </c>
      <c r="G94" s="256" t="s">
        <v>11243</v>
      </c>
      <c r="H94" s="256" t="s">
        <v>11244</v>
      </c>
      <c r="I94" s="265" t="s">
        <v>11245</v>
      </c>
      <c r="J94" s="256" t="s">
        <v>11246</v>
      </c>
      <c r="K94" s="266" t="s">
        <v>11247</v>
      </c>
      <c r="L94" s="254" t="s">
        <v>10927</v>
      </c>
      <c r="M94" s="6" t="s">
        <v>5699</v>
      </c>
      <c r="N94" s="30" t="s">
        <v>814</v>
      </c>
      <c r="O94" s="30" t="s">
        <v>11248</v>
      </c>
      <c r="P94" s="30" t="s">
        <v>11116</v>
      </c>
      <c r="Q94" s="254" t="s">
        <v>8580</v>
      </c>
    </row>
    <row r="95" customFormat="false" ht="51.75" hidden="false" customHeight="true" outlineLevel="0" collapsed="false">
      <c r="A95" s="256" t="s">
        <v>11249</v>
      </c>
      <c r="B95" s="256" t="s">
        <v>7535</v>
      </c>
      <c r="C95" s="264" t="s">
        <v>11250</v>
      </c>
      <c r="D95" s="256" t="s">
        <v>11240</v>
      </c>
      <c r="E95" s="265" t="s">
        <v>11241</v>
      </c>
      <c r="F95" s="256" t="s">
        <v>11251</v>
      </c>
      <c r="G95" s="256" t="s">
        <v>11252</v>
      </c>
      <c r="H95" s="256" t="s">
        <v>11253</v>
      </c>
      <c r="I95" s="265" t="s">
        <v>11245</v>
      </c>
      <c r="J95" s="256" t="s">
        <v>11246</v>
      </c>
      <c r="K95" s="266" t="s">
        <v>11247</v>
      </c>
      <c r="L95" s="254" t="s">
        <v>10927</v>
      </c>
      <c r="M95" s="6" t="s">
        <v>5697</v>
      </c>
      <c r="N95" s="30" t="s">
        <v>814</v>
      </c>
      <c r="O95" s="30" t="s">
        <v>11248</v>
      </c>
      <c r="P95" s="30" t="s">
        <v>11116</v>
      </c>
      <c r="Q95" s="254" t="s">
        <v>8580</v>
      </c>
    </row>
    <row r="96" customFormat="false" ht="51.75" hidden="false" customHeight="true" outlineLevel="0" collapsed="false">
      <c r="A96" s="256" t="s">
        <v>11254</v>
      </c>
      <c r="B96" s="256" t="s">
        <v>7535</v>
      </c>
      <c r="C96" s="264" t="s">
        <v>11255</v>
      </c>
      <c r="D96" s="256" t="s">
        <v>11256</v>
      </c>
      <c r="E96" s="265" t="s">
        <v>11241</v>
      </c>
      <c r="F96" s="256" t="s">
        <v>11257</v>
      </c>
      <c r="G96" s="256" t="s">
        <v>11258</v>
      </c>
      <c r="H96" s="256" t="s">
        <v>11259</v>
      </c>
      <c r="I96" s="265" t="s">
        <v>11245</v>
      </c>
      <c r="J96" s="256" t="s">
        <v>11246</v>
      </c>
      <c r="K96" s="266" t="s">
        <v>11260</v>
      </c>
      <c r="L96" s="254" t="s">
        <v>10927</v>
      </c>
      <c r="M96" s="6" t="s">
        <v>5701</v>
      </c>
      <c r="N96" s="30" t="s">
        <v>814</v>
      </c>
      <c r="O96" s="30" t="s">
        <v>11248</v>
      </c>
      <c r="P96" s="30" t="s">
        <v>11116</v>
      </c>
      <c r="Q96" s="254" t="s">
        <v>8580</v>
      </c>
    </row>
    <row r="97" customFormat="false" ht="51.75" hidden="false" customHeight="true" outlineLevel="0" collapsed="false">
      <c r="A97" s="256" t="s">
        <v>11261</v>
      </c>
      <c r="B97" s="256" t="s">
        <v>7535</v>
      </c>
      <c r="C97" s="264" t="s">
        <v>11262</v>
      </c>
      <c r="D97" s="256" t="s">
        <v>11256</v>
      </c>
      <c r="E97" s="265" t="s">
        <v>11241</v>
      </c>
      <c r="F97" s="256" t="s">
        <v>11263</v>
      </c>
      <c r="G97" s="256" t="s">
        <v>11264</v>
      </c>
      <c r="H97" s="256" t="s">
        <v>11265</v>
      </c>
      <c r="I97" s="265" t="s">
        <v>11245</v>
      </c>
      <c r="J97" s="256" t="s">
        <v>11246</v>
      </c>
      <c r="K97" s="266" t="s">
        <v>11266</v>
      </c>
      <c r="L97" s="254" t="s">
        <v>10927</v>
      </c>
      <c r="M97" s="6" t="s">
        <v>5705</v>
      </c>
      <c r="N97" s="30" t="s">
        <v>814</v>
      </c>
      <c r="O97" s="30" t="s">
        <v>11248</v>
      </c>
      <c r="P97" s="30" t="s">
        <v>11116</v>
      </c>
      <c r="Q97" s="254" t="s">
        <v>8580</v>
      </c>
    </row>
    <row r="98" customFormat="false" ht="51.75" hidden="false" customHeight="true" outlineLevel="0" collapsed="false">
      <c r="A98" s="256" t="s">
        <v>11267</v>
      </c>
      <c r="B98" s="256" t="s">
        <v>7535</v>
      </c>
      <c r="C98" s="264" t="s">
        <v>11268</v>
      </c>
      <c r="D98" s="256" t="s">
        <v>11256</v>
      </c>
      <c r="E98" s="265" t="s">
        <v>11241</v>
      </c>
      <c r="F98" s="256" t="s">
        <v>11269</v>
      </c>
      <c r="G98" s="256" t="s">
        <v>11270</v>
      </c>
      <c r="H98" s="256" t="s">
        <v>11271</v>
      </c>
      <c r="I98" s="265" t="s">
        <v>11245</v>
      </c>
      <c r="J98" s="256" t="s">
        <v>11246</v>
      </c>
      <c r="K98" s="266" t="s">
        <v>11272</v>
      </c>
      <c r="L98" s="254" t="s">
        <v>10927</v>
      </c>
      <c r="M98" s="6" t="s">
        <v>5708</v>
      </c>
      <c r="N98" s="30" t="s">
        <v>814</v>
      </c>
      <c r="O98" s="30" t="s">
        <v>11248</v>
      </c>
      <c r="P98" s="30" t="s">
        <v>11116</v>
      </c>
      <c r="Q98" s="254" t="s">
        <v>8580</v>
      </c>
    </row>
    <row r="99" customFormat="false" ht="39" hidden="false" customHeight="true" outlineLevel="0" collapsed="false">
      <c r="A99" s="256" t="s">
        <v>11273</v>
      </c>
      <c r="B99" s="256" t="s">
        <v>7535</v>
      </c>
      <c r="C99" s="264" t="s">
        <v>11274</v>
      </c>
      <c r="D99" s="256" t="s">
        <v>9330</v>
      </c>
      <c r="E99" s="265" t="s">
        <v>11241</v>
      </c>
      <c r="F99" s="256" t="s">
        <v>11275</v>
      </c>
      <c r="G99" s="256" t="s">
        <v>11276</v>
      </c>
      <c r="H99" s="256" t="s">
        <v>11277</v>
      </c>
      <c r="I99" s="265" t="s">
        <v>11245</v>
      </c>
      <c r="J99" s="256" t="s">
        <v>11246</v>
      </c>
      <c r="K99" s="266" t="s">
        <v>11278</v>
      </c>
      <c r="L99" s="254" t="s">
        <v>10927</v>
      </c>
      <c r="M99" s="6" t="s">
        <v>5710</v>
      </c>
      <c r="N99" s="30" t="s">
        <v>814</v>
      </c>
      <c r="O99" s="30" t="s">
        <v>11248</v>
      </c>
      <c r="P99" s="30" t="s">
        <v>11116</v>
      </c>
      <c r="Q99" s="254" t="s">
        <v>8580</v>
      </c>
    </row>
    <row r="100" customFormat="false" ht="51.75" hidden="false" customHeight="true" outlineLevel="0" collapsed="false">
      <c r="A100" s="256" t="s">
        <v>11279</v>
      </c>
      <c r="B100" s="256" t="s">
        <v>7535</v>
      </c>
      <c r="C100" s="264" t="s">
        <v>11280</v>
      </c>
      <c r="D100" s="256" t="s">
        <v>11256</v>
      </c>
      <c r="E100" s="265" t="s">
        <v>11241</v>
      </c>
      <c r="F100" s="256" t="s">
        <v>11281</v>
      </c>
      <c r="G100" s="256" t="s">
        <v>11282</v>
      </c>
      <c r="H100" s="256" t="s">
        <v>11283</v>
      </c>
      <c r="I100" s="265" t="s">
        <v>11245</v>
      </c>
      <c r="J100" s="256" t="s">
        <v>11246</v>
      </c>
      <c r="K100" s="266" t="s">
        <v>11284</v>
      </c>
      <c r="L100" s="254" t="s">
        <v>10927</v>
      </c>
      <c r="M100" s="6" t="s">
        <v>5713</v>
      </c>
      <c r="N100" s="30" t="s">
        <v>814</v>
      </c>
      <c r="O100" s="30" t="s">
        <v>11248</v>
      </c>
      <c r="P100" s="30" t="s">
        <v>11116</v>
      </c>
      <c r="Q100" s="254" t="s">
        <v>8580</v>
      </c>
    </row>
    <row r="101" customFormat="false" ht="51.75" hidden="false" customHeight="true" outlineLevel="0" collapsed="false">
      <c r="A101" s="256" t="s">
        <v>11285</v>
      </c>
      <c r="B101" s="256" t="s">
        <v>7535</v>
      </c>
      <c r="C101" s="264" t="s">
        <v>11286</v>
      </c>
      <c r="D101" s="256" t="s">
        <v>11256</v>
      </c>
      <c r="E101" s="265" t="s">
        <v>11241</v>
      </c>
      <c r="F101" s="256" t="s">
        <v>11287</v>
      </c>
      <c r="G101" s="256" t="s">
        <v>11288</v>
      </c>
      <c r="H101" s="256" t="s">
        <v>11289</v>
      </c>
      <c r="I101" s="265" t="s">
        <v>11245</v>
      </c>
      <c r="J101" s="256" t="s">
        <v>11246</v>
      </c>
      <c r="K101" s="266" t="s">
        <v>11290</v>
      </c>
      <c r="L101" s="254" t="s">
        <v>10927</v>
      </c>
      <c r="M101" s="6" t="s">
        <v>5716</v>
      </c>
      <c r="N101" s="30" t="s">
        <v>814</v>
      </c>
      <c r="O101" s="30" t="s">
        <v>11248</v>
      </c>
      <c r="P101" s="30" t="s">
        <v>11116</v>
      </c>
      <c r="Q101" s="254" t="s">
        <v>8580</v>
      </c>
    </row>
    <row r="102" customFormat="false" ht="51.75" hidden="false" customHeight="true" outlineLevel="0" collapsed="false">
      <c r="A102" s="256" t="s">
        <v>11291</v>
      </c>
      <c r="B102" s="256" t="s">
        <v>7535</v>
      </c>
      <c r="C102" s="264" t="s">
        <v>11292</v>
      </c>
      <c r="D102" s="256" t="s">
        <v>11256</v>
      </c>
      <c r="E102" s="265" t="s">
        <v>11241</v>
      </c>
      <c r="F102" s="256" t="s">
        <v>11293</v>
      </c>
      <c r="G102" s="256" t="s">
        <v>11294</v>
      </c>
      <c r="H102" s="256" t="s">
        <v>11295</v>
      </c>
      <c r="I102" s="265" t="s">
        <v>11245</v>
      </c>
      <c r="J102" s="256" t="s">
        <v>11246</v>
      </c>
      <c r="K102" s="266" t="s">
        <v>11296</v>
      </c>
      <c r="L102" s="254" t="s">
        <v>10927</v>
      </c>
      <c r="M102" s="6" t="s">
        <v>5719</v>
      </c>
      <c r="N102" s="30" t="s">
        <v>814</v>
      </c>
      <c r="O102" s="30" t="s">
        <v>11248</v>
      </c>
      <c r="P102" s="30" t="s">
        <v>11116</v>
      </c>
      <c r="Q102" s="254" t="s">
        <v>8580</v>
      </c>
    </row>
    <row r="103" customFormat="false" ht="39" hidden="false" customHeight="true" outlineLevel="0" collapsed="false">
      <c r="A103" s="256" t="s">
        <v>11297</v>
      </c>
      <c r="B103" s="256" t="s">
        <v>7535</v>
      </c>
      <c r="C103" s="264" t="s">
        <v>11298</v>
      </c>
      <c r="D103" s="256" t="s">
        <v>11256</v>
      </c>
      <c r="E103" s="265" t="s">
        <v>11241</v>
      </c>
      <c r="F103" s="256" t="s">
        <v>11299</v>
      </c>
      <c r="G103" s="256" t="s">
        <v>11300</v>
      </c>
      <c r="H103" s="256" t="s">
        <v>11301</v>
      </c>
      <c r="I103" s="265" t="s">
        <v>11245</v>
      </c>
      <c r="J103" s="256" t="s">
        <v>11246</v>
      </c>
      <c r="K103" s="266" t="s">
        <v>11302</v>
      </c>
      <c r="L103" s="254" t="s">
        <v>10927</v>
      </c>
      <c r="M103" s="6" t="s">
        <v>5726</v>
      </c>
      <c r="N103" s="30" t="s">
        <v>814</v>
      </c>
      <c r="O103" s="30" t="s">
        <v>11248</v>
      </c>
      <c r="P103" s="30" t="s">
        <v>11116</v>
      </c>
      <c r="Q103" s="254" t="s">
        <v>8580</v>
      </c>
    </row>
    <row r="104" customFormat="false" ht="51.75" hidden="false" customHeight="true" outlineLevel="0" collapsed="false">
      <c r="A104" s="256" t="s">
        <v>11303</v>
      </c>
      <c r="B104" s="256" t="s">
        <v>7535</v>
      </c>
      <c r="C104" s="264" t="s">
        <v>11304</v>
      </c>
      <c r="D104" s="256" t="s">
        <v>11256</v>
      </c>
      <c r="E104" s="265" t="s">
        <v>11241</v>
      </c>
      <c r="F104" s="256" t="s">
        <v>11305</v>
      </c>
      <c r="G104" s="256" t="s">
        <v>11306</v>
      </c>
      <c r="H104" s="256" t="s">
        <v>11307</v>
      </c>
      <c r="I104" s="265" t="s">
        <v>11245</v>
      </c>
      <c r="J104" s="256" t="s">
        <v>11246</v>
      </c>
      <c r="K104" s="266" t="s">
        <v>11308</v>
      </c>
      <c r="L104" s="254" t="s">
        <v>10927</v>
      </c>
      <c r="M104" s="6" t="s">
        <v>5729</v>
      </c>
      <c r="N104" s="30" t="s">
        <v>814</v>
      </c>
      <c r="O104" s="30" t="s">
        <v>11248</v>
      </c>
      <c r="P104" s="30" t="s">
        <v>11116</v>
      </c>
      <c r="Q104" s="254" t="s">
        <v>8580</v>
      </c>
    </row>
    <row r="105" customFormat="false" ht="64.5" hidden="false" customHeight="true" outlineLevel="0" collapsed="false">
      <c r="A105" s="256" t="s">
        <v>11309</v>
      </c>
      <c r="B105" s="256" t="s">
        <v>7535</v>
      </c>
      <c r="C105" s="264" t="s">
        <v>11310</v>
      </c>
      <c r="D105" s="256" t="s">
        <v>11311</v>
      </c>
      <c r="E105" s="265" t="s">
        <v>11241</v>
      </c>
      <c r="F105" s="256" t="s">
        <v>11312</v>
      </c>
      <c r="G105" s="256" t="s">
        <v>11313</v>
      </c>
      <c r="H105" s="265" t="s">
        <v>11314</v>
      </c>
      <c r="I105" s="265" t="s">
        <v>11245</v>
      </c>
      <c r="J105" s="256" t="s">
        <v>11246</v>
      </c>
      <c r="K105" s="266" t="s">
        <v>11315</v>
      </c>
      <c r="L105" s="254" t="s">
        <v>10927</v>
      </c>
      <c r="M105" s="6" t="s">
        <v>5438</v>
      </c>
      <c r="N105" s="30" t="s">
        <v>814</v>
      </c>
      <c r="O105" s="30" t="s">
        <v>11248</v>
      </c>
      <c r="P105" s="30" t="s">
        <v>11116</v>
      </c>
      <c r="Q105" s="254" t="s">
        <v>8580</v>
      </c>
    </row>
    <row r="106" customFormat="false" ht="50.25" hidden="false" customHeight="true" outlineLevel="0" collapsed="false">
      <c r="A106" s="256" t="s">
        <v>11316</v>
      </c>
      <c r="B106" s="256" t="s">
        <v>7535</v>
      </c>
      <c r="C106" s="264" t="s">
        <v>11317</v>
      </c>
      <c r="D106" s="256" t="s">
        <v>11318</v>
      </c>
      <c r="E106" s="265" t="s">
        <v>11241</v>
      </c>
      <c r="F106" s="256" t="s">
        <v>11319</v>
      </c>
      <c r="G106" s="256" t="s">
        <v>11320</v>
      </c>
      <c r="H106" s="256" t="s">
        <v>11321</v>
      </c>
      <c r="I106" s="265" t="s">
        <v>11245</v>
      </c>
      <c r="J106" s="256" t="s">
        <v>11246</v>
      </c>
      <c r="K106" s="266" t="s">
        <v>11322</v>
      </c>
      <c r="L106" s="254" t="s">
        <v>10927</v>
      </c>
      <c r="M106" s="6" t="s">
        <v>5518</v>
      </c>
      <c r="N106" s="30" t="s">
        <v>814</v>
      </c>
      <c r="O106" s="30" t="s">
        <v>11248</v>
      </c>
      <c r="P106" s="30" t="s">
        <v>11116</v>
      </c>
      <c r="Q106" s="254" t="s">
        <v>8580</v>
      </c>
    </row>
    <row r="107" customFormat="false" ht="51.75" hidden="false" customHeight="true" outlineLevel="0" collapsed="false">
      <c r="A107" s="256" t="s">
        <v>11323</v>
      </c>
      <c r="B107" s="256" t="s">
        <v>7535</v>
      </c>
      <c r="C107" s="264" t="s">
        <v>11324</v>
      </c>
      <c r="D107" s="256" t="s">
        <v>11325</v>
      </c>
      <c r="E107" s="265" t="s">
        <v>11241</v>
      </c>
      <c r="F107" s="256" t="s">
        <v>11326</v>
      </c>
      <c r="G107" s="256" t="s">
        <v>11327</v>
      </c>
      <c r="H107" s="256" t="s">
        <v>11328</v>
      </c>
      <c r="I107" s="265" t="s">
        <v>11245</v>
      </c>
      <c r="J107" s="256" t="s">
        <v>11246</v>
      </c>
      <c r="K107" s="266" t="s">
        <v>11329</v>
      </c>
      <c r="L107" s="254" t="s">
        <v>10927</v>
      </c>
      <c r="M107" s="6" t="s">
        <v>5520</v>
      </c>
      <c r="N107" s="30" t="s">
        <v>814</v>
      </c>
      <c r="O107" s="30" t="s">
        <v>11248</v>
      </c>
      <c r="P107" s="30" t="s">
        <v>11116</v>
      </c>
      <c r="Q107" s="254" t="s">
        <v>8580</v>
      </c>
    </row>
    <row r="108" customFormat="false" ht="77.25" hidden="false" customHeight="true" outlineLevel="0" collapsed="false">
      <c r="A108" s="256" t="s">
        <v>11330</v>
      </c>
      <c r="B108" s="256" t="s">
        <v>7535</v>
      </c>
      <c r="C108" s="264" t="s">
        <v>11331</v>
      </c>
      <c r="D108" s="256" t="s">
        <v>11332</v>
      </c>
      <c r="E108" s="265" t="s">
        <v>11241</v>
      </c>
      <c r="F108" s="256" t="s">
        <v>11333</v>
      </c>
      <c r="G108" s="256" t="s">
        <v>11334</v>
      </c>
      <c r="H108" s="256" t="s">
        <v>11335</v>
      </c>
      <c r="I108" s="265" t="s">
        <v>11245</v>
      </c>
      <c r="J108" s="256" t="s">
        <v>11246</v>
      </c>
      <c r="K108" s="266" t="s">
        <v>11336</v>
      </c>
      <c r="L108" s="254" t="s">
        <v>10927</v>
      </c>
      <c r="M108" s="6" t="s">
        <v>5514</v>
      </c>
      <c r="N108" s="30" t="s">
        <v>814</v>
      </c>
      <c r="O108" s="30" t="s">
        <v>11248</v>
      </c>
      <c r="P108" s="30" t="s">
        <v>11116</v>
      </c>
      <c r="Q108" s="254" t="s">
        <v>8580</v>
      </c>
    </row>
    <row r="109" customFormat="false" ht="50.25" hidden="false" customHeight="true" outlineLevel="0" collapsed="false">
      <c r="A109" s="256" t="s">
        <v>11337</v>
      </c>
      <c r="B109" s="256" t="s">
        <v>7535</v>
      </c>
      <c r="C109" s="264" t="s">
        <v>11338</v>
      </c>
      <c r="D109" s="256" t="s">
        <v>11318</v>
      </c>
      <c r="E109" s="265" t="s">
        <v>11241</v>
      </c>
      <c r="F109" s="256" t="s">
        <v>11339</v>
      </c>
      <c r="G109" s="256" t="s">
        <v>11340</v>
      </c>
      <c r="H109" s="256" t="s">
        <v>11341</v>
      </c>
      <c r="I109" s="265" t="s">
        <v>11245</v>
      </c>
      <c r="J109" s="256" t="s">
        <v>11246</v>
      </c>
      <c r="K109" s="266" t="s">
        <v>11342</v>
      </c>
      <c r="L109" s="254" t="s">
        <v>10927</v>
      </c>
      <c r="M109" s="6" t="s">
        <v>5669</v>
      </c>
      <c r="N109" s="30" t="s">
        <v>814</v>
      </c>
      <c r="O109" s="30" t="s">
        <v>11248</v>
      </c>
      <c r="P109" s="30" t="s">
        <v>11116</v>
      </c>
      <c r="Q109" s="254" t="s">
        <v>8580</v>
      </c>
    </row>
    <row r="110" customFormat="false" ht="64.5" hidden="false" customHeight="true" outlineLevel="0" collapsed="false">
      <c r="A110" s="256" t="s">
        <v>7050</v>
      </c>
      <c r="B110" s="256" t="s">
        <v>7535</v>
      </c>
      <c r="C110" s="264" t="s">
        <v>11343</v>
      </c>
      <c r="D110" s="256" t="s">
        <v>11344</v>
      </c>
      <c r="E110" s="265" t="s">
        <v>11241</v>
      </c>
      <c r="F110" s="256" t="s">
        <v>11345</v>
      </c>
      <c r="G110" s="256" t="s">
        <v>11346</v>
      </c>
      <c r="H110" s="256" t="s">
        <v>11347</v>
      </c>
      <c r="I110" s="265" t="s">
        <v>11245</v>
      </c>
      <c r="J110" s="256" t="s">
        <v>11246</v>
      </c>
      <c r="K110" s="266" t="s">
        <v>11348</v>
      </c>
      <c r="L110" s="254" t="s">
        <v>10927</v>
      </c>
      <c r="M110" s="6" t="s">
        <v>5420</v>
      </c>
      <c r="N110" s="30" t="s">
        <v>814</v>
      </c>
      <c r="O110" s="30" t="s">
        <v>11248</v>
      </c>
      <c r="P110" s="30" t="s">
        <v>11116</v>
      </c>
      <c r="Q110" s="254" t="s">
        <v>8580</v>
      </c>
    </row>
    <row r="111" customFormat="false" ht="77.25" hidden="false" customHeight="true" outlineLevel="0" collapsed="false">
      <c r="A111" s="256" t="s">
        <v>11349</v>
      </c>
      <c r="B111" s="256" t="s">
        <v>7535</v>
      </c>
      <c r="C111" s="264" t="s">
        <v>11350</v>
      </c>
      <c r="D111" s="256" t="s">
        <v>11351</v>
      </c>
      <c r="E111" s="265" t="s">
        <v>11241</v>
      </c>
      <c r="F111" s="265" t="s">
        <v>11352</v>
      </c>
      <c r="G111" s="265" t="s">
        <v>11353</v>
      </c>
      <c r="H111" s="256" t="s">
        <v>11354</v>
      </c>
      <c r="I111" s="265" t="s">
        <v>11245</v>
      </c>
      <c r="J111" s="256" t="s">
        <v>11246</v>
      </c>
      <c r="K111" s="266" t="s">
        <v>11355</v>
      </c>
      <c r="L111" s="254" t="s">
        <v>10927</v>
      </c>
      <c r="M111" s="6" t="s">
        <v>6567</v>
      </c>
      <c r="N111" s="30" t="s">
        <v>814</v>
      </c>
      <c r="O111" s="30" t="s">
        <v>11248</v>
      </c>
      <c r="P111" s="30" t="s">
        <v>11116</v>
      </c>
      <c r="Q111" s="254" t="s">
        <v>8580</v>
      </c>
    </row>
    <row r="112" customFormat="false" ht="39" hidden="false" customHeight="true" outlineLevel="0" collapsed="false">
      <c r="A112" s="256" t="s">
        <v>11356</v>
      </c>
      <c r="B112" s="256" t="s">
        <v>7535</v>
      </c>
      <c r="C112" s="264" t="s">
        <v>11357</v>
      </c>
      <c r="D112" s="256" t="s">
        <v>11351</v>
      </c>
      <c r="E112" s="265" t="s">
        <v>11241</v>
      </c>
      <c r="F112" s="256" t="s">
        <v>11358</v>
      </c>
      <c r="G112" s="256" t="s">
        <v>11359</v>
      </c>
      <c r="H112" s="265" t="s">
        <v>11360</v>
      </c>
      <c r="I112" s="265" t="s">
        <v>11245</v>
      </c>
      <c r="J112" s="256" t="s">
        <v>11246</v>
      </c>
      <c r="K112" s="266" t="s">
        <v>11361</v>
      </c>
      <c r="L112" s="254" t="s">
        <v>10927</v>
      </c>
      <c r="M112" s="6" t="s">
        <v>6572</v>
      </c>
      <c r="N112" s="30" t="s">
        <v>814</v>
      </c>
      <c r="O112" s="30" t="s">
        <v>11248</v>
      </c>
      <c r="P112" s="30" t="s">
        <v>11116</v>
      </c>
      <c r="Q112" s="254" t="s">
        <v>8580</v>
      </c>
    </row>
    <row r="113" customFormat="false" ht="77.25" hidden="false" customHeight="true" outlineLevel="0" collapsed="false">
      <c r="A113" s="256" t="s">
        <v>11362</v>
      </c>
      <c r="B113" s="256" t="s">
        <v>7535</v>
      </c>
      <c r="C113" s="264" t="s">
        <v>11363</v>
      </c>
      <c r="D113" s="256" t="s">
        <v>11364</v>
      </c>
      <c r="E113" s="265" t="s">
        <v>11241</v>
      </c>
      <c r="F113" s="256" t="s">
        <v>11365</v>
      </c>
      <c r="G113" s="256" t="s">
        <v>11366</v>
      </c>
      <c r="H113" s="256" t="s">
        <v>11366</v>
      </c>
      <c r="I113" s="265" t="s">
        <v>11245</v>
      </c>
      <c r="J113" s="256" t="s">
        <v>11246</v>
      </c>
      <c r="K113" s="266" t="s">
        <v>11367</v>
      </c>
      <c r="L113" s="254" t="s">
        <v>10927</v>
      </c>
      <c r="M113" s="6" t="s">
        <v>10076</v>
      </c>
      <c r="N113" s="30" t="s">
        <v>814</v>
      </c>
      <c r="O113" s="30" t="s">
        <v>11248</v>
      </c>
      <c r="P113" s="30" t="s">
        <v>11116</v>
      </c>
      <c r="Q113" s="254" t="s">
        <v>8687</v>
      </c>
    </row>
    <row r="114" customFormat="false" ht="37.5" hidden="false" customHeight="true" outlineLevel="0" collapsed="false">
      <c r="A114" s="256" t="s">
        <v>11368</v>
      </c>
      <c r="B114" s="256" t="s">
        <v>7535</v>
      </c>
      <c r="C114" s="264" t="s">
        <v>11369</v>
      </c>
      <c r="D114" s="256" t="s">
        <v>11364</v>
      </c>
      <c r="E114" s="265" t="s">
        <v>11241</v>
      </c>
      <c r="F114" s="256" t="s">
        <v>11370</v>
      </c>
      <c r="G114" s="256" t="s">
        <v>11371</v>
      </c>
      <c r="H114" s="256" t="s">
        <v>11371</v>
      </c>
      <c r="I114" s="265" t="s">
        <v>11245</v>
      </c>
      <c r="J114" s="256" t="s">
        <v>11246</v>
      </c>
      <c r="K114" s="266" t="s">
        <v>11372</v>
      </c>
      <c r="L114" s="254" t="s">
        <v>10927</v>
      </c>
      <c r="M114" s="6" t="s">
        <v>10091</v>
      </c>
      <c r="N114" s="30" t="s">
        <v>814</v>
      </c>
      <c r="O114" s="30" t="s">
        <v>11248</v>
      </c>
      <c r="P114" s="30" t="s">
        <v>11116</v>
      </c>
      <c r="Q114" s="254" t="s">
        <v>8687</v>
      </c>
    </row>
    <row r="115" customFormat="false" ht="51.75" hidden="false" customHeight="true" outlineLevel="0" collapsed="false">
      <c r="A115" s="256" t="s">
        <v>11373</v>
      </c>
      <c r="B115" s="256" t="s">
        <v>7535</v>
      </c>
      <c r="C115" s="266" t="s">
        <v>11374</v>
      </c>
      <c r="D115" s="256" t="s">
        <v>11375</v>
      </c>
      <c r="E115" s="265" t="s">
        <v>11241</v>
      </c>
      <c r="F115" s="256" t="s">
        <v>11376</v>
      </c>
      <c r="G115" s="265" t="s">
        <v>11377</v>
      </c>
      <c r="H115" s="256" t="s">
        <v>11378</v>
      </c>
      <c r="I115" s="265" t="s">
        <v>11245</v>
      </c>
      <c r="J115" s="256" t="s">
        <v>11246</v>
      </c>
      <c r="K115" s="266" t="s">
        <v>11379</v>
      </c>
      <c r="L115" s="254" t="s">
        <v>10927</v>
      </c>
      <c r="M115" s="6" t="s">
        <v>4182</v>
      </c>
      <c r="N115" s="30" t="s">
        <v>814</v>
      </c>
      <c r="O115" s="30" t="s">
        <v>11248</v>
      </c>
      <c r="P115" s="30" t="s">
        <v>11116</v>
      </c>
      <c r="Q115" s="254" t="s">
        <v>8687</v>
      </c>
    </row>
    <row r="116" customFormat="false" ht="64.5" hidden="false" customHeight="true" outlineLevel="0" collapsed="false">
      <c r="A116" s="256" t="s">
        <v>11380</v>
      </c>
      <c r="B116" s="256" t="s">
        <v>7535</v>
      </c>
      <c r="C116" s="264" t="s">
        <v>11381</v>
      </c>
      <c r="D116" s="256" t="s">
        <v>11382</v>
      </c>
      <c r="E116" s="265" t="s">
        <v>11241</v>
      </c>
      <c r="F116" s="265" t="s">
        <v>11383</v>
      </c>
      <c r="G116" s="256" t="s">
        <v>11384</v>
      </c>
      <c r="H116" s="256" t="s">
        <v>11385</v>
      </c>
      <c r="I116" s="265" t="s">
        <v>11386</v>
      </c>
      <c r="J116" s="256" t="s">
        <v>11246</v>
      </c>
      <c r="K116" s="266" t="s">
        <v>11387</v>
      </c>
      <c r="L116" s="254" t="s">
        <v>10927</v>
      </c>
      <c r="M116" s="6" t="s">
        <v>6987</v>
      </c>
      <c r="N116" s="30" t="s">
        <v>814</v>
      </c>
      <c r="O116" s="30" t="s">
        <v>11248</v>
      </c>
      <c r="P116" s="30" t="s">
        <v>11116</v>
      </c>
      <c r="Q116" s="30" t="s">
        <v>245</v>
      </c>
    </row>
    <row r="117" customFormat="false" ht="77.25" hidden="false" customHeight="true" outlineLevel="0" collapsed="false">
      <c r="A117" s="256" t="s">
        <v>11388</v>
      </c>
      <c r="B117" s="256" t="s">
        <v>7535</v>
      </c>
      <c r="C117" s="264" t="s">
        <v>11389</v>
      </c>
      <c r="D117" s="256" t="s">
        <v>11390</v>
      </c>
      <c r="E117" s="265" t="s">
        <v>11241</v>
      </c>
      <c r="F117" s="256" t="s">
        <v>11391</v>
      </c>
      <c r="G117" s="256" t="s">
        <v>11392</v>
      </c>
      <c r="H117" s="256" t="s">
        <v>11393</v>
      </c>
      <c r="I117" s="265" t="s">
        <v>11394</v>
      </c>
      <c r="J117" s="256" t="s">
        <v>11246</v>
      </c>
      <c r="K117" s="266" t="s">
        <v>11395</v>
      </c>
      <c r="L117" s="254" t="s">
        <v>10927</v>
      </c>
      <c r="M117" s="6" t="s">
        <v>5449</v>
      </c>
      <c r="N117" s="30" t="s">
        <v>814</v>
      </c>
      <c r="O117" s="30" t="s">
        <v>11396</v>
      </c>
      <c r="P117" s="30" t="s">
        <v>11116</v>
      </c>
      <c r="Q117" s="254" t="s">
        <v>8580</v>
      </c>
    </row>
    <row r="118" customFormat="false" ht="64.5" hidden="false" customHeight="true" outlineLevel="0" collapsed="false">
      <c r="A118" s="256" t="s">
        <v>8920</v>
      </c>
      <c r="B118" s="256" t="s">
        <v>7535</v>
      </c>
      <c r="C118" s="264" t="s">
        <v>11397</v>
      </c>
      <c r="D118" s="256" t="s">
        <v>11398</v>
      </c>
      <c r="E118" s="265" t="s">
        <v>11241</v>
      </c>
      <c r="F118" s="265" t="s">
        <v>8921</v>
      </c>
      <c r="G118" s="256" t="s">
        <v>814</v>
      </c>
      <c r="H118" s="256" t="s">
        <v>11399</v>
      </c>
      <c r="I118" s="265" t="s">
        <v>11400</v>
      </c>
      <c r="J118" s="256" t="s">
        <v>11246</v>
      </c>
      <c r="K118" s="266" t="s">
        <v>11401</v>
      </c>
      <c r="L118" s="254" t="s">
        <v>10927</v>
      </c>
      <c r="M118" s="6" t="s">
        <v>8915</v>
      </c>
      <c r="N118" s="30" t="s">
        <v>814</v>
      </c>
      <c r="O118" s="30" t="s">
        <v>814</v>
      </c>
      <c r="P118" s="30" t="s">
        <v>11116</v>
      </c>
      <c r="Q118" s="254" t="s">
        <v>8580</v>
      </c>
    </row>
    <row r="119" customFormat="false" ht="64.5" hidden="false" customHeight="true" outlineLevel="0" collapsed="false">
      <c r="A119" s="256" t="s">
        <v>11402</v>
      </c>
      <c r="B119" s="256" t="s">
        <v>7535</v>
      </c>
      <c r="C119" s="264" t="s">
        <v>11403</v>
      </c>
      <c r="D119" s="256" t="s">
        <v>11404</v>
      </c>
      <c r="E119" s="265" t="s">
        <v>11241</v>
      </c>
      <c r="F119" s="256" t="s">
        <v>11405</v>
      </c>
      <c r="G119" s="256" t="s">
        <v>11406</v>
      </c>
      <c r="H119" s="256" t="s">
        <v>11407</v>
      </c>
      <c r="I119" s="265" t="s">
        <v>11408</v>
      </c>
      <c r="J119" s="256" t="s">
        <v>11246</v>
      </c>
      <c r="K119" s="266" t="s">
        <v>11409</v>
      </c>
      <c r="L119" s="254" t="s">
        <v>10927</v>
      </c>
      <c r="M119" s="6" t="s">
        <v>5428</v>
      </c>
      <c r="N119" s="30" t="s">
        <v>814</v>
      </c>
      <c r="O119" s="30" t="s">
        <v>11410</v>
      </c>
      <c r="P119" s="30" t="s">
        <v>11116</v>
      </c>
      <c r="Q119" s="254" t="s">
        <v>8580</v>
      </c>
    </row>
    <row r="120" customFormat="false" ht="64.5" hidden="false" customHeight="true" outlineLevel="0" collapsed="false">
      <c r="A120" s="256" t="s">
        <v>11411</v>
      </c>
      <c r="B120" s="256" t="s">
        <v>7555</v>
      </c>
      <c r="C120" s="264" t="s">
        <v>11412</v>
      </c>
      <c r="D120" s="256" t="s">
        <v>11413</v>
      </c>
      <c r="E120" s="265" t="s">
        <v>11414</v>
      </c>
      <c r="F120" s="256" t="s">
        <v>11415</v>
      </c>
      <c r="G120" s="256" t="s">
        <v>11416</v>
      </c>
      <c r="H120" s="265" t="s">
        <v>11417</v>
      </c>
      <c r="I120" s="265" t="s">
        <v>11418</v>
      </c>
      <c r="J120" s="256" t="s">
        <v>11246</v>
      </c>
      <c r="K120" s="266" t="s">
        <v>11419</v>
      </c>
      <c r="L120" s="254" t="s">
        <v>10927</v>
      </c>
      <c r="M120" s="6" t="s">
        <v>5464</v>
      </c>
      <c r="N120" s="30" t="s">
        <v>814</v>
      </c>
      <c r="O120" s="30" t="s">
        <v>814</v>
      </c>
      <c r="P120" s="30" t="s">
        <v>11090</v>
      </c>
      <c r="Q120" s="254" t="s">
        <v>8580</v>
      </c>
    </row>
    <row r="121" customFormat="false" ht="64.5" hidden="false" customHeight="true" outlineLevel="0" collapsed="false">
      <c r="A121" s="256" t="s">
        <v>11420</v>
      </c>
      <c r="B121" s="256" t="s">
        <v>7535</v>
      </c>
      <c r="C121" s="264" t="s">
        <v>11421</v>
      </c>
      <c r="D121" s="265" t="s">
        <v>11422</v>
      </c>
      <c r="E121" s="265" t="s">
        <v>11414</v>
      </c>
      <c r="F121" s="256" t="s">
        <v>11423</v>
      </c>
      <c r="G121" s="256" t="s">
        <v>11416</v>
      </c>
      <c r="H121" s="265" t="s">
        <v>11424</v>
      </c>
      <c r="I121" s="265" t="s">
        <v>11425</v>
      </c>
      <c r="J121" s="256" t="s">
        <v>11246</v>
      </c>
      <c r="K121" s="266" t="s">
        <v>11426</v>
      </c>
      <c r="L121" s="254" t="s">
        <v>10927</v>
      </c>
      <c r="M121" s="6" t="s">
        <v>5464</v>
      </c>
      <c r="N121" s="30" t="s">
        <v>814</v>
      </c>
      <c r="O121" s="30" t="s">
        <v>11248</v>
      </c>
      <c r="P121" s="30" t="s">
        <v>11090</v>
      </c>
      <c r="Q121" s="254" t="s">
        <v>11427</v>
      </c>
    </row>
    <row r="122" customFormat="false" ht="90" hidden="false" customHeight="true" outlineLevel="0" collapsed="false">
      <c r="A122" s="256" t="s">
        <v>11428</v>
      </c>
      <c r="B122" s="256" t="s">
        <v>7535</v>
      </c>
      <c r="C122" s="264" t="s">
        <v>11429</v>
      </c>
      <c r="D122" s="256" t="s">
        <v>11430</v>
      </c>
      <c r="E122" s="265" t="s">
        <v>11414</v>
      </c>
      <c r="F122" s="256" t="s">
        <v>11431</v>
      </c>
      <c r="G122" s="256" t="s">
        <v>11432</v>
      </c>
      <c r="H122" s="265" t="s">
        <v>11433</v>
      </c>
      <c r="I122" s="265" t="s">
        <v>11425</v>
      </c>
      <c r="J122" s="256" t="s">
        <v>11246</v>
      </c>
      <c r="K122" s="266" t="s">
        <v>11434</v>
      </c>
      <c r="L122" s="254" t="s">
        <v>10927</v>
      </c>
      <c r="M122" s="6" t="s">
        <v>5430</v>
      </c>
      <c r="N122" s="30" t="s">
        <v>814</v>
      </c>
      <c r="O122" s="30" t="s">
        <v>11248</v>
      </c>
      <c r="P122" s="30" t="s">
        <v>11090</v>
      </c>
      <c r="Q122" s="30" t="s">
        <v>11435</v>
      </c>
    </row>
    <row r="123" customFormat="false" ht="90" hidden="false" customHeight="true" outlineLevel="0" collapsed="false">
      <c r="A123" s="256" t="s">
        <v>11436</v>
      </c>
      <c r="B123" s="256" t="s">
        <v>7535</v>
      </c>
      <c r="C123" s="264" t="s">
        <v>11437</v>
      </c>
      <c r="D123" s="256" t="s">
        <v>11438</v>
      </c>
      <c r="E123" s="265" t="s">
        <v>11414</v>
      </c>
      <c r="F123" s="256" t="s">
        <v>11439</v>
      </c>
      <c r="G123" s="256" t="s">
        <v>11440</v>
      </c>
      <c r="H123" s="265" t="s">
        <v>11441</v>
      </c>
      <c r="I123" s="265" t="s">
        <v>11425</v>
      </c>
      <c r="J123" s="256" t="s">
        <v>11246</v>
      </c>
      <c r="K123" s="266" t="s">
        <v>11442</v>
      </c>
      <c r="L123" s="254" t="s">
        <v>10927</v>
      </c>
      <c r="M123" s="6" t="s">
        <v>5468</v>
      </c>
      <c r="N123" s="30" t="s">
        <v>814</v>
      </c>
      <c r="O123" s="30" t="s">
        <v>11248</v>
      </c>
      <c r="P123" s="30" t="s">
        <v>11090</v>
      </c>
      <c r="Q123" s="30" t="s">
        <v>11443</v>
      </c>
    </row>
    <row r="124" customFormat="false" ht="101.25" hidden="false" customHeight="true" outlineLevel="0" collapsed="false">
      <c r="A124" s="256" t="s">
        <v>11444</v>
      </c>
      <c r="B124" s="256" t="s">
        <v>7535</v>
      </c>
      <c r="C124" s="264" t="s">
        <v>11445</v>
      </c>
      <c r="D124" s="256" t="s">
        <v>11430</v>
      </c>
      <c r="E124" s="265" t="s">
        <v>11414</v>
      </c>
      <c r="F124" s="256" t="s">
        <v>11446</v>
      </c>
      <c r="G124" s="256" t="s">
        <v>11447</v>
      </c>
      <c r="H124" s="265" t="s">
        <v>11448</v>
      </c>
      <c r="I124" s="265" t="s">
        <v>11425</v>
      </c>
      <c r="J124" s="256" t="s">
        <v>11246</v>
      </c>
      <c r="K124" s="266" t="s">
        <v>11449</v>
      </c>
      <c r="L124" s="254" t="s">
        <v>10927</v>
      </c>
      <c r="M124" s="6" t="s">
        <v>5504</v>
      </c>
      <c r="N124" s="30" t="s">
        <v>814</v>
      </c>
      <c r="O124" s="30" t="s">
        <v>11248</v>
      </c>
      <c r="P124" s="30" t="s">
        <v>11090</v>
      </c>
      <c r="Q124" s="30" t="s">
        <v>11450</v>
      </c>
    </row>
    <row r="125" customFormat="false" ht="115.5" hidden="false" customHeight="true" outlineLevel="0" collapsed="false">
      <c r="A125" s="256" t="s">
        <v>11451</v>
      </c>
      <c r="B125" s="256" t="s">
        <v>7535</v>
      </c>
      <c r="C125" s="264" t="s">
        <v>11452</v>
      </c>
      <c r="D125" s="256" t="s">
        <v>11453</v>
      </c>
      <c r="E125" s="265" t="s">
        <v>11414</v>
      </c>
      <c r="F125" s="256" t="s">
        <v>11454</v>
      </c>
      <c r="G125" s="256" t="s">
        <v>11455</v>
      </c>
      <c r="H125" s="265" t="s">
        <v>11456</v>
      </c>
      <c r="I125" s="265" t="s">
        <v>11425</v>
      </c>
      <c r="J125" s="256" t="s">
        <v>11246</v>
      </c>
      <c r="K125" s="266" t="s">
        <v>11457</v>
      </c>
      <c r="L125" s="254" t="s">
        <v>10927</v>
      </c>
      <c r="M125" s="6" t="s">
        <v>5475</v>
      </c>
      <c r="N125" s="30" t="s">
        <v>814</v>
      </c>
      <c r="O125" s="30" t="s">
        <v>11248</v>
      </c>
      <c r="P125" s="30" t="s">
        <v>11090</v>
      </c>
      <c r="Q125" s="30" t="s">
        <v>11458</v>
      </c>
    </row>
    <row r="126" customFormat="false" ht="115.5" hidden="false" customHeight="true" outlineLevel="0" collapsed="false">
      <c r="A126" s="256" t="s">
        <v>11459</v>
      </c>
      <c r="B126" s="256" t="s">
        <v>7535</v>
      </c>
      <c r="C126" s="264" t="s">
        <v>11460</v>
      </c>
      <c r="D126" s="256" t="s">
        <v>11461</v>
      </c>
      <c r="E126" s="265" t="s">
        <v>11414</v>
      </c>
      <c r="F126" s="256" t="s">
        <v>11462</v>
      </c>
      <c r="G126" s="256" t="s">
        <v>11463</v>
      </c>
      <c r="H126" s="265" t="s">
        <v>11464</v>
      </c>
      <c r="I126" s="265" t="s">
        <v>11465</v>
      </c>
      <c r="J126" s="256" t="s">
        <v>11246</v>
      </c>
      <c r="K126" s="266" t="s">
        <v>11466</v>
      </c>
      <c r="L126" s="254" t="s">
        <v>10927</v>
      </c>
      <c r="M126" s="6" t="s">
        <v>5957</v>
      </c>
      <c r="N126" s="30" t="s">
        <v>814</v>
      </c>
      <c r="O126" s="30" t="s">
        <v>11248</v>
      </c>
      <c r="P126" s="30" t="s">
        <v>11090</v>
      </c>
      <c r="Q126" s="254" t="s">
        <v>8580</v>
      </c>
    </row>
    <row r="127" customFormat="false" ht="115.5" hidden="false" customHeight="true" outlineLevel="0" collapsed="false">
      <c r="A127" s="256" t="s">
        <v>11467</v>
      </c>
      <c r="B127" s="256" t="s">
        <v>7535</v>
      </c>
      <c r="C127" s="264" t="s">
        <v>11468</v>
      </c>
      <c r="D127" s="256" t="s">
        <v>11461</v>
      </c>
      <c r="E127" s="265" t="s">
        <v>11414</v>
      </c>
      <c r="F127" s="256" t="s">
        <v>11469</v>
      </c>
      <c r="G127" s="256" t="s">
        <v>11470</v>
      </c>
      <c r="H127" s="265" t="s">
        <v>11471</v>
      </c>
      <c r="I127" s="265" t="s">
        <v>11465</v>
      </c>
      <c r="J127" s="256" t="s">
        <v>11246</v>
      </c>
      <c r="K127" s="266" t="s">
        <v>11472</v>
      </c>
      <c r="L127" s="254" t="s">
        <v>10927</v>
      </c>
      <c r="M127" s="6" t="s">
        <v>5966</v>
      </c>
      <c r="N127" s="30" t="s">
        <v>814</v>
      </c>
      <c r="O127" s="30" t="s">
        <v>11248</v>
      </c>
      <c r="P127" s="30" t="s">
        <v>11090</v>
      </c>
      <c r="Q127" s="254" t="s">
        <v>11473</v>
      </c>
    </row>
    <row r="128" customFormat="false" ht="77.25" hidden="false" customHeight="true" outlineLevel="0" collapsed="false">
      <c r="A128" s="256" t="s">
        <v>11474</v>
      </c>
      <c r="B128" s="256" t="s">
        <v>7535</v>
      </c>
      <c r="C128" s="264" t="s">
        <v>11475</v>
      </c>
      <c r="D128" s="256" t="s">
        <v>11476</v>
      </c>
      <c r="E128" s="265" t="s">
        <v>11414</v>
      </c>
      <c r="F128" s="256" t="s">
        <v>11477</v>
      </c>
      <c r="G128" s="256" t="s">
        <v>814</v>
      </c>
      <c r="H128" s="256" t="s">
        <v>11478</v>
      </c>
      <c r="I128" s="265" t="s">
        <v>11479</v>
      </c>
      <c r="J128" s="256" t="s">
        <v>11246</v>
      </c>
      <c r="K128" s="266" t="s">
        <v>11480</v>
      </c>
      <c r="L128" s="254" t="s">
        <v>10927</v>
      </c>
      <c r="M128" s="6" t="s">
        <v>11481</v>
      </c>
      <c r="N128" s="30" t="s">
        <v>814</v>
      </c>
      <c r="O128" s="30" t="s">
        <v>814</v>
      </c>
      <c r="P128" s="30" t="s">
        <v>11090</v>
      </c>
      <c r="Q128" s="254" t="s">
        <v>8580</v>
      </c>
      <c r="R128" s="246" t="s">
        <v>11482</v>
      </c>
    </row>
    <row r="129" customFormat="false" ht="64.5" hidden="false" customHeight="true" outlineLevel="0" collapsed="false">
      <c r="A129" s="256" t="s">
        <v>9332</v>
      </c>
      <c r="B129" s="256" t="s">
        <v>7535</v>
      </c>
      <c r="C129" s="264" t="s">
        <v>11483</v>
      </c>
      <c r="D129" s="256" t="s">
        <v>11484</v>
      </c>
      <c r="E129" s="265" t="s">
        <v>11241</v>
      </c>
      <c r="F129" s="256" t="s">
        <v>11485</v>
      </c>
      <c r="G129" s="256" t="s">
        <v>11486</v>
      </c>
      <c r="H129" s="256" t="s">
        <v>11487</v>
      </c>
      <c r="I129" s="265" t="s">
        <v>11488</v>
      </c>
      <c r="J129" s="256" t="s">
        <v>11246</v>
      </c>
      <c r="K129" s="266" t="s">
        <v>11489</v>
      </c>
      <c r="L129" s="254" t="s">
        <v>10927</v>
      </c>
      <c r="M129" s="6" t="s">
        <v>11490</v>
      </c>
      <c r="N129" s="30" t="s">
        <v>814</v>
      </c>
      <c r="O129" s="30" t="s">
        <v>11491</v>
      </c>
      <c r="P129" s="30" t="s">
        <v>11116</v>
      </c>
      <c r="Q129" s="254" t="s">
        <v>8580</v>
      </c>
    </row>
    <row r="130" customFormat="false" ht="112.5" hidden="false" customHeight="true" outlineLevel="0" collapsed="false">
      <c r="A130" s="256" t="s">
        <v>8898</v>
      </c>
      <c r="B130" s="256" t="s">
        <v>7535</v>
      </c>
      <c r="C130" s="264" t="s">
        <v>11492</v>
      </c>
      <c r="D130" s="256" t="s">
        <v>11493</v>
      </c>
      <c r="E130" s="265" t="s">
        <v>11241</v>
      </c>
      <c r="F130" s="256" t="s">
        <v>11494</v>
      </c>
      <c r="G130" s="256" t="s">
        <v>11495</v>
      </c>
      <c r="H130" s="256" t="s">
        <v>11496</v>
      </c>
      <c r="I130" s="265" t="s">
        <v>11497</v>
      </c>
      <c r="J130" s="256" t="s">
        <v>11246</v>
      </c>
      <c r="K130" s="266" t="s">
        <v>11498</v>
      </c>
      <c r="L130" s="254" t="s">
        <v>10927</v>
      </c>
      <c r="M130" s="6" t="s">
        <v>11499</v>
      </c>
      <c r="N130" s="30" t="s">
        <v>11500</v>
      </c>
      <c r="O130" s="30" t="s">
        <v>11501</v>
      </c>
      <c r="P130" s="30" t="s">
        <v>11116</v>
      </c>
      <c r="Q130" s="254" t="s">
        <v>8580</v>
      </c>
    </row>
    <row r="131" customFormat="false" ht="51.75" hidden="false" customHeight="true" outlineLevel="0" collapsed="false">
      <c r="A131" s="256" t="s">
        <v>8912</v>
      </c>
      <c r="B131" s="256" t="s">
        <v>7535</v>
      </c>
      <c r="C131" s="264" t="s">
        <v>11502</v>
      </c>
      <c r="D131" s="256" t="s">
        <v>11503</v>
      </c>
      <c r="E131" s="265" t="s">
        <v>11241</v>
      </c>
      <c r="F131" s="256" t="s">
        <v>11504</v>
      </c>
      <c r="G131" s="256" t="s">
        <v>814</v>
      </c>
      <c r="H131" s="256" t="s">
        <v>11505</v>
      </c>
      <c r="I131" s="265" t="s">
        <v>11506</v>
      </c>
      <c r="J131" s="256" t="s">
        <v>11246</v>
      </c>
      <c r="K131" s="266" t="s">
        <v>11507</v>
      </c>
      <c r="L131" s="254" t="s">
        <v>10927</v>
      </c>
      <c r="M131" s="6" t="s">
        <v>5522</v>
      </c>
      <c r="N131" s="30" t="s">
        <v>814</v>
      </c>
      <c r="O131" s="30" t="s">
        <v>11508</v>
      </c>
      <c r="P131" s="30" t="s">
        <v>11116</v>
      </c>
      <c r="Q131" s="254" t="s">
        <v>8580</v>
      </c>
    </row>
    <row r="132" customFormat="false" ht="64.5" hidden="false" customHeight="true" outlineLevel="0" collapsed="false">
      <c r="A132" s="256" t="s">
        <v>11509</v>
      </c>
      <c r="B132" s="256" t="s">
        <v>7535</v>
      </c>
      <c r="C132" s="264" t="s">
        <v>11510</v>
      </c>
      <c r="D132" s="256" t="s">
        <v>11511</v>
      </c>
      <c r="E132" s="265" t="s">
        <v>11241</v>
      </c>
      <c r="F132" s="256" t="s">
        <v>11512</v>
      </c>
      <c r="G132" s="256" t="s">
        <v>11513</v>
      </c>
      <c r="H132" s="265" t="s">
        <v>11514</v>
      </c>
      <c r="I132" s="265" t="s">
        <v>11515</v>
      </c>
      <c r="J132" s="256" t="s">
        <v>11246</v>
      </c>
      <c r="K132" s="266" t="s">
        <v>11516</v>
      </c>
      <c r="L132" s="254" t="s">
        <v>10927</v>
      </c>
      <c r="M132" s="6" t="s">
        <v>814</v>
      </c>
      <c r="N132" s="30" t="s">
        <v>814</v>
      </c>
      <c r="O132" s="254" t="s">
        <v>11517</v>
      </c>
      <c r="P132" s="30" t="s">
        <v>137</v>
      </c>
      <c r="Q132" s="254" t="s">
        <v>11518</v>
      </c>
    </row>
    <row r="133" customFormat="false" ht="39" hidden="false" customHeight="true" outlineLevel="0" collapsed="false">
      <c r="A133" s="256" t="s">
        <v>11519</v>
      </c>
      <c r="B133" s="256" t="s">
        <v>7535</v>
      </c>
      <c r="C133" s="264" t="s">
        <v>11520</v>
      </c>
      <c r="D133" s="256" t="s">
        <v>11511</v>
      </c>
      <c r="E133" s="265" t="s">
        <v>11241</v>
      </c>
      <c r="F133" s="256" t="s">
        <v>11521</v>
      </c>
      <c r="G133" s="256" t="s">
        <v>11522</v>
      </c>
      <c r="H133" s="265" t="s">
        <v>11514</v>
      </c>
      <c r="I133" s="265" t="s">
        <v>11515</v>
      </c>
      <c r="J133" s="256" t="s">
        <v>11246</v>
      </c>
      <c r="K133" s="266" t="s">
        <v>11523</v>
      </c>
      <c r="L133" s="254" t="s">
        <v>10927</v>
      </c>
      <c r="M133" s="6" t="s">
        <v>814</v>
      </c>
      <c r="N133" s="30" t="s">
        <v>814</v>
      </c>
      <c r="O133" s="254" t="s">
        <v>11517</v>
      </c>
      <c r="P133" s="30" t="s">
        <v>137</v>
      </c>
      <c r="Q133" s="254" t="s">
        <v>11518</v>
      </c>
    </row>
    <row r="134" customFormat="false" ht="51.75" hidden="false" customHeight="true" outlineLevel="0" collapsed="false">
      <c r="A134" s="256" t="s">
        <v>11524</v>
      </c>
      <c r="B134" s="256" t="s">
        <v>7535</v>
      </c>
      <c r="C134" s="264" t="s">
        <v>11525</v>
      </c>
      <c r="D134" s="256" t="s">
        <v>11526</v>
      </c>
      <c r="E134" s="265" t="s">
        <v>11241</v>
      </c>
      <c r="F134" s="256" t="s">
        <v>11527</v>
      </c>
      <c r="G134" s="256" t="s">
        <v>11528</v>
      </c>
      <c r="H134" s="256" t="s">
        <v>11529</v>
      </c>
      <c r="I134" s="265" t="s">
        <v>11530</v>
      </c>
      <c r="J134" s="256" t="s">
        <v>11246</v>
      </c>
      <c r="K134" s="266" t="s">
        <v>11531</v>
      </c>
      <c r="L134" s="254" t="s">
        <v>10927</v>
      </c>
      <c r="M134" s="6" t="s">
        <v>814</v>
      </c>
      <c r="N134" s="30" t="s">
        <v>814</v>
      </c>
      <c r="O134" s="30" t="s">
        <v>814</v>
      </c>
      <c r="P134" s="30" t="s">
        <v>137</v>
      </c>
      <c r="Q134" s="254" t="s">
        <v>8580</v>
      </c>
    </row>
    <row r="135" customFormat="false" ht="39" hidden="false" customHeight="true" outlineLevel="0" collapsed="false">
      <c r="A135" s="256" t="s">
        <v>11532</v>
      </c>
      <c r="B135" s="256" t="s">
        <v>7535</v>
      </c>
      <c r="C135" s="264" t="s">
        <v>11533</v>
      </c>
      <c r="D135" s="256" t="s">
        <v>11511</v>
      </c>
      <c r="E135" s="265" t="s">
        <v>11241</v>
      </c>
      <c r="F135" s="256" t="s">
        <v>11534</v>
      </c>
      <c r="G135" s="256" t="s">
        <v>11535</v>
      </c>
      <c r="H135" s="256" t="s">
        <v>11536</v>
      </c>
      <c r="I135" s="265" t="s">
        <v>11537</v>
      </c>
      <c r="J135" s="256" t="s">
        <v>11246</v>
      </c>
      <c r="K135" s="266" t="s">
        <v>11538</v>
      </c>
      <c r="L135" s="254" t="s">
        <v>10927</v>
      </c>
      <c r="M135" s="6" t="s">
        <v>814</v>
      </c>
      <c r="N135" s="30" t="s">
        <v>814</v>
      </c>
      <c r="O135" s="254" t="s">
        <v>11539</v>
      </c>
      <c r="P135" s="30" t="s">
        <v>137</v>
      </c>
      <c r="Q135" s="254" t="s">
        <v>11518</v>
      </c>
    </row>
    <row r="136" customFormat="false" ht="51.75" hidden="false" customHeight="true" outlineLevel="0" collapsed="false">
      <c r="A136" s="256" t="s">
        <v>11540</v>
      </c>
      <c r="B136" s="256" t="s">
        <v>7535</v>
      </c>
      <c r="C136" s="264" t="s">
        <v>11541</v>
      </c>
      <c r="D136" s="256" t="s">
        <v>11511</v>
      </c>
      <c r="E136" s="265" t="s">
        <v>11241</v>
      </c>
      <c r="F136" s="256" t="s">
        <v>11542</v>
      </c>
      <c r="G136" s="256" t="s">
        <v>11543</v>
      </c>
      <c r="H136" s="265" t="s">
        <v>11544</v>
      </c>
      <c r="I136" s="265" t="s">
        <v>11545</v>
      </c>
      <c r="J136" s="256" t="s">
        <v>11246</v>
      </c>
      <c r="K136" s="266" t="s">
        <v>11546</v>
      </c>
      <c r="L136" s="254" t="s">
        <v>10927</v>
      </c>
      <c r="M136" s="6" t="s">
        <v>814</v>
      </c>
      <c r="N136" s="30" t="s">
        <v>814</v>
      </c>
      <c r="O136" s="30" t="s">
        <v>814</v>
      </c>
      <c r="P136" s="30" t="s">
        <v>814</v>
      </c>
      <c r="Q136" s="254" t="s">
        <v>11518</v>
      </c>
    </row>
    <row r="137" customFormat="false" ht="51.75" hidden="false" customHeight="true" outlineLevel="0" collapsed="false">
      <c r="A137" s="256" t="s">
        <v>11547</v>
      </c>
      <c r="B137" s="256" t="s">
        <v>7535</v>
      </c>
      <c r="C137" s="264" t="s">
        <v>11548</v>
      </c>
      <c r="D137" s="256" t="s">
        <v>11549</v>
      </c>
      <c r="E137" s="265" t="s">
        <v>11241</v>
      </c>
      <c r="F137" s="256" t="s">
        <v>11550</v>
      </c>
      <c r="G137" s="256" t="s">
        <v>11551</v>
      </c>
      <c r="H137" s="256" t="s">
        <v>814</v>
      </c>
      <c r="I137" s="265" t="s">
        <v>11545</v>
      </c>
      <c r="J137" s="256" t="s">
        <v>11246</v>
      </c>
      <c r="K137" s="266" t="s">
        <v>11552</v>
      </c>
      <c r="L137" s="254" t="s">
        <v>10927</v>
      </c>
      <c r="M137" s="6" t="s">
        <v>814</v>
      </c>
      <c r="N137" s="30" t="s">
        <v>814</v>
      </c>
      <c r="O137" s="30" t="s">
        <v>814</v>
      </c>
      <c r="P137" s="30" t="s">
        <v>137</v>
      </c>
      <c r="Q137" s="254" t="s">
        <v>8580</v>
      </c>
    </row>
    <row r="138" customFormat="false" ht="26.25" hidden="false" customHeight="true" outlineLevel="0" collapsed="false">
      <c r="A138" s="256" t="s">
        <v>11553</v>
      </c>
      <c r="B138" s="256" t="s">
        <v>7535</v>
      </c>
      <c r="C138" s="264" t="s">
        <v>11554</v>
      </c>
      <c r="D138" s="256" t="s">
        <v>11555</v>
      </c>
      <c r="E138" s="265" t="s">
        <v>11556</v>
      </c>
      <c r="F138" s="256" t="s">
        <v>11557</v>
      </c>
      <c r="G138" s="256" t="s">
        <v>814</v>
      </c>
      <c r="H138" s="256" t="s">
        <v>814</v>
      </c>
      <c r="I138" s="265" t="s">
        <v>11558</v>
      </c>
      <c r="J138" s="256" t="s">
        <v>11246</v>
      </c>
      <c r="K138" s="266" t="s">
        <v>11559</v>
      </c>
      <c r="L138" s="254" t="s">
        <v>10927</v>
      </c>
      <c r="M138" s="6" t="s">
        <v>814</v>
      </c>
      <c r="N138" s="30" t="s">
        <v>814</v>
      </c>
      <c r="O138" s="30" t="s">
        <v>814</v>
      </c>
      <c r="P138" s="30" t="s">
        <v>11062</v>
      </c>
      <c r="Q138" s="254" t="s">
        <v>8580</v>
      </c>
    </row>
    <row r="139" customFormat="false" ht="51.75" hidden="false" customHeight="true" outlineLevel="0" collapsed="false">
      <c r="A139" s="256" t="s">
        <v>11560</v>
      </c>
      <c r="B139" s="256" t="s">
        <v>7535</v>
      </c>
      <c r="C139" s="264" t="s">
        <v>11561</v>
      </c>
      <c r="D139" s="256" t="s">
        <v>11562</v>
      </c>
      <c r="E139" s="265" t="s">
        <v>11563</v>
      </c>
      <c r="F139" s="256" t="s">
        <v>11564</v>
      </c>
      <c r="G139" s="256" t="s">
        <v>814</v>
      </c>
      <c r="H139" s="256" t="s">
        <v>814</v>
      </c>
      <c r="I139" s="265" t="s">
        <v>11565</v>
      </c>
      <c r="J139" s="256" t="s">
        <v>11246</v>
      </c>
      <c r="K139" s="266" t="s">
        <v>11566</v>
      </c>
      <c r="L139" s="254" t="s">
        <v>10927</v>
      </c>
      <c r="M139" s="6" t="s">
        <v>814</v>
      </c>
      <c r="N139" s="30" t="s">
        <v>814</v>
      </c>
      <c r="O139" s="30" t="s">
        <v>814</v>
      </c>
      <c r="P139" s="30" t="s">
        <v>11062</v>
      </c>
      <c r="Q139" s="254" t="s">
        <v>8580</v>
      </c>
    </row>
    <row r="140" customFormat="false" ht="26.25" hidden="false" customHeight="true" outlineLevel="0" collapsed="false">
      <c r="A140" s="256" t="s">
        <v>11567</v>
      </c>
      <c r="B140" s="256" t="s">
        <v>7535</v>
      </c>
      <c r="C140" s="264" t="s">
        <v>11568</v>
      </c>
      <c r="D140" s="256" t="s">
        <v>11569</v>
      </c>
      <c r="E140" s="265" t="s">
        <v>11414</v>
      </c>
      <c r="F140" s="256" t="s">
        <v>11570</v>
      </c>
      <c r="G140" s="256" t="s">
        <v>11571</v>
      </c>
      <c r="H140" s="256" t="s">
        <v>11572</v>
      </c>
      <c r="I140" s="265" t="s">
        <v>11573</v>
      </c>
      <c r="J140" s="256" t="s">
        <v>11246</v>
      </c>
      <c r="K140" s="266" t="s">
        <v>11574</v>
      </c>
      <c r="L140" s="254" t="s">
        <v>10927</v>
      </c>
      <c r="M140" s="6" t="s">
        <v>814</v>
      </c>
      <c r="N140" s="30" t="s">
        <v>814</v>
      </c>
      <c r="O140" s="30" t="s">
        <v>11575</v>
      </c>
      <c r="P140" s="30" t="s">
        <v>137</v>
      </c>
      <c r="Q140" s="254" t="s">
        <v>8687</v>
      </c>
    </row>
    <row r="141" customFormat="false" ht="51.75" hidden="false" customHeight="true" outlineLevel="0" collapsed="false">
      <c r="A141" s="256" t="s">
        <v>11576</v>
      </c>
      <c r="B141" s="256" t="s">
        <v>7535</v>
      </c>
      <c r="C141" s="264" t="s">
        <v>11577</v>
      </c>
      <c r="D141" s="256" t="s">
        <v>11578</v>
      </c>
      <c r="E141" s="265" t="s">
        <v>11241</v>
      </c>
      <c r="F141" s="256" t="s">
        <v>11579</v>
      </c>
      <c r="G141" s="265" t="s">
        <v>11580</v>
      </c>
      <c r="H141" s="265" t="s">
        <v>11581</v>
      </c>
      <c r="I141" s="265" t="s">
        <v>11582</v>
      </c>
      <c r="J141" s="256" t="s">
        <v>11246</v>
      </c>
      <c r="K141" s="266" t="s">
        <v>11583</v>
      </c>
      <c r="L141" s="254" t="s">
        <v>10927</v>
      </c>
      <c r="M141" s="6" t="s">
        <v>814</v>
      </c>
      <c r="N141" s="30" t="s">
        <v>814</v>
      </c>
      <c r="O141" s="30" t="s">
        <v>11584</v>
      </c>
      <c r="P141" s="30" t="s">
        <v>814</v>
      </c>
      <c r="Q141" s="254" t="s">
        <v>8580</v>
      </c>
    </row>
    <row r="142" customFormat="false" ht="51.75" hidden="false" customHeight="true" outlineLevel="0" collapsed="false">
      <c r="A142" s="256" t="s">
        <v>11585</v>
      </c>
      <c r="B142" s="256" t="s">
        <v>7535</v>
      </c>
      <c r="C142" s="264" t="s">
        <v>11586</v>
      </c>
      <c r="D142" s="256" t="s">
        <v>11587</v>
      </c>
      <c r="E142" s="265" t="s">
        <v>11241</v>
      </c>
      <c r="F142" s="256" t="s">
        <v>11588</v>
      </c>
      <c r="G142" s="256" t="s">
        <v>11589</v>
      </c>
      <c r="H142" s="265" t="s">
        <v>11590</v>
      </c>
      <c r="I142" s="265" t="s">
        <v>11591</v>
      </c>
      <c r="J142" s="256" t="s">
        <v>11246</v>
      </c>
      <c r="K142" s="266" t="s">
        <v>11592</v>
      </c>
      <c r="L142" s="254" t="s">
        <v>10927</v>
      </c>
      <c r="M142" s="6" t="s">
        <v>814</v>
      </c>
      <c r="N142" s="30" t="s">
        <v>814</v>
      </c>
      <c r="O142" s="254" t="s">
        <v>11593</v>
      </c>
      <c r="P142" s="30" t="s">
        <v>180</v>
      </c>
      <c r="Q142" s="254" t="s">
        <v>8580</v>
      </c>
    </row>
    <row r="143" customFormat="false" ht="64.5" hidden="false" customHeight="true" outlineLevel="0" collapsed="false">
      <c r="A143" s="256" t="s">
        <v>11594</v>
      </c>
      <c r="B143" s="256" t="s">
        <v>7535</v>
      </c>
      <c r="C143" s="264" t="s">
        <v>11595</v>
      </c>
      <c r="D143" s="256" t="s">
        <v>11596</v>
      </c>
      <c r="E143" s="265" t="s">
        <v>11414</v>
      </c>
      <c r="F143" s="256" t="s">
        <v>11597</v>
      </c>
      <c r="G143" s="256" t="s">
        <v>11598</v>
      </c>
      <c r="H143" s="256" t="s">
        <v>11599</v>
      </c>
      <c r="I143" s="265" t="s">
        <v>11600</v>
      </c>
      <c r="J143" s="256" t="s">
        <v>11246</v>
      </c>
      <c r="K143" s="266" t="s">
        <v>11601</v>
      </c>
      <c r="L143" s="254" t="s">
        <v>10927</v>
      </c>
      <c r="M143" s="6" t="s">
        <v>5475</v>
      </c>
      <c r="N143" s="30" t="s">
        <v>814</v>
      </c>
      <c r="O143" s="30" t="s">
        <v>11602</v>
      </c>
      <c r="P143" s="30" t="s">
        <v>180</v>
      </c>
      <c r="Q143" s="254" t="s">
        <v>8687</v>
      </c>
    </row>
    <row r="144" customFormat="false" ht="26.25" hidden="false" customHeight="true" outlineLevel="0" collapsed="false">
      <c r="A144" s="256" t="s">
        <v>11603</v>
      </c>
      <c r="B144" s="256" t="s">
        <v>7535</v>
      </c>
      <c r="C144" s="264" t="s">
        <v>11604</v>
      </c>
      <c r="D144" s="256" t="s">
        <v>11605</v>
      </c>
      <c r="E144" s="265" t="s">
        <v>11241</v>
      </c>
      <c r="F144" s="256" t="s">
        <v>11606</v>
      </c>
      <c r="G144" s="256" t="s">
        <v>11607</v>
      </c>
      <c r="H144" s="265" t="s">
        <v>11608</v>
      </c>
      <c r="I144" s="265" t="s">
        <v>11609</v>
      </c>
      <c r="J144" s="256" t="s">
        <v>11246</v>
      </c>
      <c r="K144" s="266" t="s">
        <v>11610</v>
      </c>
      <c r="L144" s="254" t="s">
        <v>10927</v>
      </c>
      <c r="M144" s="6" t="s">
        <v>814</v>
      </c>
      <c r="N144" s="30" t="s">
        <v>814</v>
      </c>
      <c r="O144" s="30" t="s">
        <v>814</v>
      </c>
      <c r="P144" s="30" t="s">
        <v>814</v>
      </c>
      <c r="Q144" s="254" t="s">
        <v>8687</v>
      </c>
    </row>
    <row r="145" customFormat="false" ht="77.25" hidden="false" customHeight="true" outlineLevel="0" collapsed="false">
      <c r="A145" s="256" t="s">
        <v>11611</v>
      </c>
      <c r="B145" s="256" t="s">
        <v>7535</v>
      </c>
      <c r="C145" s="266" t="s">
        <v>11612</v>
      </c>
      <c r="D145" s="265" t="s">
        <v>11613</v>
      </c>
      <c r="E145" s="265" t="s">
        <v>11614</v>
      </c>
      <c r="F145" s="256" t="s">
        <v>11615</v>
      </c>
      <c r="G145" s="256" t="s">
        <v>11616</v>
      </c>
      <c r="H145" s="265" t="s">
        <v>11617</v>
      </c>
      <c r="I145" s="265" t="s">
        <v>11618</v>
      </c>
      <c r="J145" s="256" t="s">
        <v>11246</v>
      </c>
      <c r="K145" s="266" t="s">
        <v>11619</v>
      </c>
      <c r="L145" s="254" t="s">
        <v>10927</v>
      </c>
      <c r="M145" s="6" t="s">
        <v>814</v>
      </c>
      <c r="N145" s="30" t="s">
        <v>814</v>
      </c>
      <c r="O145" s="30" t="s">
        <v>814</v>
      </c>
      <c r="P145" s="30" t="s">
        <v>814</v>
      </c>
      <c r="Q145" s="30" t="s">
        <v>814</v>
      </c>
    </row>
    <row r="146" customFormat="false" ht="26.25" hidden="false" customHeight="true" outlineLevel="0" collapsed="false">
      <c r="A146" s="256" t="s">
        <v>11620</v>
      </c>
      <c r="B146" s="256" t="s">
        <v>7535</v>
      </c>
      <c r="C146" s="264" t="s">
        <v>11621</v>
      </c>
      <c r="D146" s="256" t="s">
        <v>11526</v>
      </c>
      <c r="E146" s="265" t="s">
        <v>11241</v>
      </c>
      <c r="F146" s="256" t="s">
        <v>11622</v>
      </c>
      <c r="G146" s="256" t="s">
        <v>11623</v>
      </c>
      <c r="H146" s="265" t="s">
        <v>11624</v>
      </c>
      <c r="I146" s="265" t="s">
        <v>11625</v>
      </c>
      <c r="J146" s="256" t="s">
        <v>11246</v>
      </c>
      <c r="K146" s="266" t="s">
        <v>11626</v>
      </c>
      <c r="L146" s="254" t="s">
        <v>10927</v>
      </c>
      <c r="M146" s="6" t="s">
        <v>814</v>
      </c>
      <c r="N146" s="30" t="s">
        <v>814</v>
      </c>
      <c r="O146" s="30" t="s">
        <v>814</v>
      </c>
      <c r="P146" s="30" t="s">
        <v>814</v>
      </c>
      <c r="Q146" s="30" t="s">
        <v>814</v>
      </c>
    </row>
    <row r="147" customFormat="false" ht="39" hidden="false" customHeight="true" outlineLevel="0" collapsed="false">
      <c r="A147" s="256" t="s">
        <v>11627</v>
      </c>
      <c r="B147" s="256" t="s">
        <v>7535</v>
      </c>
      <c r="C147" s="264" t="s">
        <v>11628</v>
      </c>
      <c r="D147" s="265" t="s">
        <v>11629</v>
      </c>
      <c r="E147" s="256" t="s">
        <v>814</v>
      </c>
      <c r="F147" s="256" t="s">
        <v>11630</v>
      </c>
      <c r="G147" s="256" t="s">
        <v>814</v>
      </c>
      <c r="H147" s="256" t="s">
        <v>814</v>
      </c>
      <c r="I147" s="265" t="s">
        <v>11631</v>
      </c>
      <c r="J147" s="256" t="s">
        <v>11246</v>
      </c>
      <c r="K147" s="266" t="s">
        <v>11632</v>
      </c>
      <c r="L147" s="254" t="s">
        <v>10927</v>
      </c>
      <c r="M147" s="6" t="s">
        <v>814</v>
      </c>
      <c r="N147" s="30" t="s">
        <v>814</v>
      </c>
      <c r="O147" s="30" t="s">
        <v>814</v>
      </c>
      <c r="P147" s="30" t="s">
        <v>814</v>
      </c>
      <c r="Q147" s="30" t="s">
        <v>814</v>
      </c>
    </row>
    <row r="148" customFormat="false" ht="64.5" hidden="false" customHeight="true" outlineLevel="0" collapsed="false">
      <c r="A148" s="256" t="s">
        <v>11633</v>
      </c>
      <c r="B148" s="256" t="s">
        <v>7535</v>
      </c>
      <c r="C148" s="264" t="s">
        <v>11634</v>
      </c>
      <c r="D148" s="256" t="s">
        <v>11318</v>
      </c>
      <c r="E148" s="265" t="s">
        <v>11241</v>
      </c>
      <c r="F148" s="256" t="s">
        <v>11635</v>
      </c>
      <c r="G148" s="256" t="s">
        <v>11636</v>
      </c>
      <c r="H148" s="256" t="s">
        <v>11637</v>
      </c>
      <c r="I148" s="265" t="s">
        <v>11638</v>
      </c>
      <c r="J148" s="256" t="s">
        <v>11246</v>
      </c>
      <c r="K148" s="266" t="s">
        <v>11639</v>
      </c>
      <c r="L148" s="254" t="s">
        <v>10927</v>
      </c>
      <c r="M148" s="6" t="s">
        <v>5516</v>
      </c>
      <c r="N148" s="30" t="s">
        <v>814</v>
      </c>
      <c r="O148" s="30" t="s">
        <v>814</v>
      </c>
      <c r="P148" s="30" t="s">
        <v>11116</v>
      </c>
      <c r="Q148" s="254" t="s">
        <v>8580</v>
      </c>
    </row>
    <row r="149" customFormat="false" ht="39" hidden="false" customHeight="true" outlineLevel="0" collapsed="false">
      <c r="A149" s="256" t="s">
        <v>11640</v>
      </c>
      <c r="B149" s="256" t="s">
        <v>7535</v>
      </c>
      <c r="C149" s="264" t="s">
        <v>11641</v>
      </c>
      <c r="D149" s="256" t="s">
        <v>11642</v>
      </c>
      <c r="E149" s="265" t="s">
        <v>11241</v>
      </c>
      <c r="F149" s="256" t="s">
        <v>11643</v>
      </c>
      <c r="G149" s="256" t="s">
        <v>11644</v>
      </c>
      <c r="H149" s="256" t="s">
        <v>11645</v>
      </c>
      <c r="I149" s="265" t="s">
        <v>11638</v>
      </c>
      <c r="J149" s="256" t="s">
        <v>11246</v>
      </c>
      <c r="K149" s="266" t="s">
        <v>11646</v>
      </c>
      <c r="L149" s="254" t="s">
        <v>10927</v>
      </c>
      <c r="M149" s="6" t="s">
        <v>5535</v>
      </c>
      <c r="N149" s="30" t="s">
        <v>814</v>
      </c>
      <c r="O149" s="30" t="s">
        <v>814</v>
      </c>
      <c r="P149" s="30" t="s">
        <v>11116</v>
      </c>
      <c r="Q149" s="254" t="s">
        <v>8580</v>
      </c>
    </row>
    <row r="150" customFormat="false" ht="77.25" hidden="false" customHeight="true" outlineLevel="0" collapsed="false">
      <c r="A150" s="256" t="s">
        <v>11647</v>
      </c>
      <c r="B150" s="256" t="s">
        <v>7535</v>
      </c>
      <c r="C150" s="264" t="s">
        <v>11648</v>
      </c>
      <c r="D150" s="256" t="s">
        <v>11311</v>
      </c>
      <c r="E150" s="265" t="s">
        <v>11241</v>
      </c>
      <c r="F150" s="256" t="s">
        <v>11649</v>
      </c>
      <c r="G150" s="256" t="s">
        <v>11650</v>
      </c>
      <c r="H150" s="256" t="s">
        <v>11651</v>
      </c>
      <c r="I150" s="265" t="s">
        <v>11638</v>
      </c>
      <c r="J150" s="256" t="s">
        <v>11246</v>
      </c>
      <c r="K150" s="266" t="s">
        <v>11652</v>
      </c>
      <c r="L150" s="254" t="s">
        <v>10927</v>
      </c>
      <c r="M150" s="6" t="s">
        <v>5580</v>
      </c>
      <c r="N150" s="30" t="s">
        <v>814</v>
      </c>
      <c r="O150" s="30" t="s">
        <v>814</v>
      </c>
      <c r="P150" s="30" t="s">
        <v>11116</v>
      </c>
      <c r="Q150" s="254" t="s">
        <v>8580</v>
      </c>
    </row>
    <row r="151" customFormat="false" ht="64.5" hidden="false" customHeight="true" outlineLevel="0" collapsed="false">
      <c r="A151" s="256" t="s">
        <v>11653</v>
      </c>
      <c r="B151" s="256" t="s">
        <v>7535</v>
      </c>
      <c r="C151" s="264" t="s">
        <v>11654</v>
      </c>
      <c r="D151" s="256" t="s">
        <v>11390</v>
      </c>
      <c r="E151" s="265" t="s">
        <v>11241</v>
      </c>
      <c r="F151" s="256" t="s">
        <v>11655</v>
      </c>
      <c r="G151" s="256" t="s">
        <v>11656</v>
      </c>
      <c r="H151" s="256" t="s">
        <v>11657</v>
      </c>
      <c r="I151" s="265" t="s">
        <v>11658</v>
      </c>
      <c r="J151" s="256" t="s">
        <v>11246</v>
      </c>
      <c r="K151" s="266" t="s">
        <v>11659</v>
      </c>
      <c r="L151" s="254" t="s">
        <v>10927</v>
      </c>
      <c r="M151" s="6" t="s">
        <v>5432</v>
      </c>
      <c r="N151" s="30" t="s">
        <v>814</v>
      </c>
      <c r="O151" s="254" t="s">
        <v>11660</v>
      </c>
      <c r="P151" s="30" t="s">
        <v>11116</v>
      </c>
      <c r="Q151" s="254" t="s">
        <v>8580</v>
      </c>
    </row>
    <row r="152" customFormat="false" ht="64.5" hidden="false" customHeight="true" outlineLevel="0" collapsed="false">
      <c r="A152" s="256" t="s">
        <v>7038</v>
      </c>
      <c r="B152" s="256" t="s">
        <v>7535</v>
      </c>
      <c r="C152" s="264" t="s">
        <v>11661</v>
      </c>
      <c r="D152" s="265" t="s">
        <v>11662</v>
      </c>
      <c r="E152" s="265" t="s">
        <v>11614</v>
      </c>
      <c r="F152" s="256" t="s">
        <v>11663</v>
      </c>
      <c r="G152" s="256" t="s">
        <v>11664</v>
      </c>
      <c r="H152" s="256" t="s">
        <v>11665</v>
      </c>
      <c r="I152" s="265" t="s">
        <v>11666</v>
      </c>
      <c r="J152" s="256" t="s">
        <v>11246</v>
      </c>
      <c r="K152" s="266" t="s">
        <v>11667</v>
      </c>
      <c r="L152" s="254" t="s">
        <v>10927</v>
      </c>
      <c r="M152" s="6" t="s">
        <v>814</v>
      </c>
      <c r="N152" s="30" t="s">
        <v>814</v>
      </c>
      <c r="O152" s="30" t="s">
        <v>11508</v>
      </c>
      <c r="P152" s="30" t="s">
        <v>132</v>
      </c>
      <c r="Q152" s="30" t="s">
        <v>814</v>
      </c>
    </row>
    <row r="153" customFormat="false" ht="126.75" hidden="false" customHeight="true" outlineLevel="0" collapsed="false">
      <c r="A153" s="256" t="s">
        <v>11668</v>
      </c>
      <c r="B153" s="256" t="s">
        <v>7555</v>
      </c>
      <c r="C153" s="264" t="s">
        <v>11669</v>
      </c>
      <c r="D153" s="265" t="s">
        <v>11670</v>
      </c>
      <c r="E153" s="265" t="s">
        <v>11614</v>
      </c>
      <c r="F153" s="256" t="s">
        <v>11671</v>
      </c>
      <c r="G153" s="256" t="s">
        <v>11672</v>
      </c>
      <c r="H153" s="265" t="s">
        <v>11673</v>
      </c>
      <c r="I153" s="265" t="s">
        <v>11674</v>
      </c>
      <c r="J153" s="256" t="s">
        <v>11246</v>
      </c>
      <c r="K153" s="266" t="s">
        <v>11675</v>
      </c>
      <c r="L153" s="254" t="s">
        <v>10927</v>
      </c>
      <c r="M153" s="6" t="s">
        <v>814</v>
      </c>
      <c r="N153" s="30" t="s">
        <v>814</v>
      </c>
      <c r="O153" s="30" t="s">
        <v>814</v>
      </c>
      <c r="P153" s="30" t="s">
        <v>132</v>
      </c>
      <c r="Q153" s="30" t="s">
        <v>814</v>
      </c>
    </row>
    <row r="154" customFormat="false" ht="101.25" hidden="false" customHeight="true" outlineLevel="0" collapsed="false">
      <c r="A154" s="256" t="s">
        <v>11676</v>
      </c>
      <c r="B154" s="256" t="s">
        <v>7555</v>
      </c>
      <c r="C154" s="264" t="s">
        <v>11677</v>
      </c>
      <c r="D154" s="256" t="s">
        <v>11678</v>
      </c>
      <c r="E154" s="265" t="s">
        <v>11241</v>
      </c>
      <c r="F154" s="256" t="s">
        <v>11679</v>
      </c>
      <c r="G154" s="256" t="s">
        <v>11680</v>
      </c>
      <c r="H154" s="256" t="s">
        <v>11681</v>
      </c>
      <c r="I154" s="265" t="s">
        <v>11682</v>
      </c>
      <c r="J154" s="256" t="s">
        <v>11246</v>
      </c>
      <c r="K154" s="266" t="s">
        <v>11683</v>
      </c>
      <c r="L154" s="254" t="s">
        <v>10927</v>
      </c>
      <c r="M154" s="6" t="s">
        <v>814</v>
      </c>
      <c r="N154" s="30" t="s">
        <v>814</v>
      </c>
      <c r="O154" s="30" t="s">
        <v>814</v>
      </c>
      <c r="P154" s="30" t="s">
        <v>137</v>
      </c>
      <c r="Q154" s="254" t="s">
        <v>8687</v>
      </c>
    </row>
    <row r="155" customFormat="false" ht="102.75" hidden="false" customHeight="true" outlineLevel="0" collapsed="false">
      <c r="A155" s="256" t="s">
        <v>11684</v>
      </c>
      <c r="B155" s="256" t="s">
        <v>7555</v>
      </c>
      <c r="C155" s="264" t="s">
        <v>11685</v>
      </c>
      <c r="D155" s="265" t="s">
        <v>11686</v>
      </c>
      <c r="E155" s="265" t="s">
        <v>11614</v>
      </c>
      <c r="F155" s="256" t="s">
        <v>11687</v>
      </c>
      <c r="G155" s="256" t="s">
        <v>11688</v>
      </c>
      <c r="H155" s="265" t="s">
        <v>11689</v>
      </c>
      <c r="I155" s="265" t="s">
        <v>11690</v>
      </c>
      <c r="J155" s="256" t="s">
        <v>11246</v>
      </c>
      <c r="K155" s="266" t="s">
        <v>11691</v>
      </c>
      <c r="L155" s="254" t="s">
        <v>10927</v>
      </c>
      <c r="M155" s="6" t="s">
        <v>814</v>
      </c>
      <c r="N155" s="30" t="s">
        <v>814</v>
      </c>
      <c r="O155" s="30" t="s">
        <v>814</v>
      </c>
      <c r="P155" s="30" t="s">
        <v>132</v>
      </c>
      <c r="Q155" s="254" t="s">
        <v>11692</v>
      </c>
    </row>
    <row r="156" customFormat="false" ht="90" hidden="false" customHeight="true" outlineLevel="0" collapsed="false">
      <c r="A156" s="256" t="s">
        <v>11693</v>
      </c>
      <c r="B156" s="256" t="s">
        <v>7555</v>
      </c>
      <c r="C156" s="264" t="s">
        <v>11694</v>
      </c>
      <c r="D156" s="256" t="s">
        <v>11695</v>
      </c>
      <c r="E156" s="265" t="s">
        <v>11241</v>
      </c>
      <c r="F156" s="256" t="s">
        <v>11696</v>
      </c>
      <c r="G156" s="256" t="s">
        <v>11697</v>
      </c>
      <c r="H156" s="265" t="s">
        <v>11698</v>
      </c>
      <c r="I156" s="265" t="s">
        <v>11699</v>
      </c>
      <c r="J156" s="256" t="s">
        <v>11246</v>
      </c>
      <c r="K156" s="266" t="s">
        <v>11700</v>
      </c>
      <c r="L156" s="254" t="s">
        <v>10927</v>
      </c>
      <c r="M156" s="6" t="s">
        <v>814</v>
      </c>
      <c r="N156" s="30" t="s">
        <v>814</v>
      </c>
      <c r="O156" s="30" t="s">
        <v>814</v>
      </c>
      <c r="P156" s="30" t="s">
        <v>137</v>
      </c>
      <c r="Q156" s="254" t="s">
        <v>8687</v>
      </c>
    </row>
    <row r="157" customFormat="false" ht="64.5" hidden="false" customHeight="true" outlineLevel="0" collapsed="false">
      <c r="A157" s="256" t="s">
        <v>11701</v>
      </c>
      <c r="B157" s="256" t="s">
        <v>7555</v>
      </c>
      <c r="C157" s="264" t="s">
        <v>11702</v>
      </c>
      <c r="D157" s="265" t="s">
        <v>11703</v>
      </c>
      <c r="E157" s="265" t="s">
        <v>11556</v>
      </c>
      <c r="F157" s="256" t="s">
        <v>11704</v>
      </c>
      <c r="G157" s="256" t="s">
        <v>11705</v>
      </c>
      <c r="H157" s="256" t="s">
        <v>11706</v>
      </c>
      <c r="I157" s="265" t="s">
        <v>11699</v>
      </c>
      <c r="J157" s="256" t="s">
        <v>11246</v>
      </c>
      <c r="K157" s="266" t="s">
        <v>11707</v>
      </c>
      <c r="L157" s="254" t="s">
        <v>10927</v>
      </c>
      <c r="M157" s="6" t="s">
        <v>814</v>
      </c>
      <c r="N157" s="30" t="s">
        <v>814</v>
      </c>
      <c r="O157" s="30" t="s">
        <v>814</v>
      </c>
      <c r="P157" s="30" t="s">
        <v>137</v>
      </c>
      <c r="Q157" s="254" t="s">
        <v>11708</v>
      </c>
    </row>
    <row r="158" customFormat="false" ht="125.25" hidden="false" customHeight="true" outlineLevel="0" collapsed="false">
      <c r="A158" s="256" t="s">
        <v>11709</v>
      </c>
      <c r="B158" s="256" t="s">
        <v>7555</v>
      </c>
      <c r="C158" s="264" t="s">
        <v>11710</v>
      </c>
      <c r="D158" s="256" t="s">
        <v>11711</v>
      </c>
      <c r="E158" s="265" t="s">
        <v>11614</v>
      </c>
      <c r="F158" s="256" t="s">
        <v>11712</v>
      </c>
      <c r="G158" s="256" t="s">
        <v>11713</v>
      </c>
      <c r="H158" s="265" t="s">
        <v>11714</v>
      </c>
      <c r="I158" s="265" t="s">
        <v>11715</v>
      </c>
      <c r="J158" s="256" t="s">
        <v>11246</v>
      </c>
      <c r="K158" s="266" t="s">
        <v>11716</v>
      </c>
      <c r="L158" s="254" t="s">
        <v>10927</v>
      </c>
      <c r="M158" s="6" t="s">
        <v>814</v>
      </c>
      <c r="N158" s="30" t="s">
        <v>814</v>
      </c>
      <c r="O158" s="30" t="s">
        <v>814</v>
      </c>
      <c r="P158" s="30" t="s">
        <v>132</v>
      </c>
      <c r="Q158" s="30" t="s">
        <v>814</v>
      </c>
    </row>
    <row r="159" customFormat="false" ht="141" hidden="false" customHeight="true" outlineLevel="0" collapsed="false">
      <c r="A159" s="256" t="s">
        <v>11717</v>
      </c>
      <c r="B159" s="256" t="s">
        <v>7555</v>
      </c>
      <c r="C159" s="264" t="s">
        <v>11718</v>
      </c>
      <c r="D159" s="256" t="s">
        <v>11719</v>
      </c>
      <c r="E159" s="265" t="s">
        <v>11720</v>
      </c>
      <c r="F159" s="256" t="s">
        <v>11721</v>
      </c>
      <c r="G159" s="256" t="s">
        <v>11722</v>
      </c>
      <c r="H159" s="256" t="s">
        <v>11723</v>
      </c>
      <c r="I159" s="265" t="s">
        <v>11724</v>
      </c>
      <c r="J159" s="256" t="s">
        <v>11246</v>
      </c>
      <c r="K159" s="266" t="s">
        <v>11725</v>
      </c>
      <c r="L159" s="254" t="s">
        <v>10927</v>
      </c>
      <c r="M159" s="6" t="s">
        <v>814</v>
      </c>
      <c r="N159" s="30" t="s">
        <v>814</v>
      </c>
      <c r="O159" s="254" t="s">
        <v>11726</v>
      </c>
      <c r="P159" s="30" t="s">
        <v>137</v>
      </c>
      <c r="Q159" s="254" t="s">
        <v>11727</v>
      </c>
    </row>
    <row r="160" customFormat="false" ht="51.75" hidden="false" customHeight="true" outlineLevel="0" collapsed="false">
      <c r="A160" s="256" t="s">
        <v>11728</v>
      </c>
      <c r="B160" s="256" t="s">
        <v>7555</v>
      </c>
      <c r="C160" s="264" t="s">
        <v>11729</v>
      </c>
      <c r="D160" s="256" t="s">
        <v>11730</v>
      </c>
      <c r="E160" s="265" t="s">
        <v>11731</v>
      </c>
      <c r="F160" s="256" t="s">
        <v>11732</v>
      </c>
      <c r="G160" s="256" t="s">
        <v>11733</v>
      </c>
      <c r="H160" s="256" t="s">
        <v>11734</v>
      </c>
      <c r="I160" s="265" t="s">
        <v>11735</v>
      </c>
      <c r="J160" s="256" t="s">
        <v>7589</v>
      </c>
      <c r="K160" s="266" t="s">
        <v>11736</v>
      </c>
      <c r="L160" s="254" t="s">
        <v>10927</v>
      </c>
      <c r="M160" s="6" t="s">
        <v>814</v>
      </c>
      <c r="N160" s="30" t="s">
        <v>814</v>
      </c>
      <c r="O160" s="30" t="s">
        <v>814</v>
      </c>
      <c r="P160" s="30" t="s">
        <v>137</v>
      </c>
      <c r="Q160" s="254" t="s">
        <v>8687</v>
      </c>
    </row>
    <row r="161" customFormat="false" ht="51.75" hidden="false" customHeight="true" outlineLevel="0" collapsed="false">
      <c r="A161" s="256" t="s">
        <v>11737</v>
      </c>
      <c r="B161" s="256" t="s">
        <v>7555</v>
      </c>
      <c r="C161" s="264" t="s">
        <v>11738</v>
      </c>
      <c r="D161" s="256" t="s">
        <v>11730</v>
      </c>
      <c r="E161" s="265" t="s">
        <v>11731</v>
      </c>
      <c r="F161" s="256" t="s">
        <v>11739</v>
      </c>
      <c r="G161" s="265" t="s">
        <v>11740</v>
      </c>
      <c r="H161" s="265" t="s">
        <v>11741</v>
      </c>
      <c r="I161" s="265" t="s">
        <v>11742</v>
      </c>
      <c r="J161" s="256" t="s">
        <v>7589</v>
      </c>
      <c r="K161" s="266" t="s">
        <v>11743</v>
      </c>
      <c r="L161" s="254" t="s">
        <v>10927</v>
      </c>
      <c r="M161" s="6" t="s">
        <v>814</v>
      </c>
      <c r="N161" s="30" t="s">
        <v>814</v>
      </c>
      <c r="O161" s="30" t="s">
        <v>814</v>
      </c>
      <c r="P161" s="30" t="s">
        <v>137</v>
      </c>
      <c r="Q161" s="254" t="s">
        <v>11744</v>
      </c>
    </row>
    <row r="162" customFormat="false" ht="39" hidden="false" customHeight="true" outlineLevel="0" collapsed="false">
      <c r="A162" s="256" t="s">
        <v>11745</v>
      </c>
      <c r="B162" s="256" t="s">
        <v>7555</v>
      </c>
      <c r="C162" s="266" t="s">
        <v>11746</v>
      </c>
      <c r="D162" s="256" t="s">
        <v>11730</v>
      </c>
      <c r="E162" s="265" t="s">
        <v>11731</v>
      </c>
      <c r="F162" s="256" t="s">
        <v>11747</v>
      </c>
      <c r="G162" s="265" t="s">
        <v>11748</v>
      </c>
      <c r="H162" s="265" t="s">
        <v>11749</v>
      </c>
      <c r="I162" s="265" t="s">
        <v>11750</v>
      </c>
      <c r="J162" s="256" t="s">
        <v>7589</v>
      </c>
      <c r="K162" s="266" t="s">
        <v>11751</v>
      </c>
      <c r="L162" s="254" t="s">
        <v>10927</v>
      </c>
      <c r="M162" s="6" t="s">
        <v>814</v>
      </c>
      <c r="N162" s="30" t="s">
        <v>814</v>
      </c>
      <c r="O162" s="30" t="s">
        <v>814</v>
      </c>
      <c r="P162" s="30" t="s">
        <v>137</v>
      </c>
      <c r="Q162" s="254" t="s">
        <v>8687</v>
      </c>
    </row>
    <row r="163" customFormat="false" ht="51.75" hidden="false" customHeight="true" outlineLevel="0" collapsed="false">
      <c r="A163" s="256" t="s">
        <v>11752</v>
      </c>
      <c r="B163" s="256" t="s">
        <v>7555</v>
      </c>
      <c r="C163" s="264" t="s">
        <v>11753</v>
      </c>
      <c r="D163" s="256" t="s">
        <v>11730</v>
      </c>
      <c r="E163" s="265" t="s">
        <v>11731</v>
      </c>
      <c r="F163" s="256" t="s">
        <v>11754</v>
      </c>
      <c r="G163" s="265" t="s">
        <v>11755</v>
      </c>
      <c r="H163" s="265" t="s">
        <v>11756</v>
      </c>
      <c r="I163" s="265" t="s">
        <v>11757</v>
      </c>
      <c r="J163" s="256" t="s">
        <v>7589</v>
      </c>
      <c r="K163" s="266" t="s">
        <v>11758</v>
      </c>
      <c r="L163" s="254" t="s">
        <v>10927</v>
      </c>
      <c r="M163" s="6" t="s">
        <v>814</v>
      </c>
      <c r="N163" s="30" t="s">
        <v>814</v>
      </c>
      <c r="O163" s="30" t="s">
        <v>814</v>
      </c>
      <c r="P163" s="30" t="s">
        <v>137</v>
      </c>
      <c r="Q163" s="254" t="s">
        <v>8687</v>
      </c>
    </row>
    <row r="164" customFormat="false" ht="51.75" hidden="false" customHeight="true" outlineLevel="0" collapsed="false">
      <c r="A164" s="256" t="s">
        <v>11759</v>
      </c>
      <c r="B164" s="256" t="s">
        <v>7555</v>
      </c>
      <c r="C164" s="264" t="s">
        <v>11760</v>
      </c>
      <c r="D164" s="256" t="s">
        <v>11730</v>
      </c>
      <c r="E164" s="265" t="s">
        <v>11731</v>
      </c>
      <c r="F164" s="256" t="s">
        <v>11761</v>
      </c>
      <c r="G164" s="265" t="s">
        <v>11762</v>
      </c>
      <c r="H164" s="265" t="s">
        <v>11763</v>
      </c>
      <c r="I164" s="265" t="s">
        <v>11764</v>
      </c>
      <c r="J164" s="256" t="s">
        <v>7589</v>
      </c>
      <c r="K164" s="266" t="s">
        <v>11765</v>
      </c>
      <c r="L164" s="254" t="s">
        <v>10927</v>
      </c>
      <c r="M164" s="6" t="s">
        <v>814</v>
      </c>
      <c r="N164" s="30" t="s">
        <v>814</v>
      </c>
      <c r="O164" s="30" t="s">
        <v>814</v>
      </c>
      <c r="P164" s="30" t="s">
        <v>137</v>
      </c>
      <c r="Q164" s="254" t="s">
        <v>8687</v>
      </c>
    </row>
    <row r="165" customFormat="false" ht="51.75" hidden="false" customHeight="true" outlineLevel="0" collapsed="false">
      <c r="A165" s="256" t="s">
        <v>11766</v>
      </c>
      <c r="B165" s="256" t="s">
        <v>7555</v>
      </c>
      <c r="C165" s="264" t="s">
        <v>11767</v>
      </c>
      <c r="D165" s="256" t="s">
        <v>11730</v>
      </c>
      <c r="E165" s="265" t="s">
        <v>11731</v>
      </c>
      <c r="F165" s="256" t="s">
        <v>11768</v>
      </c>
      <c r="G165" s="265" t="s">
        <v>11769</v>
      </c>
      <c r="H165" s="265" t="s">
        <v>11770</v>
      </c>
      <c r="I165" s="265" t="s">
        <v>11771</v>
      </c>
      <c r="J165" s="256" t="s">
        <v>7589</v>
      </c>
      <c r="K165" s="266" t="s">
        <v>11772</v>
      </c>
      <c r="L165" s="254" t="s">
        <v>10927</v>
      </c>
      <c r="M165" s="6" t="s">
        <v>814</v>
      </c>
      <c r="N165" s="30" t="s">
        <v>814</v>
      </c>
      <c r="O165" s="30" t="s">
        <v>11773</v>
      </c>
      <c r="P165" s="30" t="s">
        <v>137</v>
      </c>
      <c r="Q165" s="254" t="s">
        <v>8687</v>
      </c>
    </row>
    <row r="166" customFormat="false" ht="51.75" hidden="false" customHeight="true" outlineLevel="0" collapsed="false">
      <c r="A166" s="256" t="s">
        <v>11774</v>
      </c>
      <c r="B166" s="256" t="s">
        <v>7555</v>
      </c>
      <c r="C166" s="266" t="s">
        <v>11775</v>
      </c>
      <c r="D166" s="256" t="s">
        <v>11730</v>
      </c>
      <c r="E166" s="265" t="s">
        <v>11731</v>
      </c>
      <c r="F166" s="256" t="s">
        <v>11776</v>
      </c>
      <c r="G166" s="265" t="s">
        <v>11777</v>
      </c>
      <c r="H166" s="265" t="s">
        <v>11778</v>
      </c>
      <c r="I166" s="265" t="s">
        <v>11779</v>
      </c>
      <c r="J166" s="256" t="s">
        <v>7589</v>
      </c>
      <c r="K166" s="266" t="s">
        <v>11780</v>
      </c>
      <c r="L166" s="254" t="s">
        <v>10927</v>
      </c>
      <c r="M166" s="6" t="s">
        <v>814</v>
      </c>
      <c r="N166" s="30" t="s">
        <v>814</v>
      </c>
      <c r="O166" s="30" t="s">
        <v>814</v>
      </c>
      <c r="P166" s="30" t="s">
        <v>137</v>
      </c>
      <c r="Q166" s="254" t="s">
        <v>8687</v>
      </c>
    </row>
    <row r="167" customFormat="false" ht="51.75" hidden="false" customHeight="true" outlineLevel="0" collapsed="false">
      <c r="A167" s="256" t="s">
        <v>11781</v>
      </c>
      <c r="B167" s="256" t="s">
        <v>7555</v>
      </c>
      <c r="C167" s="266" t="s">
        <v>11782</v>
      </c>
      <c r="D167" s="256" t="s">
        <v>11730</v>
      </c>
      <c r="E167" s="265" t="s">
        <v>11731</v>
      </c>
      <c r="F167" s="256" t="s">
        <v>11783</v>
      </c>
      <c r="G167" s="256" t="s">
        <v>11784</v>
      </c>
      <c r="H167" s="265" t="s">
        <v>11785</v>
      </c>
      <c r="I167" s="265" t="s">
        <v>11786</v>
      </c>
      <c r="J167" s="256" t="s">
        <v>7589</v>
      </c>
      <c r="K167" s="266" t="s">
        <v>11787</v>
      </c>
      <c r="L167" s="254" t="s">
        <v>10927</v>
      </c>
      <c r="M167" s="6" t="s">
        <v>814</v>
      </c>
      <c r="N167" s="30" t="s">
        <v>814</v>
      </c>
      <c r="O167" s="30" t="s">
        <v>814</v>
      </c>
      <c r="P167" s="30" t="s">
        <v>137</v>
      </c>
      <c r="Q167" s="254" t="s">
        <v>8687</v>
      </c>
    </row>
    <row r="168" customFormat="false" ht="77.25" hidden="false" customHeight="true" outlineLevel="0" collapsed="false">
      <c r="A168" s="256" t="s">
        <v>11788</v>
      </c>
      <c r="B168" s="256" t="s">
        <v>7555</v>
      </c>
      <c r="C168" s="264" t="s">
        <v>11789</v>
      </c>
      <c r="D168" s="256" t="s">
        <v>11730</v>
      </c>
      <c r="E168" s="265" t="s">
        <v>11731</v>
      </c>
      <c r="F168" s="256" t="s">
        <v>11790</v>
      </c>
      <c r="G168" s="256" t="s">
        <v>11791</v>
      </c>
      <c r="H168" s="256" t="s">
        <v>11792</v>
      </c>
      <c r="I168" s="265" t="s">
        <v>11793</v>
      </c>
      <c r="J168" s="256" t="s">
        <v>7589</v>
      </c>
      <c r="K168" s="266" t="s">
        <v>11794</v>
      </c>
      <c r="L168" s="254" t="s">
        <v>10927</v>
      </c>
      <c r="M168" s="6" t="s">
        <v>814</v>
      </c>
      <c r="N168" s="30" t="s">
        <v>9636</v>
      </c>
      <c r="O168" s="30" t="s">
        <v>11795</v>
      </c>
      <c r="P168" s="30" t="s">
        <v>137</v>
      </c>
      <c r="Q168" s="254" t="s">
        <v>11796</v>
      </c>
      <c r="R168" s="246" t="s">
        <v>11797</v>
      </c>
    </row>
    <row r="169" customFormat="false" ht="115.5" hidden="false" customHeight="true" outlineLevel="0" collapsed="false">
      <c r="A169" s="256" t="s">
        <v>9636</v>
      </c>
      <c r="B169" s="256" t="s">
        <v>7555</v>
      </c>
      <c r="C169" s="264" t="s">
        <v>11798</v>
      </c>
      <c r="D169" s="256" t="s">
        <v>11799</v>
      </c>
      <c r="E169" s="265" t="s">
        <v>11241</v>
      </c>
      <c r="F169" s="256" t="s">
        <v>11790</v>
      </c>
      <c r="G169" s="256" t="s">
        <v>11800</v>
      </c>
      <c r="H169" s="256" t="s">
        <v>11801</v>
      </c>
      <c r="I169" s="256" t="s">
        <v>11802</v>
      </c>
      <c r="J169" s="256" t="s">
        <v>7610</v>
      </c>
      <c r="K169" s="266" t="s">
        <v>11803</v>
      </c>
      <c r="L169" s="254" t="s">
        <v>10927</v>
      </c>
      <c r="M169" s="6" t="s">
        <v>11804</v>
      </c>
      <c r="N169" s="30" t="s">
        <v>814</v>
      </c>
      <c r="O169" s="30" t="s">
        <v>11805</v>
      </c>
      <c r="P169" s="30" t="s">
        <v>11116</v>
      </c>
      <c r="Q169" s="254" t="s">
        <v>8580</v>
      </c>
      <c r="R169" s="246" t="s">
        <v>11806</v>
      </c>
    </row>
    <row r="170" customFormat="false" ht="115.5" hidden="false" customHeight="true" outlineLevel="0" collapsed="false">
      <c r="A170" s="256" t="s">
        <v>11807</v>
      </c>
      <c r="B170" s="256" t="s">
        <v>7555</v>
      </c>
      <c r="C170" s="266" t="s">
        <v>11808</v>
      </c>
      <c r="D170" s="265" t="s">
        <v>11809</v>
      </c>
      <c r="E170" s="265" t="s">
        <v>11731</v>
      </c>
      <c r="F170" s="256" t="s">
        <v>11810</v>
      </c>
      <c r="G170" s="256" t="s">
        <v>11811</v>
      </c>
      <c r="H170" s="265" t="s">
        <v>11812</v>
      </c>
      <c r="I170" s="256" t="s">
        <v>11813</v>
      </c>
      <c r="J170" s="256" t="s">
        <v>7617</v>
      </c>
      <c r="K170" s="266" t="s">
        <v>11814</v>
      </c>
      <c r="L170" s="254" t="s">
        <v>10927</v>
      </c>
      <c r="M170" s="6" t="s">
        <v>814</v>
      </c>
      <c r="N170" s="30" t="s">
        <v>814</v>
      </c>
      <c r="O170" s="30" t="s">
        <v>11815</v>
      </c>
      <c r="P170" s="30" t="s">
        <v>137</v>
      </c>
      <c r="Q170" s="254" t="s">
        <v>11816</v>
      </c>
    </row>
    <row r="171" customFormat="false" ht="153.75" hidden="false" customHeight="true" outlineLevel="0" collapsed="false">
      <c r="A171" s="256" t="s">
        <v>10288</v>
      </c>
      <c r="B171" s="256" t="s">
        <v>7639</v>
      </c>
      <c r="C171" s="264" t="s">
        <v>11817</v>
      </c>
      <c r="D171" s="256" t="s">
        <v>11818</v>
      </c>
      <c r="E171" s="267" t="s">
        <v>11241</v>
      </c>
      <c r="F171" s="256" t="s">
        <v>11819</v>
      </c>
      <c r="G171" s="256" t="s">
        <v>11820</v>
      </c>
      <c r="H171" s="267" t="s">
        <v>11821</v>
      </c>
      <c r="I171" s="267" t="s">
        <v>11822</v>
      </c>
      <c r="J171" s="256" t="s">
        <v>7645</v>
      </c>
      <c r="K171" s="268" t="s">
        <v>11823</v>
      </c>
      <c r="L171" s="208" t="s">
        <v>10927</v>
      </c>
      <c r="M171" s="6" t="s">
        <v>11824</v>
      </c>
      <c r="N171" s="30" t="s">
        <v>814</v>
      </c>
      <c r="O171" s="30" t="s">
        <v>11825</v>
      </c>
      <c r="P171" s="30" t="s">
        <v>11116</v>
      </c>
      <c r="Q171" s="208" t="s">
        <v>8580</v>
      </c>
      <c r="R171" s="246" t="s">
        <v>10954</v>
      </c>
    </row>
    <row r="172" customFormat="false" ht="264" hidden="false" customHeight="true" outlineLevel="0" collapsed="false">
      <c r="A172" s="256" t="s">
        <v>9340</v>
      </c>
      <c r="B172" s="256" t="s">
        <v>7639</v>
      </c>
      <c r="C172" s="264" t="s">
        <v>11826</v>
      </c>
      <c r="D172" s="256" t="s">
        <v>11827</v>
      </c>
      <c r="E172" s="267" t="s">
        <v>11241</v>
      </c>
      <c r="F172" s="256" t="s">
        <v>11828</v>
      </c>
      <c r="G172" s="256" t="s">
        <v>11829</v>
      </c>
      <c r="H172" s="256" t="s">
        <v>11830</v>
      </c>
      <c r="I172" s="267" t="s">
        <v>11831</v>
      </c>
      <c r="J172" s="256" t="s">
        <v>7645</v>
      </c>
      <c r="K172" s="268" t="s">
        <v>11832</v>
      </c>
      <c r="L172" s="208" t="s">
        <v>10927</v>
      </c>
      <c r="M172" s="6" t="s">
        <v>4084</v>
      </c>
      <c r="N172" s="30" t="s">
        <v>814</v>
      </c>
      <c r="O172" s="30" t="s">
        <v>11833</v>
      </c>
      <c r="P172" s="30" t="s">
        <v>11116</v>
      </c>
      <c r="Q172" s="208" t="s">
        <v>8687</v>
      </c>
    </row>
    <row r="173" customFormat="false" ht="80.25" hidden="false" customHeight="true" outlineLevel="0" collapsed="false">
      <c r="A173" s="256" t="s">
        <v>11834</v>
      </c>
      <c r="B173" s="256" t="s">
        <v>7639</v>
      </c>
      <c r="C173" s="264" t="s">
        <v>11835</v>
      </c>
      <c r="D173" s="256" t="s">
        <v>11836</v>
      </c>
      <c r="E173" s="267" t="s">
        <v>11241</v>
      </c>
      <c r="F173" s="256" t="s">
        <v>11837</v>
      </c>
      <c r="G173" s="256" t="s">
        <v>11838</v>
      </c>
      <c r="H173" s="256" t="s">
        <v>11839</v>
      </c>
      <c r="I173" s="267" t="s">
        <v>11840</v>
      </c>
      <c r="J173" s="256" t="s">
        <v>7645</v>
      </c>
      <c r="K173" s="268" t="s">
        <v>11841</v>
      </c>
      <c r="L173" s="208" t="s">
        <v>10927</v>
      </c>
      <c r="M173" s="6" t="s">
        <v>6666</v>
      </c>
      <c r="N173" s="30" t="s">
        <v>814</v>
      </c>
      <c r="O173" s="208" t="s">
        <v>11842</v>
      </c>
      <c r="P173" s="30" t="s">
        <v>11116</v>
      </c>
      <c r="Q173" s="208" t="s">
        <v>8687</v>
      </c>
      <c r="R173" s="246" t="s">
        <v>11843</v>
      </c>
    </row>
    <row r="174" customFormat="false" ht="29.25" hidden="false" customHeight="true" outlineLevel="0" collapsed="false">
      <c r="A174" s="256" t="s">
        <v>11844</v>
      </c>
      <c r="B174" s="256" t="s">
        <v>7639</v>
      </c>
      <c r="C174" s="268" t="s">
        <v>11845</v>
      </c>
      <c r="D174" s="256" t="s">
        <v>11846</v>
      </c>
      <c r="E174" s="267" t="s">
        <v>11731</v>
      </c>
      <c r="F174" s="256" t="s">
        <v>11847</v>
      </c>
      <c r="G174" s="256" t="s">
        <v>11848</v>
      </c>
      <c r="H174" s="267" t="s">
        <v>11849</v>
      </c>
      <c r="I174" s="267" t="s">
        <v>11850</v>
      </c>
      <c r="J174" s="256" t="s">
        <v>7645</v>
      </c>
      <c r="K174" s="268" t="s">
        <v>11851</v>
      </c>
      <c r="L174" s="208" t="s">
        <v>10927</v>
      </c>
      <c r="M174" s="6" t="s">
        <v>814</v>
      </c>
      <c r="N174" s="30" t="s">
        <v>814</v>
      </c>
      <c r="O174" s="208" t="s">
        <v>5308</v>
      </c>
      <c r="P174" s="30" t="s">
        <v>11062</v>
      </c>
      <c r="Q174" s="208" t="s">
        <v>11852</v>
      </c>
    </row>
    <row r="175" customFormat="false" ht="100.5" hidden="false" customHeight="true" outlineLevel="0" collapsed="false">
      <c r="A175" s="256" t="s">
        <v>11853</v>
      </c>
      <c r="B175" s="256" t="s">
        <v>4685</v>
      </c>
      <c r="C175" s="264" t="s">
        <v>11854</v>
      </c>
      <c r="D175" s="256" t="s">
        <v>11827</v>
      </c>
      <c r="E175" s="267" t="s">
        <v>11241</v>
      </c>
      <c r="F175" s="256" t="s">
        <v>11855</v>
      </c>
      <c r="G175" s="256" t="s">
        <v>11856</v>
      </c>
      <c r="H175" s="267" t="s">
        <v>11857</v>
      </c>
      <c r="I175" s="267" t="s">
        <v>11858</v>
      </c>
      <c r="J175" s="256" t="s">
        <v>7657</v>
      </c>
      <c r="K175" s="268" t="s">
        <v>11859</v>
      </c>
      <c r="L175" s="208" t="s">
        <v>10927</v>
      </c>
      <c r="M175" s="6" t="s">
        <v>4084</v>
      </c>
      <c r="N175" s="30" t="s">
        <v>814</v>
      </c>
      <c r="O175" s="30" t="s">
        <v>11833</v>
      </c>
      <c r="P175" s="30" t="s">
        <v>11116</v>
      </c>
      <c r="Q175" s="208" t="s">
        <v>8687</v>
      </c>
    </row>
    <row r="176" customFormat="false" ht="137.25" hidden="false" customHeight="true" outlineLevel="0" collapsed="false">
      <c r="A176" s="256" t="s">
        <v>11860</v>
      </c>
      <c r="B176" s="256" t="s">
        <v>4685</v>
      </c>
      <c r="C176" s="264" t="s">
        <v>11861</v>
      </c>
      <c r="D176" s="256" t="s">
        <v>11862</v>
      </c>
      <c r="E176" s="267" t="s">
        <v>11241</v>
      </c>
      <c r="F176" s="256" t="s">
        <v>11863</v>
      </c>
      <c r="G176" s="256" t="s">
        <v>11864</v>
      </c>
      <c r="H176" s="267" t="s">
        <v>11865</v>
      </c>
      <c r="I176" s="267" t="s">
        <v>11866</v>
      </c>
      <c r="J176" s="256" t="s">
        <v>7657</v>
      </c>
      <c r="K176" s="268" t="s">
        <v>11867</v>
      </c>
      <c r="L176" s="208" t="s">
        <v>10927</v>
      </c>
      <c r="M176" s="6" t="s">
        <v>6666</v>
      </c>
      <c r="N176" s="30" t="s">
        <v>814</v>
      </c>
      <c r="O176" s="208" t="s">
        <v>11842</v>
      </c>
      <c r="P176" s="30" t="s">
        <v>11116</v>
      </c>
      <c r="Q176" s="208" t="s">
        <v>8687</v>
      </c>
      <c r="R176" s="246" t="s">
        <v>11868</v>
      </c>
    </row>
    <row r="177" customFormat="false" ht="242.25" hidden="false" customHeight="true" outlineLevel="0" collapsed="false">
      <c r="A177" s="256" t="s">
        <v>9350</v>
      </c>
      <c r="B177" s="256" t="s">
        <v>4685</v>
      </c>
      <c r="C177" s="264" t="s">
        <v>11869</v>
      </c>
      <c r="D177" s="256" t="s">
        <v>11870</v>
      </c>
      <c r="E177" s="267" t="s">
        <v>11241</v>
      </c>
      <c r="F177" s="256" t="s">
        <v>11871</v>
      </c>
      <c r="G177" s="256" t="s">
        <v>11872</v>
      </c>
      <c r="H177" s="256" t="s">
        <v>11873</v>
      </c>
      <c r="I177" s="267" t="s">
        <v>11874</v>
      </c>
      <c r="J177" s="256" t="s">
        <v>7657</v>
      </c>
      <c r="K177" s="268" t="s">
        <v>11875</v>
      </c>
      <c r="L177" s="208" t="s">
        <v>10927</v>
      </c>
      <c r="M177" s="6" t="s">
        <v>11876</v>
      </c>
      <c r="N177" s="30" t="s">
        <v>814</v>
      </c>
      <c r="O177" s="208" t="s">
        <v>11877</v>
      </c>
      <c r="P177" s="30" t="s">
        <v>11116</v>
      </c>
      <c r="Q177" s="208" t="s">
        <v>8580</v>
      </c>
    </row>
    <row r="178" customFormat="false" ht="156.75" hidden="false" customHeight="true" outlineLevel="0" collapsed="false">
      <c r="A178" s="256" t="s">
        <v>11878</v>
      </c>
      <c r="B178" s="256" t="s">
        <v>4685</v>
      </c>
      <c r="C178" s="268" t="s">
        <v>11879</v>
      </c>
      <c r="D178" s="256" t="s">
        <v>11880</v>
      </c>
      <c r="E178" s="256" t="s">
        <v>11881</v>
      </c>
      <c r="F178" s="256" t="s">
        <v>11882</v>
      </c>
      <c r="G178" s="256" t="s">
        <v>11883</v>
      </c>
      <c r="H178" s="267" t="s">
        <v>11884</v>
      </c>
      <c r="I178" s="267" t="s">
        <v>11885</v>
      </c>
      <c r="J178" s="256" t="s">
        <v>7657</v>
      </c>
      <c r="K178" s="268" t="s">
        <v>11886</v>
      </c>
      <c r="L178" s="208" t="s">
        <v>10927</v>
      </c>
      <c r="M178" s="6" t="s">
        <v>11887</v>
      </c>
      <c r="N178" s="30" t="s">
        <v>814</v>
      </c>
      <c r="O178" s="30" t="s">
        <v>11888</v>
      </c>
      <c r="P178" s="30" t="s">
        <v>814</v>
      </c>
      <c r="Q178" s="30" t="s">
        <v>814</v>
      </c>
      <c r="R178" s="246" t="s">
        <v>11889</v>
      </c>
    </row>
    <row r="179" customFormat="false" ht="57.75" hidden="false" customHeight="true" outlineLevel="0" collapsed="false">
      <c r="A179" s="256" t="s">
        <v>11890</v>
      </c>
      <c r="B179" s="256" t="s">
        <v>4685</v>
      </c>
      <c r="C179" s="264" t="s">
        <v>11891</v>
      </c>
      <c r="D179" s="256" t="s">
        <v>11892</v>
      </c>
      <c r="E179" s="267" t="s">
        <v>11731</v>
      </c>
      <c r="F179" s="256" t="s">
        <v>11893</v>
      </c>
      <c r="G179" s="256" t="s">
        <v>11894</v>
      </c>
      <c r="H179" s="267" t="s">
        <v>11895</v>
      </c>
      <c r="I179" s="267" t="s">
        <v>11896</v>
      </c>
      <c r="J179" s="256" t="s">
        <v>7657</v>
      </c>
      <c r="K179" s="268" t="s">
        <v>11897</v>
      </c>
      <c r="L179" s="208" t="s">
        <v>10927</v>
      </c>
      <c r="M179" s="6" t="s">
        <v>814</v>
      </c>
      <c r="N179" s="30" t="s">
        <v>814</v>
      </c>
      <c r="O179" s="208" t="s">
        <v>5308</v>
      </c>
      <c r="P179" s="30" t="s">
        <v>11062</v>
      </c>
      <c r="Q179" s="208" t="s">
        <v>11898</v>
      </c>
    </row>
    <row r="180" customFormat="false" ht="86.25" hidden="false" customHeight="true" outlineLevel="0" collapsed="false">
      <c r="A180" s="256" t="s">
        <v>11899</v>
      </c>
      <c r="B180" s="256" t="s">
        <v>4685</v>
      </c>
      <c r="C180" s="264" t="s">
        <v>11900</v>
      </c>
      <c r="D180" s="256" t="s">
        <v>11901</v>
      </c>
      <c r="E180" s="256" t="s">
        <v>11902</v>
      </c>
      <c r="F180" s="256" t="s">
        <v>11903</v>
      </c>
      <c r="G180" s="256" t="s">
        <v>11904</v>
      </c>
      <c r="H180" s="256" t="s">
        <v>11905</v>
      </c>
      <c r="I180" s="267" t="s">
        <v>11906</v>
      </c>
      <c r="J180" s="256" t="s">
        <v>7664</v>
      </c>
      <c r="K180" s="268" t="s">
        <v>11907</v>
      </c>
      <c r="L180" s="208" t="s">
        <v>10927</v>
      </c>
      <c r="M180" s="6" t="s">
        <v>4182</v>
      </c>
      <c r="N180" s="30" t="s">
        <v>814</v>
      </c>
      <c r="O180" s="208" t="s">
        <v>11908</v>
      </c>
      <c r="P180" s="30" t="s">
        <v>11090</v>
      </c>
      <c r="Q180" s="208" t="s">
        <v>8580</v>
      </c>
      <c r="R180" s="246" t="s">
        <v>11909</v>
      </c>
    </row>
    <row r="181" customFormat="false" ht="57.75" hidden="false" customHeight="true" outlineLevel="0" collapsed="false">
      <c r="A181" s="256" t="s">
        <v>11910</v>
      </c>
      <c r="B181" s="256" t="s">
        <v>4685</v>
      </c>
      <c r="C181" s="264" t="s">
        <v>11911</v>
      </c>
      <c r="D181" s="256" t="s">
        <v>11912</v>
      </c>
      <c r="E181" s="256" t="s">
        <v>11913</v>
      </c>
      <c r="F181" s="256" t="s">
        <v>11914</v>
      </c>
      <c r="G181" s="256" t="s">
        <v>11915</v>
      </c>
      <c r="H181" s="256" t="s">
        <v>11916</v>
      </c>
      <c r="I181" s="267" t="s">
        <v>11906</v>
      </c>
      <c r="J181" s="256" t="s">
        <v>7664</v>
      </c>
      <c r="K181" s="264" t="s">
        <v>11917</v>
      </c>
      <c r="L181" s="208" t="s">
        <v>10927</v>
      </c>
      <c r="M181" s="6" t="s">
        <v>6793</v>
      </c>
      <c r="N181" s="30" t="s">
        <v>814</v>
      </c>
      <c r="O181" s="208" t="s">
        <v>11908</v>
      </c>
      <c r="P181" s="30" t="s">
        <v>11116</v>
      </c>
      <c r="Q181" s="208" t="s">
        <v>8580</v>
      </c>
      <c r="R181" s="246" t="s">
        <v>11909</v>
      </c>
    </row>
    <row r="182" customFormat="false" ht="72" hidden="false" customHeight="true" outlineLevel="0" collapsed="false">
      <c r="A182" s="256" t="s">
        <v>11918</v>
      </c>
      <c r="B182" s="256" t="s">
        <v>4685</v>
      </c>
      <c r="C182" s="268" t="s">
        <v>11919</v>
      </c>
      <c r="D182" s="256" t="s">
        <v>11920</v>
      </c>
      <c r="E182" s="256" t="s">
        <v>11921</v>
      </c>
      <c r="F182" s="256" t="s">
        <v>11922</v>
      </c>
      <c r="G182" s="256" t="s">
        <v>814</v>
      </c>
      <c r="H182" s="256" t="s">
        <v>814</v>
      </c>
      <c r="I182" s="267" t="s">
        <v>11906</v>
      </c>
      <c r="J182" s="256" t="s">
        <v>7664</v>
      </c>
      <c r="K182" s="268" t="s">
        <v>11923</v>
      </c>
      <c r="L182" s="208" t="s">
        <v>10927</v>
      </c>
      <c r="M182" s="6" t="s">
        <v>4182</v>
      </c>
      <c r="N182" s="30" t="s">
        <v>814</v>
      </c>
      <c r="O182" s="208" t="s">
        <v>11908</v>
      </c>
      <c r="P182" s="30" t="s">
        <v>11090</v>
      </c>
      <c r="Q182" s="208" t="s">
        <v>11924</v>
      </c>
      <c r="R182" s="246" t="s">
        <v>11909</v>
      </c>
    </row>
    <row r="183" customFormat="false" ht="171" hidden="false" customHeight="true" outlineLevel="0" collapsed="false">
      <c r="A183" s="256" t="s">
        <v>10309</v>
      </c>
      <c r="B183" s="256" t="s">
        <v>4685</v>
      </c>
      <c r="C183" s="264" t="s">
        <v>11925</v>
      </c>
      <c r="D183" s="256" t="s">
        <v>11926</v>
      </c>
      <c r="E183" s="256" t="s">
        <v>11927</v>
      </c>
      <c r="F183" s="256" t="s">
        <v>11928</v>
      </c>
      <c r="G183" s="256" t="s">
        <v>11929</v>
      </c>
      <c r="H183" s="256" t="s">
        <v>11930</v>
      </c>
      <c r="I183" s="267" t="s">
        <v>11931</v>
      </c>
      <c r="J183" s="256" t="s">
        <v>7664</v>
      </c>
      <c r="K183" s="268" t="s">
        <v>11932</v>
      </c>
      <c r="L183" s="208" t="s">
        <v>10927</v>
      </c>
      <c r="M183" s="6" t="s">
        <v>11933</v>
      </c>
      <c r="N183" s="30" t="s">
        <v>10303</v>
      </c>
      <c r="O183" s="30" t="s">
        <v>11934</v>
      </c>
      <c r="P183" s="30" t="s">
        <v>11090</v>
      </c>
      <c r="Q183" s="208" t="s">
        <v>8580</v>
      </c>
    </row>
    <row r="184" customFormat="false" ht="57.75" hidden="false" customHeight="true" outlineLevel="0" collapsed="false">
      <c r="A184" s="256" t="s">
        <v>11935</v>
      </c>
      <c r="B184" s="256" t="s">
        <v>4685</v>
      </c>
      <c r="C184" s="264" t="s">
        <v>11936</v>
      </c>
      <c r="D184" s="256" t="s">
        <v>11937</v>
      </c>
      <c r="E184" s="256" t="s">
        <v>814</v>
      </c>
      <c r="F184" s="256" t="s">
        <v>11938</v>
      </c>
      <c r="G184" s="256" t="s">
        <v>11939</v>
      </c>
      <c r="H184" s="267" t="s">
        <v>11608</v>
      </c>
      <c r="I184" s="267" t="s">
        <v>11940</v>
      </c>
      <c r="J184" s="256" t="s">
        <v>7664</v>
      </c>
      <c r="K184" s="268" t="s">
        <v>11941</v>
      </c>
      <c r="L184" s="208" t="s">
        <v>10927</v>
      </c>
      <c r="M184" s="6" t="s">
        <v>11942</v>
      </c>
      <c r="N184" s="30" t="s">
        <v>814</v>
      </c>
      <c r="O184" s="208" t="s">
        <v>5308</v>
      </c>
      <c r="P184" s="30" t="s">
        <v>814</v>
      </c>
      <c r="Q184" s="30" t="s">
        <v>814</v>
      </c>
      <c r="R184" s="246" t="s">
        <v>11943</v>
      </c>
    </row>
    <row r="185" customFormat="false" ht="129" hidden="false" customHeight="true" outlineLevel="0" collapsed="false">
      <c r="A185" s="256" t="s">
        <v>11944</v>
      </c>
      <c r="B185" s="256" t="s">
        <v>4685</v>
      </c>
      <c r="C185" s="268" t="s">
        <v>11945</v>
      </c>
      <c r="D185" s="256" t="s">
        <v>11946</v>
      </c>
      <c r="E185" s="256" t="s">
        <v>11947</v>
      </c>
      <c r="F185" s="256" t="s">
        <v>11948</v>
      </c>
      <c r="G185" s="256" t="s">
        <v>11949</v>
      </c>
      <c r="H185" s="267" t="s">
        <v>11950</v>
      </c>
      <c r="I185" s="267" t="s">
        <v>11951</v>
      </c>
      <c r="J185" s="256" t="s">
        <v>7664</v>
      </c>
      <c r="K185" s="264" t="s">
        <v>11952</v>
      </c>
      <c r="L185" s="208" t="s">
        <v>10927</v>
      </c>
      <c r="M185" s="6" t="s">
        <v>11953</v>
      </c>
      <c r="N185" s="30" t="s">
        <v>814</v>
      </c>
      <c r="O185" s="30" t="s">
        <v>11954</v>
      </c>
      <c r="P185" s="30" t="s">
        <v>11116</v>
      </c>
      <c r="Q185" s="208" t="s">
        <v>8580</v>
      </c>
    </row>
    <row r="186" customFormat="false" ht="100.5" hidden="false" customHeight="true" outlineLevel="0" collapsed="false">
      <c r="A186" s="256" t="s">
        <v>11955</v>
      </c>
      <c r="B186" s="256" t="s">
        <v>4685</v>
      </c>
      <c r="C186" s="264" t="s">
        <v>11956</v>
      </c>
      <c r="D186" s="256" t="s">
        <v>11957</v>
      </c>
      <c r="E186" s="256" t="s">
        <v>11958</v>
      </c>
      <c r="F186" s="256" t="s">
        <v>11959</v>
      </c>
      <c r="G186" s="267" t="s">
        <v>11960</v>
      </c>
      <c r="H186" s="256" t="s">
        <v>814</v>
      </c>
      <c r="I186" s="267" t="s">
        <v>11961</v>
      </c>
      <c r="J186" s="256" t="s">
        <v>7664</v>
      </c>
      <c r="K186" s="268" t="s">
        <v>11962</v>
      </c>
      <c r="L186" s="208" t="s">
        <v>10927</v>
      </c>
      <c r="M186" s="6" t="s">
        <v>814</v>
      </c>
      <c r="N186" s="30" t="s">
        <v>814</v>
      </c>
      <c r="O186" s="30" t="s">
        <v>11963</v>
      </c>
      <c r="P186" s="30" t="s">
        <v>814</v>
      </c>
      <c r="Q186" s="30" t="s">
        <v>814</v>
      </c>
    </row>
    <row r="187" customFormat="false" ht="57.75" hidden="false" customHeight="true" outlineLevel="0" collapsed="false">
      <c r="A187" s="256" t="s">
        <v>11964</v>
      </c>
      <c r="B187" s="256" t="s">
        <v>4685</v>
      </c>
      <c r="C187" s="264" t="s">
        <v>11965</v>
      </c>
      <c r="D187" s="256" t="s">
        <v>11966</v>
      </c>
      <c r="E187" s="256" t="s">
        <v>11967</v>
      </c>
      <c r="F187" s="256" t="s">
        <v>11968</v>
      </c>
      <c r="G187" s="256" t="s">
        <v>11969</v>
      </c>
      <c r="H187" s="267" t="s">
        <v>11970</v>
      </c>
      <c r="I187" s="267" t="s">
        <v>11971</v>
      </c>
      <c r="J187" s="256" t="s">
        <v>7742</v>
      </c>
      <c r="K187" s="268" t="s">
        <v>11972</v>
      </c>
      <c r="L187" s="208" t="s">
        <v>10927</v>
      </c>
      <c r="M187" s="6" t="s">
        <v>5504</v>
      </c>
      <c r="N187" s="30" t="s">
        <v>814</v>
      </c>
      <c r="O187" s="30" t="s">
        <v>11973</v>
      </c>
      <c r="P187" s="30" t="s">
        <v>11090</v>
      </c>
      <c r="Q187" s="208" t="s">
        <v>8580</v>
      </c>
    </row>
    <row r="188" customFormat="false" ht="72" hidden="false" customHeight="true" outlineLevel="0" collapsed="false">
      <c r="A188" s="256" t="s">
        <v>8929</v>
      </c>
      <c r="B188" s="256" t="s">
        <v>4685</v>
      </c>
      <c r="C188" s="264" t="s">
        <v>11974</v>
      </c>
      <c r="D188" s="256" t="s">
        <v>11975</v>
      </c>
      <c r="E188" s="256" t="s">
        <v>11967</v>
      </c>
      <c r="F188" s="256" t="s">
        <v>11976</v>
      </c>
      <c r="G188" s="256" t="s">
        <v>11977</v>
      </c>
      <c r="H188" s="256" t="s">
        <v>11978</v>
      </c>
      <c r="I188" s="267" t="s">
        <v>11979</v>
      </c>
      <c r="J188" s="256" t="s">
        <v>7742</v>
      </c>
      <c r="K188" s="268" t="s">
        <v>11980</v>
      </c>
      <c r="L188" s="208" t="s">
        <v>10927</v>
      </c>
      <c r="M188" s="6" t="s">
        <v>8923</v>
      </c>
      <c r="N188" s="30" t="s">
        <v>814</v>
      </c>
      <c r="O188" s="30" t="s">
        <v>11973</v>
      </c>
      <c r="P188" s="30" t="s">
        <v>11090</v>
      </c>
      <c r="Q188" s="208" t="s">
        <v>8580</v>
      </c>
      <c r="R188" s="246" t="s">
        <v>10954</v>
      </c>
    </row>
    <row r="189" customFormat="false" ht="72" hidden="false" customHeight="true" outlineLevel="0" collapsed="false">
      <c r="A189" s="256" t="s">
        <v>11981</v>
      </c>
      <c r="B189" s="256" t="s">
        <v>4685</v>
      </c>
      <c r="C189" s="264" t="s">
        <v>11982</v>
      </c>
      <c r="D189" s="256" t="s">
        <v>11983</v>
      </c>
      <c r="E189" s="256" t="s">
        <v>11984</v>
      </c>
      <c r="F189" s="256" t="s">
        <v>11985</v>
      </c>
      <c r="G189" s="256" t="s">
        <v>11986</v>
      </c>
      <c r="H189" s="256" t="s">
        <v>11987</v>
      </c>
      <c r="I189" s="267" t="s">
        <v>11988</v>
      </c>
      <c r="J189" s="256" t="s">
        <v>7742</v>
      </c>
      <c r="K189" s="268" t="s">
        <v>11989</v>
      </c>
      <c r="L189" s="208" t="s">
        <v>10927</v>
      </c>
      <c r="M189" s="6" t="s">
        <v>11990</v>
      </c>
      <c r="N189" s="30" t="s">
        <v>814</v>
      </c>
      <c r="O189" s="30" t="s">
        <v>11973</v>
      </c>
      <c r="P189" s="30" t="s">
        <v>11090</v>
      </c>
      <c r="Q189" s="208" t="s">
        <v>8687</v>
      </c>
    </row>
    <row r="190" customFormat="false" ht="72" hidden="false" customHeight="true" outlineLevel="0" collapsed="false">
      <c r="A190" s="256" t="s">
        <v>9045</v>
      </c>
      <c r="B190" s="256" t="s">
        <v>4685</v>
      </c>
      <c r="C190" s="264" t="s">
        <v>11991</v>
      </c>
      <c r="D190" s="256" t="s">
        <v>11992</v>
      </c>
      <c r="E190" s="256" t="s">
        <v>11993</v>
      </c>
      <c r="F190" s="256" t="s">
        <v>11994</v>
      </c>
      <c r="G190" s="256" t="s">
        <v>814</v>
      </c>
      <c r="H190" s="256" t="s">
        <v>11995</v>
      </c>
      <c r="I190" s="267" t="s">
        <v>11996</v>
      </c>
      <c r="J190" s="256" t="s">
        <v>7742</v>
      </c>
      <c r="K190" s="264" t="s">
        <v>11997</v>
      </c>
      <c r="L190" s="208" t="s">
        <v>10927</v>
      </c>
      <c r="M190" s="6" t="s">
        <v>4372</v>
      </c>
      <c r="N190" s="30" t="s">
        <v>814</v>
      </c>
      <c r="O190" s="30" t="s">
        <v>11998</v>
      </c>
      <c r="P190" s="30" t="s">
        <v>11116</v>
      </c>
      <c r="Q190" s="208" t="s">
        <v>8580</v>
      </c>
    </row>
    <row r="191" customFormat="false" ht="72" hidden="false" customHeight="true" outlineLevel="0" collapsed="false">
      <c r="A191" s="256" t="s">
        <v>11999</v>
      </c>
      <c r="B191" s="256" t="s">
        <v>4685</v>
      </c>
      <c r="C191" s="264" t="s">
        <v>12000</v>
      </c>
      <c r="D191" s="256" t="s">
        <v>12001</v>
      </c>
      <c r="E191" s="256" t="s">
        <v>12002</v>
      </c>
      <c r="F191" s="256" t="s">
        <v>12003</v>
      </c>
      <c r="G191" s="256" t="s">
        <v>12004</v>
      </c>
      <c r="H191" s="256" t="s">
        <v>12005</v>
      </c>
      <c r="I191" s="267" t="s">
        <v>12006</v>
      </c>
      <c r="J191" s="256" t="s">
        <v>7742</v>
      </c>
      <c r="K191" s="268" t="s">
        <v>12007</v>
      </c>
      <c r="L191" s="208" t="s">
        <v>10927</v>
      </c>
      <c r="M191" s="6" t="s">
        <v>5507</v>
      </c>
      <c r="N191" s="30" t="s">
        <v>814</v>
      </c>
      <c r="O191" s="30" t="s">
        <v>12008</v>
      </c>
      <c r="P191" s="30" t="s">
        <v>11090</v>
      </c>
      <c r="Q191" s="208" t="s">
        <v>8687</v>
      </c>
    </row>
    <row r="192" customFormat="false" ht="57.75" hidden="false" customHeight="true" outlineLevel="0" collapsed="false">
      <c r="A192" s="256" t="s">
        <v>8940</v>
      </c>
      <c r="B192" s="256" t="s">
        <v>4685</v>
      </c>
      <c r="C192" s="264" t="s">
        <v>12009</v>
      </c>
      <c r="D192" s="256" t="s">
        <v>12010</v>
      </c>
      <c r="E192" s="256" t="s">
        <v>12011</v>
      </c>
      <c r="F192" s="256" t="s">
        <v>12012</v>
      </c>
      <c r="G192" s="256" t="s">
        <v>12013</v>
      </c>
      <c r="H192" s="267" t="s">
        <v>12014</v>
      </c>
      <c r="I192" s="267" t="s">
        <v>12015</v>
      </c>
      <c r="J192" s="256" t="s">
        <v>7742</v>
      </c>
      <c r="K192" s="268" t="s">
        <v>12016</v>
      </c>
      <c r="L192" s="208" t="s">
        <v>10927</v>
      </c>
      <c r="M192" s="6" t="s">
        <v>8933</v>
      </c>
      <c r="N192" s="30" t="s">
        <v>814</v>
      </c>
      <c r="O192" s="30" t="s">
        <v>814</v>
      </c>
      <c r="P192" s="30" t="s">
        <v>11116</v>
      </c>
      <c r="Q192" s="208" t="s">
        <v>8687</v>
      </c>
      <c r="R192" s="246" t="s">
        <v>10954</v>
      </c>
    </row>
    <row r="193" customFormat="false" ht="57.75" hidden="false" customHeight="true" outlineLevel="0" collapsed="false">
      <c r="A193" s="256" t="s">
        <v>12017</v>
      </c>
      <c r="B193" s="256" t="s">
        <v>4685</v>
      </c>
      <c r="C193" s="264" t="s">
        <v>12018</v>
      </c>
      <c r="D193" s="256" t="s">
        <v>12019</v>
      </c>
      <c r="E193" s="256" t="s">
        <v>12020</v>
      </c>
      <c r="F193" s="256" t="s">
        <v>12021</v>
      </c>
      <c r="G193" s="256" t="s">
        <v>12022</v>
      </c>
      <c r="H193" s="256" t="s">
        <v>12023</v>
      </c>
      <c r="I193" s="267" t="s">
        <v>12024</v>
      </c>
      <c r="J193" s="256" t="s">
        <v>7742</v>
      </c>
      <c r="K193" s="268" t="s">
        <v>12025</v>
      </c>
      <c r="L193" s="208" t="s">
        <v>10927</v>
      </c>
      <c r="M193" s="6" t="s">
        <v>8627</v>
      </c>
      <c r="N193" s="30" t="s">
        <v>814</v>
      </c>
      <c r="O193" s="30" t="s">
        <v>11973</v>
      </c>
      <c r="P193" s="30" t="s">
        <v>11062</v>
      </c>
      <c r="Q193" s="208" t="s">
        <v>8580</v>
      </c>
      <c r="R193" s="246" t="s">
        <v>12026</v>
      </c>
    </row>
    <row r="194" customFormat="false" ht="57.75" hidden="false" customHeight="true" outlineLevel="0" collapsed="false">
      <c r="A194" s="256" t="s">
        <v>12027</v>
      </c>
      <c r="B194" s="256" t="s">
        <v>4685</v>
      </c>
      <c r="C194" s="264" t="s">
        <v>12028</v>
      </c>
      <c r="D194" s="256" t="s">
        <v>12029</v>
      </c>
      <c r="E194" s="256" t="s">
        <v>11967</v>
      </c>
      <c r="F194" s="256" t="s">
        <v>814</v>
      </c>
      <c r="G194" s="256" t="s">
        <v>814</v>
      </c>
      <c r="H194" s="256" t="s">
        <v>12030</v>
      </c>
      <c r="I194" s="267" t="s">
        <v>12031</v>
      </c>
      <c r="J194" s="256" t="s">
        <v>7742</v>
      </c>
      <c r="K194" s="268" t="s">
        <v>12032</v>
      </c>
      <c r="L194" s="208" t="s">
        <v>10927</v>
      </c>
      <c r="M194" s="6" t="s">
        <v>814</v>
      </c>
      <c r="N194" s="30" t="s">
        <v>814</v>
      </c>
      <c r="O194" s="30" t="s">
        <v>814</v>
      </c>
      <c r="P194" s="30" t="s">
        <v>11090</v>
      </c>
      <c r="Q194" s="208" t="s">
        <v>8580</v>
      </c>
    </row>
    <row r="195" customFormat="false" ht="86.25" hidden="false" customHeight="true" outlineLevel="0" collapsed="false">
      <c r="A195" s="256" t="s">
        <v>12033</v>
      </c>
      <c r="B195" s="256" t="s">
        <v>4685</v>
      </c>
      <c r="C195" s="264" t="s">
        <v>12034</v>
      </c>
      <c r="D195" s="256" t="s">
        <v>12035</v>
      </c>
      <c r="E195" s="256" t="s">
        <v>12036</v>
      </c>
      <c r="F195" s="256" t="s">
        <v>12037</v>
      </c>
      <c r="G195" s="256" t="s">
        <v>12038</v>
      </c>
      <c r="H195" s="256" t="s">
        <v>12039</v>
      </c>
      <c r="I195" s="267" t="s">
        <v>12040</v>
      </c>
      <c r="J195" s="256" t="s">
        <v>7742</v>
      </c>
      <c r="K195" s="264" t="s">
        <v>12041</v>
      </c>
      <c r="L195" s="208" t="s">
        <v>10927</v>
      </c>
      <c r="M195" s="6" t="s">
        <v>814</v>
      </c>
      <c r="N195" s="30" t="s">
        <v>814</v>
      </c>
      <c r="O195" s="30" t="s">
        <v>12042</v>
      </c>
      <c r="P195" s="30" t="s">
        <v>11090</v>
      </c>
      <c r="Q195" s="208" t="s">
        <v>8580</v>
      </c>
    </row>
    <row r="196" customFormat="false" ht="100.5" hidden="false" customHeight="true" outlineLevel="0" collapsed="false">
      <c r="A196" s="256" t="s">
        <v>9054</v>
      </c>
      <c r="B196" s="256" t="s">
        <v>4685</v>
      </c>
      <c r="C196" s="264" t="s">
        <v>12043</v>
      </c>
      <c r="D196" s="256" t="s">
        <v>12044</v>
      </c>
      <c r="E196" s="256" t="s">
        <v>12045</v>
      </c>
      <c r="F196" s="256" t="s">
        <v>12046</v>
      </c>
      <c r="G196" s="256" t="s">
        <v>12047</v>
      </c>
      <c r="H196" s="267" t="s">
        <v>12048</v>
      </c>
      <c r="I196" s="267" t="s">
        <v>12049</v>
      </c>
      <c r="J196" s="256" t="s">
        <v>7742</v>
      </c>
      <c r="K196" s="264" t="s">
        <v>12050</v>
      </c>
      <c r="L196" s="208" t="s">
        <v>10927</v>
      </c>
      <c r="M196" s="6" t="s">
        <v>6870</v>
      </c>
      <c r="N196" s="30" t="s">
        <v>814</v>
      </c>
      <c r="O196" s="30" t="s">
        <v>12051</v>
      </c>
      <c r="P196" s="30" t="s">
        <v>11116</v>
      </c>
      <c r="Q196" s="208" t="s">
        <v>8580</v>
      </c>
    </row>
    <row r="197" customFormat="false" ht="72" hidden="false" customHeight="true" outlineLevel="0" collapsed="false">
      <c r="A197" s="256" t="s">
        <v>9062</v>
      </c>
      <c r="B197" s="256" t="s">
        <v>4685</v>
      </c>
      <c r="C197" s="264" t="s">
        <v>12052</v>
      </c>
      <c r="D197" s="256" t="s">
        <v>12053</v>
      </c>
      <c r="E197" s="256" t="s">
        <v>12045</v>
      </c>
      <c r="F197" s="256" t="s">
        <v>12054</v>
      </c>
      <c r="G197" s="256" t="s">
        <v>12055</v>
      </c>
      <c r="H197" s="267" t="s">
        <v>12056</v>
      </c>
      <c r="I197" s="267" t="s">
        <v>12057</v>
      </c>
      <c r="J197" s="256" t="s">
        <v>7742</v>
      </c>
      <c r="K197" s="268" t="s">
        <v>12058</v>
      </c>
      <c r="L197" s="208" t="s">
        <v>10927</v>
      </c>
      <c r="M197" s="6" t="s">
        <v>9055</v>
      </c>
      <c r="N197" s="30" t="s">
        <v>814</v>
      </c>
      <c r="O197" s="30" t="s">
        <v>12051</v>
      </c>
      <c r="P197" s="30" t="s">
        <v>11116</v>
      </c>
      <c r="Q197" s="208" t="s">
        <v>8580</v>
      </c>
    </row>
    <row r="198" customFormat="false" ht="72" hidden="false" customHeight="true" outlineLevel="0" collapsed="false">
      <c r="A198" s="256" t="s">
        <v>9072</v>
      </c>
      <c r="B198" s="256" t="s">
        <v>4685</v>
      </c>
      <c r="C198" s="264" t="s">
        <v>12059</v>
      </c>
      <c r="D198" s="256" t="s">
        <v>12060</v>
      </c>
      <c r="E198" s="256" t="s">
        <v>12061</v>
      </c>
      <c r="F198" s="256" t="s">
        <v>12062</v>
      </c>
      <c r="G198" s="256" t="s">
        <v>12055</v>
      </c>
      <c r="H198" s="256" t="s">
        <v>12063</v>
      </c>
      <c r="I198" s="267" t="s">
        <v>12064</v>
      </c>
      <c r="J198" s="256" t="s">
        <v>7742</v>
      </c>
      <c r="K198" s="268" t="s">
        <v>12065</v>
      </c>
      <c r="L198" s="208" t="s">
        <v>10927</v>
      </c>
      <c r="M198" s="6" t="s">
        <v>6882</v>
      </c>
      <c r="N198" s="30" t="s">
        <v>814</v>
      </c>
      <c r="O198" s="30" t="s">
        <v>12051</v>
      </c>
      <c r="P198" s="30" t="s">
        <v>11090</v>
      </c>
      <c r="Q198" s="208" t="s">
        <v>8580</v>
      </c>
    </row>
    <row r="199" customFormat="false" ht="57.75" hidden="false" customHeight="true" outlineLevel="0" collapsed="false">
      <c r="A199" s="256" t="s">
        <v>12066</v>
      </c>
      <c r="B199" s="256" t="s">
        <v>4685</v>
      </c>
      <c r="C199" s="264" t="s">
        <v>12067</v>
      </c>
      <c r="D199" s="256" t="s">
        <v>12068</v>
      </c>
      <c r="E199" s="256" t="s">
        <v>12069</v>
      </c>
      <c r="F199" s="256" t="s">
        <v>12070</v>
      </c>
      <c r="G199" s="256" t="s">
        <v>12071</v>
      </c>
      <c r="H199" s="256" t="s">
        <v>12072</v>
      </c>
      <c r="I199" s="267" t="s">
        <v>12073</v>
      </c>
      <c r="J199" s="256" t="s">
        <v>7742</v>
      </c>
      <c r="K199" s="268" t="s">
        <v>12074</v>
      </c>
      <c r="L199" s="208" t="s">
        <v>10927</v>
      </c>
      <c r="M199" s="6" t="s">
        <v>814</v>
      </c>
      <c r="N199" s="30" t="s">
        <v>814</v>
      </c>
      <c r="O199" s="30" t="s">
        <v>12051</v>
      </c>
      <c r="P199" s="30" t="s">
        <v>11090</v>
      </c>
      <c r="Q199" s="208" t="s">
        <v>8580</v>
      </c>
    </row>
    <row r="200" customFormat="false" ht="72" hidden="false" customHeight="true" outlineLevel="0" collapsed="false">
      <c r="A200" s="256" t="s">
        <v>12075</v>
      </c>
      <c r="B200" s="256" t="s">
        <v>4685</v>
      </c>
      <c r="C200" s="264" t="s">
        <v>12076</v>
      </c>
      <c r="D200" s="256" t="s">
        <v>12077</v>
      </c>
      <c r="E200" s="256" t="s">
        <v>12036</v>
      </c>
      <c r="F200" s="256" t="s">
        <v>12078</v>
      </c>
      <c r="G200" s="256" t="s">
        <v>12055</v>
      </c>
      <c r="H200" s="256" t="s">
        <v>12079</v>
      </c>
      <c r="I200" s="267" t="s">
        <v>12080</v>
      </c>
      <c r="J200" s="256" t="s">
        <v>7742</v>
      </c>
      <c r="K200" s="268" t="s">
        <v>12081</v>
      </c>
      <c r="L200" s="208" t="s">
        <v>10927</v>
      </c>
      <c r="M200" s="6" t="s">
        <v>814</v>
      </c>
      <c r="N200" s="30" t="s">
        <v>814</v>
      </c>
      <c r="O200" s="30" t="s">
        <v>12051</v>
      </c>
      <c r="P200" s="30" t="s">
        <v>11090</v>
      </c>
      <c r="Q200" s="208" t="s">
        <v>8580</v>
      </c>
    </row>
    <row r="201" customFormat="false" ht="57.75" hidden="false" customHeight="true" outlineLevel="0" collapsed="false">
      <c r="A201" s="256" t="s">
        <v>12082</v>
      </c>
      <c r="B201" s="256" t="s">
        <v>4685</v>
      </c>
      <c r="C201" s="268" t="s">
        <v>12083</v>
      </c>
      <c r="D201" s="256" t="s">
        <v>12084</v>
      </c>
      <c r="E201" s="256" t="s">
        <v>12085</v>
      </c>
      <c r="F201" s="256" t="s">
        <v>12086</v>
      </c>
      <c r="G201" s="256" t="s">
        <v>12087</v>
      </c>
      <c r="H201" s="256" t="s">
        <v>12088</v>
      </c>
      <c r="I201" s="267" t="s">
        <v>12089</v>
      </c>
      <c r="J201" s="256" t="s">
        <v>7742</v>
      </c>
      <c r="K201" s="268" t="s">
        <v>12090</v>
      </c>
      <c r="L201" s="208" t="s">
        <v>10927</v>
      </c>
      <c r="M201" s="6" t="s">
        <v>814</v>
      </c>
      <c r="N201" s="30" t="s">
        <v>814</v>
      </c>
      <c r="O201" s="30" t="s">
        <v>12091</v>
      </c>
      <c r="P201" s="30" t="s">
        <v>11062</v>
      </c>
      <c r="Q201" s="208" t="s">
        <v>8580</v>
      </c>
    </row>
    <row r="202" customFormat="false" ht="72" hidden="false" customHeight="true" outlineLevel="0" collapsed="false">
      <c r="A202" s="256" t="s">
        <v>12092</v>
      </c>
      <c r="B202" s="256" t="s">
        <v>4685</v>
      </c>
      <c r="C202" s="264" t="s">
        <v>12093</v>
      </c>
      <c r="D202" s="256" t="s">
        <v>12094</v>
      </c>
      <c r="E202" s="256" t="s">
        <v>12095</v>
      </c>
      <c r="F202" s="256" t="s">
        <v>12096</v>
      </c>
      <c r="G202" s="256" t="s">
        <v>12097</v>
      </c>
      <c r="H202" s="256" t="s">
        <v>12098</v>
      </c>
      <c r="I202" s="267" t="s">
        <v>12099</v>
      </c>
      <c r="J202" s="256" t="s">
        <v>7742</v>
      </c>
      <c r="K202" s="264" t="s">
        <v>12100</v>
      </c>
      <c r="L202" s="208" t="s">
        <v>10927</v>
      </c>
      <c r="M202" s="6" t="s">
        <v>814</v>
      </c>
      <c r="N202" s="30" t="s">
        <v>814</v>
      </c>
      <c r="O202" s="30" t="s">
        <v>12091</v>
      </c>
      <c r="P202" s="30" t="s">
        <v>11116</v>
      </c>
      <c r="Q202" s="208" t="s">
        <v>8580</v>
      </c>
      <c r="R202" s="246" t="s">
        <v>12101</v>
      </c>
    </row>
    <row r="203" customFormat="false" ht="72" hidden="false" customHeight="true" outlineLevel="0" collapsed="false">
      <c r="A203" s="256" t="s">
        <v>10319</v>
      </c>
      <c r="B203" s="256" t="s">
        <v>7769</v>
      </c>
      <c r="C203" s="264" t="s">
        <v>12102</v>
      </c>
      <c r="D203" s="256" t="s">
        <v>12103</v>
      </c>
      <c r="E203" s="256" t="s">
        <v>12104</v>
      </c>
      <c r="F203" s="256" t="s">
        <v>12105</v>
      </c>
      <c r="G203" s="256" t="s">
        <v>814</v>
      </c>
      <c r="H203" s="256" t="s">
        <v>12106</v>
      </c>
      <c r="I203" s="267" t="s">
        <v>12107</v>
      </c>
      <c r="J203" s="256" t="s">
        <v>7766</v>
      </c>
      <c r="K203" s="268" t="s">
        <v>12108</v>
      </c>
      <c r="L203" s="208" t="s">
        <v>10927</v>
      </c>
      <c r="M203" s="6" t="s">
        <v>12109</v>
      </c>
      <c r="N203" s="30" t="s">
        <v>814</v>
      </c>
      <c r="O203" s="30" t="s">
        <v>12110</v>
      </c>
      <c r="P203" s="30" t="s">
        <v>11116</v>
      </c>
      <c r="Q203" s="208" t="s">
        <v>8580</v>
      </c>
    </row>
    <row r="204" customFormat="false" ht="72" hidden="false" customHeight="true" outlineLevel="0" collapsed="false">
      <c r="A204" s="256" t="s">
        <v>10338</v>
      </c>
      <c r="B204" s="256" t="s">
        <v>7769</v>
      </c>
      <c r="C204" s="264" t="s">
        <v>12111</v>
      </c>
      <c r="D204" s="256" t="s">
        <v>12112</v>
      </c>
      <c r="E204" s="256" t="s">
        <v>12104</v>
      </c>
      <c r="F204" s="256" t="s">
        <v>12113</v>
      </c>
      <c r="G204" s="256" t="s">
        <v>814</v>
      </c>
      <c r="H204" s="256" t="s">
        <v>12114</v>
      </c>
      <c r="I204" s="267" t="s">
        <v>12115</v>
      </c>
      <c r="J204" s="256" t="s">
        <v>7766</v>
      </c>
      <c r="K204" s="264" t="s">
        <v>12116</v>
      </c>
      <c r="L204" s="208" t="s">
        <v>10927</v>
      </c>
      <c r="M204" s="6" t="s">
        <v>12117</v>
      </c>
      <c r="N204" s="30" t="s">
        <v>814</v>
      </c>
      <c r="O204" s="30" t="s">
        <v>12110</v>
      </c>
      <c r="P204" s="30" t="s">
        <v>11116</v>
      </c>
      <c r="Q204" s="208" t="s">
        <v>8580</v>
      </c>
    </row>
    <row r="205" customFormat="false" ht="72" hidden="false" customHeight="true" outlineLevel="0" collapsed="false">
      <c r="A205" s="256" t="s">
        <v>10347</v>
      </c>
      <c r="B205" s="256" t="s">
        <v>7769</v>
      </c>
      <c r="C205" s="264" t="s">
        <v>12118</v>
      </c>
      <c r="D205" s="256" t="s">
        <v>12119</v>
      </c>
      <c r="E205" s="256" t="s">
        <v>11967</v>
      </c>
      <c r="F205" s="256" t="s">
        <v>12120</v>
      </c>
      <c r="G205" s="256" t="s">
        <v>814</v>
      </c>
      <c r="H205" s="256" t="s">
        <v>12121</v>
      </c>
      <c r="I205" s="267" t="s">
        <v>12122</v>
      </c>
      <c r="J205" s="256" t="s">
        <v>7766</v>
      </c>
      <c r="K205" s="268" t="s">
        <v>12123</v>
      </c>
      <c r="L205" s="208" t="s">
        <v>10927</v>
      </c>
      <c r="M205" s="6" t="s">
        <v>12124</v>
      </c>
      <c r="N205" s="30" t="s">
        <v>814</v>
      </c>
      <c r="O205" s="30" t="s">
        <v>12110</v>
      </c>
      <c r="P205" s="30" t="s">
        <v>11090</v>
      </c>
      <c r="Q205" s="208" t="s">
        <v>8580</v>
      </c>
      <c r="R205" s="246" t="s">
        <v>10954</v>
      </c>
    </row>
    <row r="206" customFormat="false" ht="72" hidden="false" customHeight="true" outlineLevel="0" collapsed="false">
      <c r="A206" s="256" t="s">
        <v>10358</v>
      </c>
      <c r="B206" s="256" t="s">
        <v>7769</v>
      </c>
      <c r="C206" s="264" t="s">
        <v>12125</v>
      </c>
      <c r="D206" s="256" t="s">
        <v>12126</v>
      </c>
      <c r="E206" s="256" t="s">
        <v>11967</v>
      </c>
      <c r="F206" s="256" t="s">
        <v>12127</v>
      </c>
      <c r="G206" s="256" t="s">
        <v>814</v>
      </c>
      <c r="H206" s="256" t="s">
        <v>12128</v>
      </c>
      <c r="I206" s="267" t="s">
        <v>12129</v>
      </c>
      <c r="J206" s="256" t="s">
        <v>7766</v>
      </c>
      <c r="K206" s="268" t="s">
        <v>12130</v>
      </c>
      <c r="L206" s="208" t="s">
        <v>10927</v>
      </c>
      <c r="M206" s="6" t="s">
        <v>1587</v>
      </c>
      <c r="N206" s="30" t="s">
        <v>814</v>
      </c>
      <c r="O206" s="30" t="s">
        <v>12110</v>
      </c>
      <c r="P206" s="30" t="s">
        <v>11090</v>
      </c>
      <c r="Q206" s="208" t="s">
        <v>8580</v>
      </c>
    </row>
    <row r="207" customFormat="false" ht="72" hidden="false" customHeight="true" outlineLevel="0" collapsed="false">
      <c r="A207" s="256" t="s">
        <v>12131</v>
      </c>
      <c r="B207" s="256" t="s">
        <v>7769</v>
      </c>
      <c r="C207" s="264" t="s">
        <v>12132</v>
      </c>
      <c r="D207" s="256" t="s">
        <v>12133</v>
      </c>
      <c r="E207" s="256" t="s">
        <v>11967</v>
      </c>
      <c r="F207" s="256" t="s">
        <v>814</v>
      </c>
      <c r="G207" s="256" t="s">
        <v>814</v>
      </c>
      <c r="H207" s="256" t="s">
        <v>12134</v>
      </c>
      <c r="I207" s="267" t="s">
        <v>12135</v>
      </c>
      <c r="J207" s="256" t="s">
        <v>7766</v>
      </c>
      <c r="K207" s="268" t="s">
        <v>12136</v>
      </c>
      <c r="L207" s="208" t="s">
        <v>10927</v>
      </c>
      <c r="M207" s="6" t="s">
        <v>814</v>
      </c>
      <c r="N207" s="30" t="s">
        <v>814</v>
      </c>
      <c r="O207" s="30" t="s">
        <v>814</v>
      </c>
      <c r="P207" s="30" t="s">
        <v>11090</v>
      </c>
      <c r="Q207" s="208" t="s">
        <v>8580</v>
      </c>
      <c r="R207" s="246" t="s">
        <v>12137</v>
      </c>
    </row>
    <row r="208" customFormat="false" ht="72" hidden="false" customHeight="true" outlineLevel="0" collapsed="false">
      <c r="A208" s="256" t="s">
        <v>10365</v>
      </c>
      <c r="B208" s="256" t="s">
        <v>7769</v>
      </c>
      <c r="C208" s="264" t="s">
        <v>12138</v>
      </c>
      <c r="D208" s="256" t="s">
        <v>12139</v>
      </c>
      <c r="E208" s="256" t="s">
        <v>12140</v>
      </c>
      <c r="F208" s="256" t="s">
        <v>12120</v>
      </c>
      <c r="G208" s="256" t="s">
        <v>814</v>
      </c>
      <c r="H208" s="256" t="s">
        <v>12141</v>
      </c>
      <c r="I208" s="267" t="s">
        <v>12142</v>
      </c>
      <c r="J208" s="256" t="s">
        <v>7766</v>
      </c>
      <c r="K208" s="264" t="s">
        <v>12143</v>
      </c>
      <c r="L208" s="208" t="s">
        <v>10927</v>
      </c>
      <c r="M208" s="6" t="s">
        <v>12144</v>
      </c>
      <c r="N208" s="30" t="s">
        <v>814</v>
      </c>
      <c r="O208" s="30" t="s">
        <v>12110</v>
      </c>
      <c r="P208" s="30" t="s">
        <v>12145</v>
      </c>
      <c r="Q208" s="208" t="s">
        <v>8580</v>
      </c>
    </row>
    <row r="209" customFormat="false" ht="72" hidden="false" customHeight="true" outlineLevel="0" collapsed="false">
      <c r="A209" s="256" t="s">
        <v>10389</v>
      </c>
      <c r="B209" s="256" t="s">
        <v>7769</v>
      </c>
      <c r="C209" s="264" t="s">
        <v>12146</v>
      </c>
      <c r="D209" s="256" t="s">
        <v>12147</v>
      </c>
      <c r="E209" s="256" t="s">
        <v>11967</v>
      </c>
      <c r="F209" s="256" t="s">
        <v>12148</v>
      </c>
      <c r="G209" s="256" t="s">
        <v>814</v>
      </c>
      <c r="H209" s="256" t="s">
        <v>12149</v>
      </c>
      <c r="I209" s="267" t="s">
        <v>12150</v>
      </c>
      <c r="J209" s="256" t="s">
        <v>7766</v>
      </c>
      <c r="K209" s="268" t="s">
        <v>12151</v>
      </c>
      <c r="L209" s="208" t="s">
        <v>10927</v>
      </c>
      <c r="M209" s="6" t="s">
        <v>12152</v>
      </c>
      <c r="N209" s="30" t="s">
        <v>814</v>
      </c>
      <c r="O209" s="30" t="s">
        <v>814</v>
      </c>
      <c r="P209" s="30" t="s">
        <v>11090</v>
      </c>
      <c r="Q209" s="208" t="s">
        <v>8580</v>
      </c>
      <c r="R209" s="246" t="s">
        <v>10954</v>
      </c>
    </row>
    <row r="210" customFormat="false" ht="72" hidden="false" customHeight="true" outlineLevel="0" collapsed="false">
      <c r="A210" s="256" t="s">
        <v>10399</v>
      </c>
      <c r="B210" s="256" t="s">
        <v>7769</v>
      </c>
      <c r="C210" s="264" t="s">
        <v>12153</v>
      </c>
      <c r="D210" s="256" t="s">
        <v>12154</v>
      </c>
      <c r="E210" s="256" t="s">
        <v>12104</v>
      </c>
      <c r="F210" s="256" t="s">
        <v>12155</v>
      </c>
      <c r="G210" s="256" t="s">
        <v>814</v>
      </c>
      <c r="H210" s="256" t="s">
        <v>12156</v>
      </c>
      <c r="I210" s="267" t="s">
        <v>12157</v>
      </c>
      <c r="J210" s="256" t="s">
        <v>7766</v>
      </c>
      <c r="K210" s="264" t="s">
        <v>12158</v>
      </c>
      <c r="L210" s="208" t="s">
        <v>10927</v>
      </c>
      <c r="M210" s="6" t="s">
        <v>12159</v>
      </c>
      <c r="N210" s="30" t="s">
        <v>814</v>
      </c>
      <c r="O210" s="30" t="s">
        <v>814</v>
      </c>
      <c r="P210" s="30" t="s">
        <v>11116</v>
      </c>
      <c r="Q210" s="208" t="s">
        <v>8580</v>
      </c>
    </row>
    <row r="211" customFormat="false" ht="72" hidden="false" customHeight="true" outlineLevel="0" collapsed="false">
      <c r="A211" s="256" t="s">
        <v>10414</v>
      </c>
      <c r="B211" s="256" t="s">
        <v>7769</v>
      </c>
      <c r="C211" s="264" t="s">
        <v>12160</v>
      </c>
      <c r="D211" s="256" t="s">
        <v>12161</v>
      </c>
      <c r="E211" s="256" t="s">
        <v>11967</v>
      </c>
      <c r="F211" s="256" t="s">
        <v>12162</v>
      </c>
      <c r="G211" s="256" t="s">
        <v>814</v>
      </c>
      <c r="H211" s="267" t="s">
        <v>12163</v>
      </c>
      <c r="I211" s="267" t="s">
        <v>12164</v>
      </c>
      <c r="J211" s="256" t="s">
        <v>7766</v>
      </c>
      <c r="K211" s="268" t="s">
        <v>12165</v>
      </c>
      <c r="L211" s="208" t="s">
        <v>10927</v>
      </c>
      <c r="M211" s="6" t="s">
        <v>12166</v>
      </c>
      <c r="N211" s="30" t="s">
        <v>814</v>
      </c>
      <c r="O211" s="30" t="s">
        <v>814</v>
      </c>
      <c r="P211" s="30" t="s">
        <v>11090</v>
      </c>
      <c r="Q211" s="208" t="s">
        <v>8580</v>
      </c>
    </row>
    <row r="212" customFormat="false" ht="72" hidden="false" customHeight="true" outlineLevel="0" collapsed="false">
      <c r="A212" s="256" t="s">
        <v>10435</v>
      </c>
      <c r="B212" s="256" t="s">
        <v>7769</v>
      </c>
      <c r="C212" s="264" t="s">
        <v>12167</v>
      </c>
      <c r="D212" s="256" t="s">
        <v>12168</v>
      </c>
      <c r="E212" s="256" t="s">
        <v>11967</v>
      </c>
      <c r="F212" s="267" t="s">
        <v>12169</v>
      </c>
      <c r="G212" s="256" t="s">
        <v>12170</v>
      </c>
      <c r="H212" s="267" t="s">
        <v>12171</v>
      </c>
      <c r="I212" s="267" t="s">
        <v>12172</v>
      </c>
      <c r="J212" s="256" t="s">
        <v>7766</v>
      </c>
      <c r="K212" s="264" t="s">
        <v>12173</v>
      </c>
      <c r="L212" s="208" t="s">
        <v>10927</v>
      </c>
      <c r="M212" s="6" t="s">
        <v>12174</v>
      </c>
      <c r="N212" s="30" t="s">
        <v>814</v>
      </c>
      <c r="O212" s="30" t="s">
        <v>12110</v>
      </c>
      <c r="P212" s="30" t="s">
        <v>11090</v>
      </c>
      <c r="Q212" s="208" t="s">
        <v>8580</v>
      </c>
    </row>
    <row r="213" customFormat="false" ht="72" hidden="false" customHeight="true" outlineLevel="0" collapsed="false">
      <c r="A213" s="256" t="s">
        <v>10461</v>
      </c>
      <c r="B213" s="256" t="s">
        <v>7769</v>
      </c>
      <c r="C213" s="264" t="s">
        <v>12175</v>
      </c>
      <c r="D213" s="256" t="s">
        <v>12176</v>
      </c>
      <c r="E213" s="256" t="s">
        <v>11967</v>
      </c>
      <c r="F213" s="267" t="s">
        <v>12177</v>
      </c>
      <c r="G213" s="256" t="s">
        <v>814</v>
      </c>
      <c r="H213" s="256" t="s">
        <v>12178</v>
      </c>
      <c r="I213" s="267" t="s">
        <v>12179</v>
      </c>
      <c r="J213" s="256" t="s">
        <v>7766</v>
      </c>
      <c r="K213" s="268" t="s">
        <v>12180</v>
      </c>
      <c r="L213" s="208" t="s">
        <v>10927</v>
      </c>
      <c r="M213" s="6" t="s">
        <v>6968</v>
      </c>
      <c r="N213" s="30" t="s">
        <v>814</v>
      </c>
      <c r="O213" s="30" t="s">
        <v>814</v>
      </c>
      <c r="P213" s="30" t="s">
        <v>11090</v>
      </c>
      <c r="Q213" s="208" t="s">
        <v>8580</v>
      </c>
      <c r="R213" s="246" t="s">
        <v>10954</v>
      </c>
    </row>
    <row r="214" customFormat="false" ht="72" hidden="false" customHeight="true" outlineLevel="0" collapsed="false">
      <c r="A214" s="256" t="s">
        <v>10470</v>
      </c>
      <c r="B214" s="256" t="s">
        <v>7769</v>
      </c>
      <c r="C214" s="264" t="s">
        <v>12181</v>
      </c>
      <c r="D214" s="256" t="s">
        <v>12182</v>
      </c>
      <c r="E214" s="256" t="s">
        <v>11967</v>
      </c>
      <c r="F214" s="256" t="s">
        <v>12183</v>
      </c>
      <c r="G214" s="256" t="s">
        <v>814</v>
      </c>
      <c r="H214" s="256" t="s">
        <v>12184</v>
      </c>
      <c r="I214" s="267" t="s">
        <v>12185</v>
      </c>
      <c r="J214" s="256" t="s">
        <v>7766</v>
      </c>
      <c r="K214" s="264" t="s">
        <v>12186</v>
      </c>
      <c r="L214" s="208" t="s">
        <v>10927</v>
      </c>
      <c r="M214" s="6" t="s">
        <v>12187</v>
      </c>
      <c r="N214" s="30" t="s">
        <v>814</v>
      </c>
      <c r="O214" s="30" t="s">
        <v>814</v>
      </c>
      <c r="P214" s="30" t="s">
        <v>11090</v>
      </c>
      <c r="Q214" s="208" t="s">
        <v>8580</v>
      </c>
      <c r="R214" s="246" t="s">
        <v>12188</v>
      </c>
    </row>
    <row r="215" customFormat="false" ht="72" hidden="false" customHeight="true" outlineLevel="0" collapsed="false">
      <c r="A215" s="256" t="s">
        <v>10479</v>
      </c>
      <c r="B215" s="256" t="s">
        <v>7769</v>
      </c>
      <c r="C215" s="264" t="s">
        <v>12189</v>
      </c>
      <c r="D215" s="256" t="s">
        <v>12190</v>
      </c>
      <c r="E215" s="256" t="s">
        <v>12104</v>
      </c>
      <c r="F215" s="267" t="s">
        <v>12191</v>
      </c>
      <c r="G215" s="256" t="s">
        <v>814</v>
      </c>
      <c r="H215" s="256" t="s">
        <v>12192</v>
      </c>
      <c r="I215" s="267" t="s">
        <v>12193</v>
      </c>
      <c r="J215" s="256" t="s">
        <v>7766</v>
      </c>
      <c r="K215" s="268" t="s">
        <v>12194</v>
      </c>
      <c r="L215" s="208" t="s">
        <v>10927</v>
      </c>
      <c r="M215" s="6" t="s">
        <v>10473</v>
      </c>
      <c r="N215" s="30" t="s">
        <v>814</v>
      </c>
      <c r="O215" s="30" t="s">
        <v>12195</v>
      </c>
      <c r="P215" s="30" t="s">
        <v>11116</v>
      </c>
      <c r="Q215" s="208" t="s">
        <v>8580</v>
      </c>
    </row>
    <row r="216" customFormat="false" ht="72" hidden="false" customHeight="true" outlineLevel="0" collapsed="false">
      <c r="A216" s="256" t="s">
        <v>10488</v>
      </c>
      <c r="B216" s="256" t="s">
        <v>7769</v>
      </c>
      <c r="C216" s="264" t="s">
        <v>12196</v>
      </c>
      <c r="D216" s="256" t="s">
        <v>12197</v>
      </c>
      <c r="E216" s="256" t="s">
        <v>12104</v>
      </c>
      <c r="F216" s="267" t="s">
        <v>12198</v>
      </c>
      <c r="G216" s="256" t="s">
        <v>814</v>
      </c>
      <c r="H216" s="256" t="s">
        <v>12199</v>
      </c>
      <c r="I216" s="267" t="s">
        <v>12200</v>
      </c>
      <c r="J216" s="256" t="s">
        <v>7766</v>
      </c>
      <c r="K216" s="268" t="s">
        <v>12201</v>
      </c>
      <c r="L216" s="208" t="s">
        <v>10927</v>
      </c>
      <c r="M216" s="6" t="s">
        <v>10482</v>
      </c>
      <c r="N216" s="30" t="s">
        <v>814</v>
      </c>
      <c r="O216" s="30" t="s">
        <v>814</v>
      </c>
      <c r="P216" s="30" t="s">
        <v>11116</v>
      </c>
      <c r="Q216" s="208" t="s">
        <v>8580</v>
      </c>
    </row>
    <row r="217" customFormat="false" ht="72" hidden="false" customHeight="true" outlineLevel="0" collapsed="false">
      <c r="A217" s="256" t="s">
        <v>10497</v>
      </c>
      <c r="B217" s="256" t="s">
        <v>7769</v>
      </c>
      <c r="C217" s="264" t="s">
        <v>12202</v>
      </c>
      <c r="D217" s="256" t="s">
        <v>12203</v>
      </c>
      <c r="E217" s="256" t="s">
        <v>12204</v>
      </c>
      <c r="F217" s="256" t="s">
        <v>12205</v>
      </c>
      <c r="G217" s="256" t="s">
        <v>12206</v>
      </c>
      <c r="H217" s="256" t="s">
        <v>12207</v>
      </c>
      <c r="I217" s="267" t="s">
        <v>12208</v>
      </c>
      <c r="J217" s="256" t="s">
        <v>7766</v>
      </c>
      <c r="K217" s="264" t="s">
        <v>12209</v>
      </c>
      <c r="L217" s="208" t="s">
        <v>10927</v>
      </c>
      <c r="M217" s="6" t="s">
        <v>12210</v>
      </c>
      <c r="N217" s="30" t="s">
        <v>814</v>
      </c>
      <c r="O217" s="30" t="s">
        <v>12211</v>
      </c>
      <c r="P217" s="30" t="s">
        <v>11116</v>
      </c>
      <c r="Q217" s="208" t="s">
        <v>8687</v>
      </c>
      <c r="R217" s="246" t="s">
        <v>10954</v>
      </c>
    </row>
    <row r="218" customFormat="false" ht="72" hidden="false" customHeight="true" outlineLevel="0" collapsed="false">
      <c r="A218" s="256" t="s">
        <v>10512</v>
      </c>
      <c r="B218" s="256" t="s">
        <v>7769</v>
      </c>
      <c r="C218" s="264" t="s">
        <v>12212</v>
      </c>
      <c r="D218" s="256" t="s">
        <v>12213</v>
      </c>
      <c r="E218" s="256" t="s">
        <v>11967</v>
      </c>
      <c r="F218" s="256" t="s">
        <v>12214</v>
      </c>
      <c r="G218" s="256" t="s">
        <v>12206</v>
      </c>
      <c r="H218" s="256" t="s">
        <v>12215</v>
      </c>
      <c r="I218" s="267" t="s">
        <v>12216</v>
      </c>
      <c r="J218" s="256" t="s">
        <v>7766</v>
      </c>
      <c r="K218" s="268" t="s">
        <v>12217</v>
      </c>
      <c r="L218" s="208" t="s">
        <v>10927</v>
      </c>
      <c r="M218" s="6" t="s">
        <v>10505</v>
      </c>
      <c r="N218" s="30" t="s">
        <v>814</v>
      </c>
      <c r="O218" s="30" t="s">
        <v>12211</v>
      </c>
      <c r="P218" s="30" t="s">
        <v>11090</v>
      </c>
      <c r="Q218" s="208" t="s">
        <v>8580</v>
      </c>
      <c r="R218" s="246" t="s">
        <v>10954</v>
      </c>
    </row>
    <row r="219" customFormat="false" ht="72" hidden="false" customHeight="true" outlineLevel="0" collapsed="false">
      <c r="A219" s="256" t="s">
        <v>12218</v>
      </c>
      <c r="B219" s="256" t="s">
        <v>7769</v>
      </c>
      <c r="C219" s="264" t="s">
        <v>12219</v>
      </c>
      <c r="D219" s="256" t="s">
        <v>12220</v>
      </c>
      <c r="E219" s="256" t="s">
        <v>12221</v>
      </c>
      <c r="F219" s="256" t="s">
        <v>12222</v>
      </c>
      <c r="G219" s="256" t="s">
        <v>814</v>
      </c>
      <c r="H219" s="256" t="s">
        <v>814</v>
      </c>
      <c r="I219" s="267" t="s">
        <v>12223</v>
      </c>
      <c r="J219" s="256" t="s">
        <v>7766</v>
      </c>
      <c r="K219" s="264" t="s">
        <v>12224</v>
      </c>
      <c r="L219" s="208" t="s">
        <v>10927</v>
      </c>
      <c r="M219" s="6" t="s">
        <v>814</v>
      </c>
      <c r="N219" s="30" t="s">
        <v>814</v>
      </c>
      <c r="O219" s="30" t="s">
        <v>814</v>
      </c>
      <c r="P219" s="30" t="s">
        <v>11116</v>
      </c>
      <c r="Q219" s="208" t="s">
        <v>8580</v>
      </c>
    </row>
    <row r="220" customFormat="false" ht="72" hidden="false" customHeight="true" outlineLevel="0" collapsed="false">
      <c r="A220" s="256" t="s">
        <v>12225</v>
      </c>
      <c r="B220" s="256" t="s">
        <v>7769</v>
      </c>
      <c r="C220" s="264" t="s">
        <v>12226</v>
      </c>
      <c r="D220" s="256" t="s">
        <v>12227</v>
      </c>
      <c r="E220" s="256" t="s">
        <v>11967</v>
      </c>
      <c r="F220" s="256" t="s">
        <v>12228</v>
      </c>
      <c r="G220" s="256" t="s">
        <v>814</v>
      </c>
      <c r="H220" s="256" t="s">
        <v>12229</v>
      </c>
      <c r="I220" s="267" t="s">
        <v>12230</v>
      </c>
      <c r="J220" s="256" t="s">
        <v>7766</v>
      </c>
      <c r="K220" s="268" t="s">
        <v>12231</v>
      </c>
      <c r="L220" s="208" t="s">
        <v>10927</v>
      </c>
      <c r="M220" s="6" t="s">
        <v>814</v>
      </c>
      <c r="N220" s="30" t="s">
        <v>814</v>
      </c>
      <c r="O220" s="30" t="s">
        <v>814</v>
      </c>
      <c r="P220" s="30" t="s">
        <v>11090</v>
      </c>
      <c r="Q220" s="208" t="s">
        <v>8580</v>
      </c>
    </row>
    <row r="221" customFormat="false" ht="72" hidden="false" customHeight="true" outlineLevel="0" collapsed="false">
      <c r="A221" s="256" t="s">
        <v>12232</v>
      </c>
      <c r="B221" s="256" t="s">
        <v>7769</v>
      </c>
      <c r="C221" s="264" t="s">
        <v>12233</v>
      </c>
      <c r="D221" s="256" t="s">
        <v>12234</v>
      </c>
      <c r="E221" s="256" t="s">
        <v>12235</v>
      </c>
      <c r="F221" s="256" t="s">
        <v>12236</v>
      </c>
      <c r="G221" s="256" t="s">
        <v>814</v>
      </c>
      <c r="H221" s="256" t="s">
        <v>814</v>
      </c>
      <c r="I221" s="267" t="s">
        <v>12237</v>
      </c>
      <c r="J221" s="256" t="s">
        <v>7766</v>
      </c>
      <c r="K221" s="268" t="s">
        <v>12238</v>
      </c>
      <c r="L221" s="208" t="s">
        <v>10927</v>
      </c>
      <c r="M221" s="6" t="s">
        <v>814</v>
      </c>
      <c r="N221" s="30" t="s">
        <v>814</v>
      </c>
      <c r="O221" s="30" t="s">
        <v>814</v>
      </c>
      <c r="P221" s="30" t="s">
        <v>12145</v>
      </c>
      <c r="Q221" s="208" t="s">
        <v>8580</v>
      </c>
    </row>
    <row r="222" customFormat="false" ht="72" hidden="false" customHeight="true" outlineLevel="0" collapsed="false">
      <c r="A222" s="256" t="s">
        <v>12239</v>
      </c>
      <c r="B222" s="256" t="s">
        <v>7769</v>
      </c>
      <c r="C222" s="264" t="s">
        <v>12240</v>
      </c>
      <c r="D222" s="256" t="s">
        <v>12241</v>
      </c>
      <c r="E222" s="256" t="s">
        <v>12104</v>
      </c>
      <c r="F222" s="256" t="s">
        <v>12242</v>
      </c>
      <c r="G222" s="256" t="s">
        <v>814</v>
      </c>
      <c r="H222" s="256" t="s">
        <v>12243</v>
      </c>
      <c r="I222" s="267" t="s">
        <v>12244</v>
      </c>
      <c r="J222" s="256" t="s">
        <v>7766</v>
      </c>
      <c r="K222" s="268" t="s">
        <v>12245</v>
      </c>
      <c r="L222" s="208" t="s">
        <v>10927</v>
      </c>
      <c r="M222" s="6" t="s">
        <v>814</v>
      </c>
      <c r="N222" s="30" t="s">
        <v>814</v>
      </c>
      <c r="O222" s="30" t="s">
        <v>814</v>
      </c>
      <c r="P222" s="30" t="s">
        <v>11116</v>
      </c>
      <c r="Q222" s="208" t="s">
        <v>8580</v>
      </c>
    </row>
    <row r="223" customFormat="false" ht="72" hidden="false" customHeight="true" outlineLevel="0" collapsed="false">
      <c r="A223" s="256" t="s">
        <v>12246</v>
      </c>
      <c r="B223" s="256" t="s">
        <v>7769</v>
      </c>
      <c r="C223" s="264" t="s">
        <v>12247</v>
      </c>
      <c r="D223" s="256" t="s">
        <v>12248</v>
      </c>
      <c r="E223" s="256" t="s">
        <v>12249</v>
      </c>
      <c r="F223" s="256" t="s">
        <v>12250</v>
      </c>
      <c r="G223" s="256" t="s">
        <v>814</v>
      </c>
      <c r="H223" s="256" t="s">
        <v>814</v>
      </c>
      <c r="I223" s="267" t="s">
        <v>12251</v>
      </c>
      <c r="J223" s="256" t="s">
        <v>7766</v>
      </c>
      <c r="K223" s="268" t="s">
        <v>12252</v>
      </c>
      <c r="L223" s="208" t="s">
        <v>10927</v>
      </c>
      <c r="M223" s="6" t="s">
        <v>814</v>
      </c>
      <c r="N223" s="30" t="s">
        <v>814</v>
      </c>
      <c r="O223" s="30" t="s">
        <v>814</v>
      </c>
      <c r="P223" s="30" t="s">
        <v>11090</v>
      </c>
      <c r="Q223" s="208" t="s">
        <v>8580</v>
      </c>
    </row>
    <row r="224" customFormat="false" ht="72" hidden="false" customHeight="true" outlineLevel="0" collapsed="false">
      <c r="A224" s="256" t="s">
        <v>12253</v>
      </c>
      <c r="B224" s="256" t="s">
        <v>7769</v>
      </c>
      <c r="C224" s="264" t="s">
        <v>12254</v>
      </c>
      <c r="D224" s="256" t="s">
        <v>12255</v>
      </c>
      <c r="E224" s="256" t="s">
        <v>11967</v>
      </c>
      <c r="F224" s="256" t="s">
        <v>814</v>
      </c>
      <c r="G224" s="256" t="s">
        <v>814</v>
      </c>
      <c r="H224" s="256" t="s">
        <v>12256</v>
      </c>
      <c r="I224" s="267" t="s">
        <v>12257</v>
      </c>
      <c r="J224" s="256" t="s">
        <v>7766</v>
      </c>
      <c r="K224" s="268" t="s">
        <v>12258</v>
      </c>
      <c r="L224" s="208" t="s">
        <v>10927</v>
      </c>
      <c r="M224" s="6" t="s">
        <v>814</v>
      </c>
      <c r="N224" s="30" t="s">
        <v>814</v>
      </c>
      <c r="O224" s="30" t="s">
        <v>814</v>
      </c>
      <c r="P224" s="30" t="s">
        <v>11090</v>
      </c>
      <c r="Q224" s="208" t="s">
        <v>8580</v>
      </c>
    </row>
    <row r="225" customFormat="false" ht="72" hidden="false" customHeight="true" outlineLevel="0" collapsed="false">
      <c r="A225" s="256" t="s">
        <v>12259</v>
      </c>
      <c r="B225" s="256" t="s">
        <v>7769</v>
      </c>
      <c r="C225" s="264" t="s">
        <v>12260</v>
      </c>
      <c r="D225" s="256" t="s">
        <v>12261</v>
      </c>
      <c r="E225" s="256" t="s">
        <v>12020</v>
      </c>
      <c r="F225" s="267" t="s">
        <v>12262</v>
      </c>
      <c r="G225" s="256" t="s">
        <v>814</v>
      </c>
      <c r="H225" s="267" t="s">
        <v>12263</v>
      </c>
      <c r="I225" s="267" t="s">
        <v>12264</v>
      </c>
      <c r="J225" s="256" t="s">
        <v>7766</v>
      </c>
      <c r="K225" s="268" t="s">
        <v>12265</v>
      </c>
      <c r="L225" s="208" t="s">
        <v>10927</v>
      </c>
      <c r="M225" s="6" t="s">
        <v>814</v>
      </c>
      <c r="N225" s="30" t="s">
        <v>814</v>
      </c>
      <c r="O225" s="30" t="s">
        <v>814</v>
      </c>
      <c r="P225" s="30" t="s">
        <v>11062</v>
      </c>
      <c r="Q225" s="208" t="s">
        <v>12266</v>
      </c>
      <c r="R225" s="246" t="s">
        <v>12267</v>
      </c>
    </row>
    <row r="226" customFormat="false" ht="100.5" hidden="false" customHeight="true" outlineLevel="0" collapsed="false">
      <c r="A226" s="256" t="s">
        <v>10520</v>
      </c>
      <c r="B226" s="256" t="s">
        <v>7802</v>
      </c>
      <c r="C226" s="264" t="s">
        <v>12268</v>
      </c>
      <c r="D226" s="256" t="s">
        <v>12269</v>
      </c>
      <c r="E226" s="256" t="s">
        <v>12104</v>
      </c>
      <c r="F226" s="256" t="s">
        <v>12270</v>
      </c>
      <c r="G226" s="256" t="s">
        <v>12271</v>
      </c>
      <c r="H226" s="256" t="s">
        <v>12272</v>
      </c>
      <c r="I226" s="267" t="s">
        <v>12273</v>
      </c>
      <c r="J226" s="256" t="s">
        <v>7799</v>
      </c>
      <c r="K226" s="268" t="s">
        <v>12274</v>
      </c>
      <c r="L226" s="208" t="s">
        <v>10927</v>
      </c>
      <c r="M226" s="6" t="s">
        <v>12275</v>
      </c>
      <c r="N226" s="30" t="s">
        <v>814</v>
      </c>
      <c r="O226" s="30" t="s">
        <v>12276</v>
      </c>
      <c r="P226" s="30" t="s">
        <v>11116</v>
      </c>
      <c r="Q226" s="208" t="s">
        <v>8580</v>
      </c>
    </row>
    <row r="227" customFormat="false" ht="86.25" hidden="false" customHeight="true" outlineLevel="0" collapsed="false">
      <c r="A227" s="256" t="s">
        <v>10529</v>
      </c>
      <c r="B227" s="256" t="s">
        <v>7802</v>
      </c>
      <c r="C227" s="264" t="s">
        <v>12277</v>
      </c>
      <c r="D227" s="256" t="s">
        <v>12278</v>
      </c>
      <c r="E227" s="256" t="s">
        <v>12104</v>
      </c>
      <c r="F227" s="267" t="s">
        <v>12279</v>
      </c>
      <c r="G227" s="256" t="s">
        <v>814</v>
      </c>
      <c r="H227" s="256" t="s">
        <v>12280</v>
      </c>
      <c r="I227" s="267" t="s">
        <v>12281</v>
      </c>
      <c r="J227" s="256" t="s">
        <v>7799</v>
      </c>
      <c r="K227" s="268" t="s">
        <v>12282</v>
      </c>
      <c r="L227" s="208" t="s">
        <v>10927</v>
      </c>
      <c r="M227" s="6" t="s">
        <v>6913</v>
      </c>
      <c r="N227" s="30" t="s">
        <v>814</v>
      </c>
      <c r="O227" s="30" t="s">
        <v>12283</v>
      </c>
      <c r="P227" s="30" t="s">
        <v>11116</v>
      </c>
      <c r="Q227" s="208" t="s">
        <v>8580</v>
      </c>
    </row>
    <row r="228" customFormat="false" ht="100.5" hidden="false" customHeight="true" outlineLevel="0" collapsed="false">
      <c r="A228" s="256" t="s">
        <v>10539</v>
      </c>
      <c r="B228" s="256" t="s">
        <v>7802</v>
      </c>
      <c r="C228" s="264" t="s">
        <v>12284</v>
      </c>
      <c r="D228" s="256" t="s">
        <v>12285</v>
      </c>
      <c r="E228" s="256" t="s">
        <v>12286</v>
      </c>
      <c r="F228" s="256" t="s">
        <v>12287</v>
      </c>
      <c r="G228" s="256" t="s">
        <v>12288</v>
      </c>
      <c r="H228" s="256" t="s">
        <v>12289</v>
      </c>
      <c r="I228" s="267" t="s">
        <v>12290</v>
      </c>
      <c r="J228" s="256" t="s">
        <v>7799</v>
      </c>
      <c r="K228" s="264" t="s">
        <v>12291</v>
      </c>
      <c r="L228" s="208" t="s">
        <v>10927</v>
      </c>
      <c r="M228" s="6" t="s">
        <v>10532</v>
      </c>
      <c r="N228" s="30" t="s">
        <v>814</v>
      </c>
      <c r="O228" s="30" t="s">
        <v>814</v>
      </c>
      <c r="P228" s="30" t="s">
        <v>11116</v>
      </c>
      <c r="Q228" s="208" t="s">
        <v>8687</v>
      </c>
      <c r="R228" s="246" t="s">
        <v>10954</v>
      </c>
    </row>
    <row r="229" customFormat="false" ht="86.25" hidden="false" customHeight="true" outlineLevel="0" collapsed="false">
      <c r="A229" s="256" t="s">
        <v>10549</v>
      </c>
      <c r="B229" s="256" t="s">
        <v>7802</v>
      </c>
      <c r="C229" s="264" t="s">
        <v>12292</v>
      </c>
      <c r="D229" s="256" t="s">
        <v>12293</v>
      </c>
      <c r="E229" s="256" t="s">
        <v>12286</v>
      </c>
      <c r="F229" s="256" t="s">
        <v>12287</v>
      </c>
      <c r="G229" s="256" t="s">
        <v>12288</v>
      </c>
      <c r="H229" s="256" t="s">
        <v>12294</v>
      </c>
      <c r="I229" s="267" t="s">
        <v>12295</v>
      </c>
      <c r="J229" s="256" t="s">
        <v>7799</v>
      </c>
      <c r="K229" s="268" t="s">
        <v>12296</v>
      </c>
      <c r="L229" s="208" t="s">
        <v>10927</v>
      </c>
      <c r="M229" s="6" t="s">
        <v>10542</v>
      </c>
      <c r="N229" s="30" t="s">
        <v>814</v>
      </c>
      <c r="O229" s="30" t="s">
        <v>814</v>
      </c>
      <c r="P229" s="30" t="s">
        <v>11116</v>
      </c>
      <c r="Q229" s="208" t="s">
        <v>8687</v>
      </c>
      <c r="R229" s="246" t="s">
        <v>10954</v>
      </c>
    </row>
    <row r="230" customFormat="false" ht="86.25" hidden="false" customHeight="true" outlineLevel="0" collapsed="false">
      <c r="A230" s="256" t="s">
        <v>10559</v>
      </c>
      <c r="B230" s="256" t="s">
        <v>7802</v>
      </c>
      <c r="C230" s="264" t="s">
        <v>12297</v>
      </c>
      <c r="D230" s="256" t="s">
        <v>12298</v>
      </c>
      <c r="E230" s="256" t="s">
        <v>12299</v>
      </c>
      <c r="F230" s="267" t="s">
        <v>12300</v>
      </c>
      <c r="G230" s="256" t="s">
        <v>814</v>
      </c>
      <c r="H230" s="256" t="s">
        <v>12301</v>
      </c>
      <c r="I230" s="267" t="s">
        <v>12302</v>
      </c>
      <c r="J230" s="256" t="s">
        <v>7799</v>
      </c>
      <c r="K230" s="268" t="s">
        <v>12303</v>
      </c>
      <c r="L230" s="208" t="s">
        <v>10927</v>
      </c>
      <c r="M230" s="6" t="s">
        <v>10552</v>
      </c>
      <c r="N230" s="30" t="s">
        <v>814</v>
      </c>
      <c r="O230" s="30" t="s">
        <v>814</v>
      </c>
      <c r="P230" s="30" t="s">
        <v>11090</v>
      </c>
      <c r="Q230" s="208" t="s">
        <v>8580</v>
      </c>
    </row>
    <row r="231" customFormat="false" ht="86.25" hidden="false" customHeight="true" outlineLevel="0" collapsed="false">
      <c r="A231" s="256" t="s">
        <v>10567</v>
      </c>
      <c r="B231" s="256" t="s">
        <v>7802</v>
      </c>
      <c r="C231" s="268" t="s">
        <v>12304</v>
      </c>
      <c r="D231" s="256" t="s">
        <v>12305</v>
      </c>
      <c r="E231" s="256" t="s">
        <v>12104</v>
      </c>
      <c r="F231" s="256" t="s">
        <v>12306</v>
      </c>
      <c r="G231" s="256" t="s">
        <v>814</v>
      </c>
      <c r="H231" s="256" t="s">
        <v>12307</v>
      </c>
      <c r="I231" s="267" t="s">
        <v>12308</v>
      </c>
      <c r="J231" s="256" t="s">
        <v>7799</v>
      </c>
      <c r="K231" s="268" t="s">
        <v>12309</v>
      </c>
      <c r="L231" s="208" t="s">
        <v>10927</v>
      </c>
      <c r="M231" s="6" t="s">
        <v>10562</v>
      </c>
      <c r="N231" s="30" t="s">
        <v>814</v>
      </c>
      <c r="O231" s="30" t="s">
        <v>814</v>
      </c>
      <c r="P231" s="30" t="s">
        <v>11116</v>
      </c>
      <c r="Q231" s="208" t="s">
        <v>8580</v>
      </c>
    </row>
    <row r="232" customFormat="false" ht="100.5" hidden="false" customHeight="true" outlineLevel="0" collapsed="false">
      <c r="A232" s="256" t="s">
        <v>10577</v>
      </c>
      <c r="B232" s="256" t="s">
        <v>7802</v>
      </c>
      <c r="C232" s="264" t="s">
        <v>12310</v>
      </c>
      <c r="D232" s="256" t="s">
        <v>12311</v>
      </c>
      <c r="E232" s="256" t="s">
        <v>11967</v>
      </c>
      <c r="F232" s="256" t="s">
        <v>12312</v>
      </c>
      <c r="G232" s="256" t="s">
        <v>814</v>
      </c>
      <c r="H232" s="256" t="s">
        <v>12313</v>
      </c>
      <c r="I232" s="267" t="s">
        <v>12314</v>
      </c>
      <c r="J232" s="256" t="s">
        <v>7799</v>
      </c>
      <c r="K232" s="268" t="s">
        <v>12315</v>
      </c>
      <c r="L232" s="208" t="s">
        <v>10927</v>
      </c>
      <c r="M232" s="6" t="s">
        <v>10570</v>
      </c>
      <c r="N232" s="30" t="s">
        <v>814</v>
      </c>
      <c r="O232" s="30" t="s">
        <v>814</v>
      </c>
      <c r="P232" s="30" t="s">
        <v>11090</v>
      </c>
      <c r="Q232" s="208" t="s">
        <v>8580</v>
      </c>
    </row>
    <row r="233" customFormat="false" ht="86.25" hidden="false" customHeight="true" outlineLevel="0" collapsed="false">
      <c r="A233" s="256" t="s">
        <v>10586</v>
      </c>
      <c r="B233" s="256" t="s">
        <v>7802</v>
      </c>
      <c r="C233" s="268" t="s">
        <v>12316</v>
      </c>
      <c r="D233" s="256" t="s">
        <v>12317</v>
      </c>
      <c r="E233" s="256" t="s">
        <v>11967</v>
      </c>
      <c r="F233" s="267" t="s">
        <v>12318</v>
      </c>
      <c r="G233" s="256" t="s">
        <v>814</v>
      </c>
      <c r="H233" s="256" t="s">
        <v>12319</v>
      </c>
      <c r="I233" s="267" t="s">
        <v>12320</v>
      </c>
      <c r="J233" s="256" t="s">
        <v>7799</v>
      </c>
      <c r="K233" s="268" t="s">
        <v>12321</v>
      </c>
      <c r="L233" s="208" t="s">
        <v>10927</v>
      </c>
      <c r="M233" s="6" t="s">
        <v>10580</v>
      </c>
      <c r="N233" s="30" t="s">
        <v>814</v>
      </c>
      <c r="O233" s="30" t="s">
        <v>12322</v>
      </c>
      <c r="P233" s="30" t="s">
        <v>11090</v>
      </c>
      <c r="Q233" s="208" t="s">
        <v>8580</v>
      </c>
      <c r="R233" s="246" t="s">
        <v>10954</v>
      </c>
    </row>
    <row r="234" customFormat="false" ht="86.25" hidden="false" customHeight="true" outlineLevel="0" collapsed="false">
      <c r="A234" s="256" t="s">
        <v>12323</v>
      </c>
      <c r="B234" s="256" t="s">
        <v>7802</v>
      </c>
      <c r="C234" s="264" t="s">
        <v>12324</v>
      </c>
      <c r="D234" s="256" t="s">
        <v>12325</v>
      </c>
      <c r="E234" s="256" t="s">
        <v>11967</v>
      </c>
      <c r="F234" s="267" t="s">
        <v>12326</v>
      </c>
      <c r="G234" s="256" t="s">
        <v>814</v>
      </c>
      <c r="H234" s="256" t="s">
        <v>12327</v>
      </c>
      <c r="I234" s="267" t="s">
        <v>12328</v>
      </c>
      <c r="J234" s="256" t="s">
        <v>7799</v>
      </c>
      <c r="K234" s="264" t="s">
        <v>12329</v>
      </c>
      <c r="L234" s="208" t="s">
        <v>10927</v>
      </c>
      <c r="M234" s="6" t="s">
        <v>814</v>
      </c>
      <c r="N234" s="30" t="s">
        <v>814</v>
      </c>
      <c r="O234" s="30" t="s">
        <v>814</v>
      </c>
      <c r="P234" s="30" t="s">
        <v>11090</v>
      </c>
      <c r="Q234" s="208" t="s">
        <v>12330</v>
      </c>
    </row>
    <row r="235" customFormat="false" ht="86.25" hidden="false" customHeight="true" outlineLevel="0" collapsed="false">
      <c r="A235" s="256" t="s">
        <v>10594</v>
      </c>
      <c r="B235" s="256" t="s">
        <v>7802</v>
      </c>
      <c r="C235" s="264" t="s">
        <v>12331</v>
      </c>
      <c r="D235" s="256" t="s">
        <v>12332</v>
      </c>
      <c r="E235" s="256" t="s">
        <v>11967</v>
      </c>
      <c r="F235" s="256" t="s">
        <v>12333</v>
      </c>
      <c r="G235" s="256" t="s">
        <v>814</v>
      </c>
      <c r="H235" s="256" t="s">
        <v>12334</v>
      </c>
      <c r="I235" s="267" t="s">
        <v>12335</v>
      </c>
      <c r="J235" s="256" t="s">
        <v>7799</v>
      </c>
      <c r="K235" s="268" t="s">
        <v>12336</v>
      </c>
      <c r="L235" s="208" t="s">
        <v>10927</v>
      </c>
      <c r="M235" s="6" t="s">
        <v>10589</v>
      </c>
      <c r="N235" s="30" t="s">
        <v>814</v>
      </c>
      <c r="O235" s="30" t="s">
        <v>814</v>
      </c>
      <c r="P235" s="30" t="s">
        <v>11090</v>
      </c>
      <c r="Q235" s="208" t="s">
        <v>8580</v>
      </c>
      <c r="R235" s="246" t="s">
        <v>10954</v>
      </c>
    </row>
    <row r="236" customFormat="false" ht="86.25" hidden="false" customHeight="true" outlineLevel="0" collapsed="false">
      <c r="A236" s="256" t="s">
        <v>10604</v>
      </c>
      <c r="B236" s="256" t="s">
        <v>7802</v>
      </c>
      <c r="C236" s="264" t="s">
        <v>12337</v>
      </c>
      <c r="D236" s="256" t="s">
        <v>12338</v>
      </c>
      <c r="E236" s="256" t="s">
        <v>12104</v>
      </c>
      <c r="F236" s="267" t="s">
        <v>12339</v>
      </c>
      <c r="G236" s="256" t="s">
        <v>814</v>
      </c>
      <c r="H236" s="256" t="s">
        <v>12340</v>
      </c>
      <c r="I236" s="267" t="s">
        <v>12341</v>
      </c>
      <c r="J236" s="256" t="s">
        <v>7799</v>
      </c>
      <c r="K236" s="268" t="s">
        <v>12342</v>
      </c>
      <c r="L236" s="208" t="s">
        <v>10927</v>
      </c>
      <c r="M236" s="6" t="s">
        <v>10597</v>
      </c>
      <c r="N236" s="30" t="s">
        <v>814</v>
      </c>
      <c r="O236" s="30" t="s">
        <v>814</v>
      </c>
      <c r="P236" s="30" t="s">
        <v>11116</v>
      </c>
      <c r="Q236" s="208" t="s">
        <v>8687</v>
      </c>
    </row>
    <row r="237" customFormat="false" ht="86.25" hidden="false" customHeight="true" outlineLevel="0" collapsed="false">
      <c r="A237" s="256" t="s">
        <v>12343</v>
      </c>
      <c r="B237" s="256" t="s">
        <v>7802</v>
      </c>
      <c r="C237" s="264" t="s">
        <v>12344</v>
      </c>
      <c r="D237" s="256" t="s">
        <v>12345</v>
      </c>
      <c r="E237" s="256" t="s">
        <v>12104</v>
      </c>
      <c r="F237" s="267" t="s">
        <v>12346</v>
      </c>
      <c r="G237" s="256" t="s">
        <v>12347</v>
      </c>
      <c r="H237" s="256" t="s">
        <v>12348</v>
      </c>
      <c r="I237" s="267" t="s">
        <v>12349</v>
      </c>
      <c r="J237" s="256" t="s">
        <v>7799</v>
      </c>
      <c r="K237" s="264" t="s">
        <v>12350</v>
      </c>
      <c r="L237" s="208" t="s">
        <v>10927</v>
      </c>
      <c r="M237" s="6" t="s">
        <v>10482</v>
      </c>
      <c r="N237" s="30" t="s">
        <v>814</v>
      </c>
      <c r="O237" s="30" t="s">
        <v>814</v>
      </c>
      <c r="P237" s="30" t="s">
        <v>11116</v>
      </c>
      <c r="Q237" s="208" t="s">
        <v>8580</v>
      </c>
      <c r="R237" s="246" t="s">
        <v>10954</v>
      </c>
    </row>
    <row r="238" customFormat="false" ht="100.5" hidden="false" customHeight="true" outlineLevel="0" collapsed="false">
      <c r="A238" s="256" t="s">
        <v>10611</v>
      </c>
      <c r="B238" s="256" t="s">
        <v>7802</v>
      </c>
      <c r="C238" s="264" t="s">
        <v>12351</v>
      </c>
      <c r="D238" s="256" t="s">
        <v>12352</v>
      </c>
      <c r="E238" s="256" t="s">
        <v>11967</v>
      </c>
      <c r="F238" s="267" t="s">
        <v>12353</v>
      </c>
      <c r="G238" s="256" t="s">
        <v>12354</v>
      </c>
      <c r="H238" s="256" t="s">
        <v>12355</v>
      </c>
      <c r="I238" s="267" t="s">
        <v>12356</v>
      </c>
      <c r="J238" s="256" t="s">
        <v>7799</v>
      </c>
      <c r="K238" s="268" t="s">
        <v>12357</v>
      </c>
      <c r="L238" s="208" t="s">
        <v>10927</v>
      </c>
      <c r="M238" s="6" t="s">
        <v>12358</v>
      </c>
      <c r="N238" s="30" t="s">
        <v>814</v>
      </c>
      <c r="O238" s="30" t="s">
        <v>814</v>
      </c>
      <c r="P238" s="30" t="s">
        <v>11090</v>
      </c>
      <c r="Q238" s="208" t="s">
        <v>8580</v>
      </c>
      <c r="R238" s="246" t="s">
        <v>12359</v>
      </c>
    </row>
    <row r="239" customFormat="false" ht="86.25" hidden="false" customHeight="true" outlineLevel="0" collapsed="false">
      <c r="A239" s="256" t="s">
        <v>10618</v>
      </c>
      <c r="B239" s="256" t="s">
        <v>7802</v>
      </c>
      <c r="C239" s="264" t="s">
        <v>12360</v>
      </c>
      <c r="D239" s="256" t="s">
        <v>12103</v>
      </c>
      <c r="E239" s="256" t="s">
        <v>12104</v>
      </c>
      <c r="F239" s="256" t="s">
        <v>12361</v>
      </c>
      <c r="G239" s="256" t="s">
        <v>12362</v>
      </c>
      <c r="H239" s="256" t="s">
        <v>12363</v>
      </c>
      <c r="I239" s="267" t="s">
        <v>12364</v>
      </c>
      <c r="J239" s="256" t="s">
        <v>7799</v>
      </c>
      <c r="K239" s="268" t="s">
        <v>12365</v>
      </c>
      <c r="L239" s="208" t="s">
        <v>10927</v>
      </c>
      <c r="M239" s="6" t="s">
        <v>12366</v>
      </c>
      <c r="N239" s="30" t="s">
        <v>814</v>
      </c>
      <c r="O239" s="30" t="s">
        <v>814</v>
      </c>
      <c r="P239" s="30" t="s">
        <v>11116</v>
      </c>
      <c r="Q239" s="208" t="s">
        <v>8580</v>
      </c>
      <c r="R239" s="246" t="s">
        <v>10954</v>
      </c>
    </row>
    <row r="240" customFormat="false" ht="86.25" hidden="false" customHeight="true" outlineLevel="0" collapsed="false">
      <c r="A240" s="256" t="s">
        <v>12367</v>
      </c>
      <c r="B240" s="256" t="s">
        <v>7802</v>
      </c>
      <c r="C240" s="264" t="s">
        <v>12368</v>
      </c>
      <c r="D240" s="256" t="s">
        <v>12369</v>
      </c>
      <c r="E240" s="256" t="s">
        <v>12370</v>
      </c>
      <c r="F240" s="256" t="s">
        <v>12371</v>
      </c>
      <c r="G240" s="256" t="s">
        <v>12372</v>
      </c>
      <c r="H240" s="256" t="s">
        <v>12373</v>
      </c>
      <c r="I240" s="267" t="s">
        <v>12374</v>
      </c>
      <c r="J240" s="256" t="s">
        <v>7799</v>
      </c>
      <c r="K240" s="268" t="s">
        <v>12375</v>
      </c>
      <c r="L240" s="208" t="s">
        <v>10927</v>
      </c>
      <c r="M240" s="6" t="s">
        <v>10245</v>
      </c>
      <c r="N240" s="30" t="s">
        <v>814</v>
      </c>
      <c r="O240" s="30" t="s">
        <v>814</v>
      </c>
      <c r="P240" s="30" t="s">
        <v>11090</v>
      </c>
      <c r="Q240" s="208" t="s">
        <v>8580</v>
      </c>
      <c r="R240" s="246" t="s">
        <v>10954</v>
      </c>
    </row>
    <row r="241" customFormat="false" ht="100.5" hidden="false" customHeight="true" outlineLevel="0" collapsed="false">
      <c r="A241" s="256" t="s">
        <v>10626</v>
      </c>
      <c r="B241" s="256" t="s">
        <v>7802</v>
      </c>
      <c r="C241" s="264" t="s">
        <v>12376</v>
      </c>
      <c r="D241" s="256" t="s">
        <v>12377</v>
      </c>
      <c r="E241" s="256" t="s">
        <v>11967</v>
      </c>
      <c r="F241" s="256" t="s">
        <v>12378</v>
      </c>
      <c r="G241" s="256" t="s">
        <v>12379</v>
      </c>
      <c r="H241" s="256" t="s">
        <v>12380</v>
      </c>
      <c r="I241" s="267" t="s">
        <v>12381</v>
      </c>
      <c r="J241" s="256" t="s">
        <v>7799</v>
      </c>
      <c r="K241" s="268" t="s">
        <v>12382</v>
      </c>
      <c r="L241" s="208" t="s">
        <v>10927</v>
      </c>
      <c r="M241" s="6" t="s">
        <v>12383</v>
      </c>
      <c r="N241" s="30" t="s">
        <v>814</v>
      </c>
      <c r="O241" s="30" t="s">
        <v>12384</v>
      </c>
      <c r="P241" s="30" t="s">
        <v>11090</v>
      </c>
      <c r="Q241" s="208" t="s">
        <v>12385</v>
      </c>
    </row>
    <row r="242" customFormat="false" ht="100.5" hidden="false" customHeight="true" outlineLevel="0" collapsed="false">
      <c r="A242" s="256" t="s">
        <v>12386</v>
      </c>
      <c r="B242" s="256" t="s">
        <v>7802</v>
      </c>
      <c r="C242" s="264" t="s">
        <v>12387</v>
      </c>
      <c r="D242" s="256" t="s">
        <v>12388</v>
      </c>
      <c r="E242" s="256" t="s">
        <v>11967</v>
      </c>
      <c r="F242" s="267" t="s">
        <v>12389</v>
      </c>
      <c r="G242" s="256" t="s">
        <v>814</v>
      </c>
      <c r="H242" s="256" t="s">
        <v>12390</v>
      </c>
      <c r="I242" s="267" t="s">
        <v>12391</v>
      </c>
      <c r="J242" s="256" t="s">
        <v>7799</v>
      </c>
      <c r="K242" s="268" t="s">
        <v>12392</v>
      </c>
      <c r="L242" s="208" t="s">
        <v>10927</v>
      </c>
      <c r="M242" s="6" t="s">
        <v>10621</v>
      </c>
      <c r="N242" s="30" t="s">
        <v>814</v>
      </c>
      <c r="O242" s="30" t="s">
        <v>814</v>
      </c>
      <c r="P242" s="30" t="s">
        <v>11090</v>
      </c>
      <c r="Q242" s="208" t="s">
        <v>8580</v>
      </c>
      <c r="R242" s="246" t="s">
        <v>10954</v>
      </c>
    </row>
    <row r="243" customFormat="false" ht="86.25" hidden="false" customHeight="true" outlineLevel="0" collapsed="false">
      <c r="A243" s="256" t="s">
        <v>12393</v>
      </c>
      <c r="B243" s="256" t="s">
        <v>7802</v>
      </c>
      <c r="C243" s="264" t="s">
        <v>12394</v>
      </c>
      <c r="D243" s="256" t="s">
        <v>12395</v>
      </c>
      <c r="E243" s="256" t="s">
        <v>12396</v>
      </c>
      <c r="F243" s="256" t="s">
        <v>12312</v>
      </c>
      <c r="G243" s="256" t="s">
        <v>814</v>
      </c>
      <c r="H243" s="256" t="s">
        <v>12397</v>
      </c>
      <c r="I243" s="267" t="s">
        <v>12398</v>
      </c>
      <c r="J243" s="256" t="s">
        <v>7799</v>
      </c>
      <c r="K243" s="268" t="s">
        <v>12399</v>
      </c>
      <c r="L243" s="208" t="s">
        <v>10927</v>
      </c>
      <c r="M243" s="6" t="s">
        <v>814</v>
      </c>
      <c r="N243" s="30" t="s">
        <v>814</v>
      </c>
      <c r="O243" s="30" t="s">
        <v>814</v>
      </c>
      <c r="P243" s="30" t="s">
        <v>11062</v>
      </c>
      <c r="Q243" s="208" t="s">
        <v>8687</v>
      </c>
    </row>
    <row r="244" customFormat="false" ht="86.25" hidden="false" customHeight="true" outlineLevel="0" collapsed="false">
      <c r="A244" s="256" t="s">
        <v>12400</v>
      </c>
      <c r="B244" s="256" t="s">
        <v>7802</v>
      </c>
      <c r="C244" s="264" t="s">
        <v>12401</v>
      </c>
      <c r="D244" s="256" t="s">
        <v>12402</v>
      </c>
      <c r="E244" s="256" t="s">
        <v>12396</v>
      </c>
      <c r="F244" s="256" t="s">
        <v>12403</v>
      </c>
      <c r="G244" s="256" t="s">
        <v>814</v>
      </c>
      <c r="H244" s="256" t="s">
        <v>12404</v>
      </c>
      <c r="I244" s="267" t="s">
        <v>12405</v>
      </c>
      <c r="J244" s="256" t="s">
        <v>7799</v>
      </c>
      <c r="K244" s="268" t="s">
        <v>12406</v>
      </c>
      <c r="L244" s="208" t="s">
        <v>10927</v>
      </c>
      <c r="M244" s="6" t="s">
        <v>814</v>
      </c>
      <c r="N244" s="30" t="s">
        <v>814</v>
      </c>
      <c r="O244" s="30" t="s">
        <v>814</v>
      </c>
      <c r="P244" s="30" t="s">
        <v>11062</v>
      </c>
      <c r="Q244" s="208" t="s">
        <v>8687</v>
      </c>
    </row>
    <row r="245" customFormat="false" ht="86.25" hidden="false" customHeight="true" outlineLevel="0" collapsed="false">
      <c r="A245" s="256" t="s">
        <v>10633</v>
      </c>
      <c r="B245" s="256" t="s">
        <v>7802</v>
      </c>
      <c r="C245" s="264" t="s">
        <v>12407</v>
      </c>
      <c r="D245" s="256" t="s">
        <v>12408</v>
      </c>
      <c r="E245" s="256" t="s">
        <v>12140</v>
      </c>
      <c r="F245" s="267" t="s">
        <v>12409</v>
      </c>
      <c r="G245" s="256" t="s">
        <v>814</v>
      </c>
      <c r="H245" s="256" t="s">
        <v>12410</v>
      </c>
      <c r="I245" s="267" t="s">
        <v>12411</v>
      </c>
      <c r="J245" s="256" t="s">
        <v>7799</v>
      </c>
      <c r="K245" s="264" t="s">
        <v>12412</v>
      </c>
      <c r="L245" s="208" t="s">
        <v>10927</v>
      </c>
      <c r="M245" s="6" t="s">
        <v>12413</v>
      </c>
      <c r="N245" s="30" t="s">
        <v>814</v>
      </c>
      <c r="O245" s="30" t="s">
        <v>814</v>
      </c>
      <c r="P245" s="30" t="s">
        <v>12145</v>
      </c>
      <c r="Q245" s="208" t="s">
        <v>8580</v>
      </c>
    </row>
    <row r="246" customFormat="false" ht="86.25" hidden="false" customHeight="true" outlineLevel="0" collapsed="false">
      <c r="A246" s="256" t="s">
        <v>12414</v>
      </c>
      <c r="B246" s="256" t="s">
        <v>7802</v>
      </c>
      <c r="C246" s="264" t="s">
        <v>12415</v>
      </c>
      <c r="D246" s="256" t="s">
        <v>12416</v>
      </c>
      <c r="E246" s="256" t="s">
        <v>12417</v>
      </c>
      <c r="F246" s="267" t="s">
        <v>12418</v>
      </c>
      <c r="G246" s="256" t="s">
        <v>814</v>
      </c>
      <c r="H246" s="256" t="s">
        <v>12419</v>
      </c>
      <c r="I246" s="267" t="s">
        <v>12420</v>
      </c>
      <c r="J246" s="256" t="s">
        <v>7799</v>
      </c>
      <c r="K246" s="264" t="s">
        <v>12421</v>
      </c>
      <c r="L246" s="208" t="s">
        <v>10927</v>
      </c>
      <c r="M246" s="6" t="s">
        <v>814</v>
      </c>
      <c r="N246" s="30" t="s">
        <v>814</v>
      </c>
      <c r="O246" s="30" t="s">
        <v>814</v>
      </c>
      <c r="P246" s="30" t="s">
        <v>11090</v>
      </c>
      <c r="Q246" s="208" t="s">
        <v>12330</v>
      </c>
    </row>
    <row r="247" customFormat="false" ht="86.25" hidden="false" customHeight="true" outlineLevel="0" collapsed="false">
      <c r="A247" s="256" t="s">
        <v>12422</v>
      </c>
      <c r="B247" s="256" t="s">
        <v>7802</v>
      </c>
      <c r="C247" s="264" t="s">
        <v>12423</v>
      </c>
      <c r="D247" s="267" t="s">
        <v>12424</v>
      </c>
      <c r="E247" s="256" t="s">
        <v>814</v>
      </c>
      <c r="F247" s="256" t="s">
        <v>12425</v>
      </c>
      <c r="G247" s="256" t="s">
        <v>12426</v>
      </c>
      <c r="H247" s="267" t="s">
        <v>12427</v>
      </c>
      <c r="I247" s="267" t="s">
        <v>12428</v>
      </c>
      <c r="J247" s="256" t="s">
        <v>7799</v>
      </c>
      <c r="K247" s="268" t="s">
        <v>12429</v>
      </c>
      <c r="L247" s="208" t="s">
        <v>10927</v>
      </c>
      <c r="M247" s="6" t="s">
        <v>814</v>
      </c>
      <c r="N247" s="30" t="s">
        <v>814</v>
      </c>
      <c r="O247" s="30" t="s">
        <v>814</v>
      </c>
      <c r="P247" s="30" t="s">
        <v>814</v>
      </c>
      <c r="Q247" s="30" t="s">
        <v>814</v>
      </c>
    </row>
    <row r="248" customFormat="false" ht="86.25" hidden="false" customHeight="true" outlineLevel="0" collapsed="false">
      <c r="A248" s="256" t="s">
        <v>12430</v>
      </c>
      <c r="B248" s="256" t="s">
        <v>7802</v>
      </c>
      <c r="C248" s="268" t="s">
        <v>12431</v>
      </c>
      <c r="D248" s="256" t="s">
        <v>12432</v>
      </c>
      <c r="E248" s="256" t="s">
        <v>814</v>
      </c>
      <c r="F248" s="256" t="s">
        <v>12433</v>
      </c>
      <c r="G248" s="256" t="s">
        <v>814</v>
      </c>
      <c r="H248" s="256" t="s">
        <v>814</v>
      </c>
      <c r="I248" s="267" t="s">
        <v>12434</v>
      </c>
      <c r="J248" s="256" t="s">
        <v>7799</v>
      </c>
      <c r="K248" s="268" t="s">
        <v>12435</v>
      </c>
      <c r="L248" s="208" t="s">
        <v>10927</v>
      </c>
      <c r="M248" s="6" t="s">
        <v>814</v>
      </c>
      <c r="N248" s="30" t="s">
        <v>814</v>
      </c>
      <c r="O248" s="30" t="s">
        <v>814</v>
      </c>
      <c r="P248" s="30" t="s">
        <v>814</v>
      </c>
      <c r="Q248" s="30" t="s">
        <v>814</v>
      </c>
    </row>
    <row r="249" customFormat="false" ht="114.75" hidden="false" customHeight="true" outlineLevel="0" collapsed="false">
      <c r="A249" s="256" t="s">
        <v>10659</v>
      </c>
      <c r="B249" s="256" t="s">
        <v>7841</v>
      </c>
      <c r="C249" s="264" t="s">
        <v>12436</v>
      </c>
      <c r="D249" s="256" t="s">
        <v>12437</v>
      </c>
      <c r="E249" s="256" t="s">
        <v>12438</v>
      </c>
      <c r="F249" s="256" t="s">
        <v>12439</v>
      </c>
      <c r="G249" s="256" t="s">
        <v>814</v>
      </c>
      <c r="H249" s="256" t="s">
        <v>12440</v>
      </c>
      <c r="I249" s="267" t="s">
        <v>12441</v>
      </c>
      <c r="J249" s="256" t="s">
        <v>7838</v>
      </c>
      <c r="K249" s="268" t="s">
        <v>12442</v>
      </c>
      <c r="L249" s="208" t="s">
        <v>10927</v>
      </c>
      <c r="M249" s="6" t="s">
        <v>10656</v>
      </c>
      <c r="N249" s="30" t="s">
        <v>814</v>
      </c>
      <c r="O249" s="30" t="s">
        <v>814</v>
      </c>
      <c r="P249" s="30" t="s">
        <v>11090</v>
      </c>
      <c r="Q249" s="208" t="s">
        <v>8580</v>
      </c>
    </row>
    <row r="250" customFormat="false" ht="114.75" hidden="false" customHeight="true" outlineLevel="0" collapsed="false">
      <c r="A250" s="256" t="s">
        <v>12443</v>
      </c>
      <c r="B250" s="256" t="s">
        <v>7841</v>
      </c>
      <c r="C250" s="264" t="s">
        <v>12444</v>
      </c>
      <c r="D250" s="256" t="s">
        <v>12445</v>
      </c>
      <c r="E250" s="256" t="s">
        <v>12438</v>
      </c>
      <c r="F250" s="256" t="s">
        <v>12446</v>
      </c>
      <c r="G250" s="256" t="s">
        <v>12447</v>
      </c>
      <c r="H250" s="256" t="s">
        <v>12448</v>
      </c>
      <c r="I250" s="267" t="s">
        <v>12449</v>
      </c>
      <c r="J250" s="256" t="s">
        <v>7838</v>
      </c>
      <c r="K250" s="268" t="s">
        <v>12450</v>
      </c>
      <c r="L250" s="208" t="s">
        <v>10927</v>
      </c>
      <c r="M250" s="6" t="s">
        <v>6968</v>
      </c>
      <c r="N250" s="30" t="s">
        <v>814</v>
      </c>
      <c r="O250" s="30" t="s">
        <v>814</v>
      </c>
      <c r="P250" s="30" t="s">
        <v>11090</v>
      </c>
      <c r="Q250" s="208" t="s">
        <v>8580</v>
      </c>
      <c r="R250" s="246" t="s">
        <v>12451</v>
      </c>
    </row>
    <row r="251" customFormat="false" ht="114.75" hidden="false" customHeight="true" outlineLevel="0" collapsed="false">
      <c r="A251" s="256" t="s">
        <v>10668</v>
      </c>
      <c r="B251" s="256" t="s">
        <v>7841</v>
      </c>
      <c r="C251" s="264" t="s">
        <v>12452</v>
      </c>
      <c r="D251" s="256" t="s">
        <v>12453</v>
      </c>
      <c r="E251" s="256" t="s">
        <v>12454</v>
      </c>
      <c r="F251" s="256" t="s">
        <v>12455</v>
      </c>
      <c r="G251" s="256" t="s">
        <v>12456</v>
      </c>
      <c r="H251" s="256" t="s">
        <v>12457</v>
      </c>
      <c r="I251" s="267" t="s">
        <v>12458</v>
      </c>
      <c r="J251" s="256" t="s">
        <v>7838</v>
      </c>
      <c r="K251" s="268" t="s">
        <v>12459</v>
      </c>
      <c r="L251" s="208" t="s">
        <v>10927</v>
      </c>
      <c r="M251" s="6" t="s">
        <v>10663</v>
      </c>
      <c r="N251" s="30" t="s">
        <v>814</v>
      </c>
      <c r="O251" s="30" t="s">
        <v>814</v>
      </c>
      <c r="P251" s="30" t="s">
        <v>11062</v>
      </c>
      <c r="Q251" s="208" t="s">
        <v>8580</v>
      </c>
    </row>
    <row r="252" customFormat="false" ht="114.75" hidden="false" customHeight="true" outlineLevel="0" collapsed="false">
      <c r="A252" s="256" t="s">
        <v>10675</v>
      </c>
      <c r="B252" s="256" t="s">
        <v>7841</v>
      </c>
      <c r="C252" s="264" t="s">
        <v>12460</v>
      </c>
      <c r="D252" s="256" t="s">
        <v>12461</v>
      </c>
      <c r="E252" s="267" t="s">
        <v>12462</v>
      </c>
      <c r="F252" s="256" t="s">
        <v>12463</v>
      </c>
      <c r="G252" s="256" t="s">
        <v>12464</v>
      </c>
      <c r="H252" s="256" t="s">
        <v>12465</v>
      </c>
      <c r="I252" s="267" t="s">
        <v>12466</v>
      </c>
      <c r="J252" s="256" t="s">
        <v>7838</v>
      </c>
      <c r="K252" s="268" t="s">
        <v>12467</v>
      </c>
      <c r="L252" s="208" t="s">
        <v>10927</v>
      </c>
      <c r="M252" s="6" t="s">
        <v>6924</v>
      </c>
      <c r="N252" s="30" t="s">
        <v>814</v>
      </c>
      <c r="O252" s="30" t="s">
        <v>12468</v>
      </c>
      <c r="P252" s="30" t="s">
        <v>11062</v>
      </c>
      <c r="Q252" s="208" t="s">
        <v>8580</v>
      </c>
    </row>
    <row r="253" customFormat="false" ht="114.75" hidden="false" customHeight="true" outlineLevel="0" collapsed="false">
      <c r="A253" s="256" t="s">
        <v>12469</v>
      </c>
      <c r="B253" s="256" t="s">
        <v>7841</v>
      </c>
      <c r="C253" s="264" t="s">
        <v>12470</v>
      </c>
      <c r="D253" s="256" t="s">
        <v>12471</v>
      </c>
      <c r="E253" s="256" t="s">
        <v>11967</v>
      </c>
      <c r="F253" s="256" t="s">
        <v>12472</v>
      </c>
      <c r="G253" s="256" t="s">
        <v>814</v>
      </c>
      <c r="H253" s="267" t="s">
        <v>12473</v>
      </c>
      <c r="I253" s="267" t="s">
        <v>12474</v>
      </c>
      <c r="J253" s="256" t="s">
        <v>7838</v>
      </c>
      <c r="K253" s="268" t="s">
        <v>12475</v>
      </c>
      <c r="L253" s="208" t="s">
        <v>10927</v>
      </c>
      <c r="M253" s="6" t="s">
        <v>6975</v>
      </c>
      <c r="N253" s="30" t="s">
        <v>814</v>
      </c>
      <c r="O253" s="30" t="s">
        <v>814</v>
      </c>
      <c r="P253" s="30" t="s">
        <v>11090</v>
      </c>
      <c r="Q253" s="208" t="s">
        <v>8580</v>
      </c>
      <c r="R253" s="246" t="s">
        <v>12476</v>
      </c>
    </row>
    <row r="254" customFormat="false" ht="129" hidden="false" customHeight="true" outlineLevel="0" collapsed="false">
      <c r="A254" s="256" t="s">
        <v>12477</v>
      </c>
      <c r="B254" s="256" t="s">
        <v>7841</v>
      </c>
      <c r="C254" s="264" t="s">
        <v>12478</v>
      </c>
      <c r="D254" s="256" t="s">
        <v>12479</v>
      </c>
      <c r="E254" s="256" t="s">
        <v>12480</v>
      </c>
      <c r="F254" s="256" t="s">
        <v>12481</v>
      </c>
      <c r="G254" s="256" t="s">
        <v>814</v>
      </c>
      <c r="H254" s="256" t="s">
        <v>12482</v>
      </c>
      <c r="I254" s="267" t="s">
        <v>12483</v>
      </c>
      <c r="J254" s="256" t="s">
        <v>7838</v>
      </c>
      <c r="K254" s="268" t="s">
        <v>12484</v>
      </c>
      <c r="L254" s="208" t="s">
        <v>10927</v>
      </c>
      <c r="M254" s="6" t="s">
        <v>814</v>
      </c>
      <c r="N254" s="30" t="s">
        <v>814</v>
      </c>
      <c r="O254" s="30" t="s">
        <v>814</v>
      </c>
      <c r="P254" s="30" t="s">
        <v>11062</v>
      </c>
      <c r="Q254" s="208" t="s">
        <v>8580</v>
      </c>
    </row>
    <row r="255" customFormat="false" ht="114.75" hidden="false" customHeight="true" outlineLevel="0" collapsed="false">
      <c r="A255" s="256" t="s">
        <v>12485</v>
      </c>
      <c r="B255" s="256" t="s">
        <v>7841</v>
      </c>
      <c r="C255" s="264" t="s">
        <v>12486</v>
      </c>
      <c r="D255" s="267" t="s">
        <v>12487</v>
      </c>
      <c r="E255" s="267" t="s">
        <v>12488</v>
      </c>
      <c r="F255" s="267" t="s">
        <v>12489</v>
      </c>
      <c r="G255" s="256" t="s">
        <v>814</v>
      </c>
      <c r="H255" s="256" t="s">
        <v>12490</v>
      </c>
      <c r="I255" s="267" t="s">
        <v>12491</v>
      </c>
      <c r="J255" s="256" t="s">
        <v>7838</v>
      </c>
      <c r="K255" s="268" t="s">
        <v>12492</v>
      </c>
      <c r="L255" s="208" t="s">
        <v>10927</v>
      </c>
      <c r="M255" s="6" t="s">
        <v>814</v>
      </c>
      <c r="N255" s="30" t="s">
        <v>814</v>
      </c>
      <c r="O255" s="30" t="s">
        <v>814</v>
      </c>
      <c r="P255" s="30" t="s">
        <v>11062</v>
      </c>
      <c r="Q255" s="208" t="s">
        <v>12493</v>
      </c>
    </row>
    <row r="256" customFormat="false" ht="114.75" hidden="false" customHeight="true" outlineLevel="0" collapsed="false">
      <c r="A256" s="256" t="s">
        <v>12494</v>
      </c>
      <c r="B256" s="256" t="s">
        <v>7841</v>
      </c>
      <c r="C256" s="264" t="s">
        <v>12495</v>
      </c>
      <c r="D256" s="256" t="s">
        <v>12496</v>
      </c>
      <c r="E256" s="256" t="s">
        <v>11967</v>
      </c>
      <c r="F256" s="256" t="s">
        <v>12497</v>
      </c>
      <c r="G256" s="256" t="s">
        <v>12498</v>
      </c>
      <c r="H256" s="256" t="s">
        <v>12499</v>
      </c>
      <c r="I256" s="267" t="s">
        <v>12500</v>
      </c>
      <c r="J256" s="256" t="s">
        <v>7838</v>
      </c>
      <c r="K256" s="268" t="s">
        <v>12501</v>
      </c>
      <c r="L256" s="208" t="s">
        <v>10927</v>
      </c>
      <c r="M256" s="6" t="s">
        <v>10607</v>
      </c>
      <c r="N256" s="30" t="s">
        <v>814</v>
      </c>
      <c r="O256" s="30" t="s">
        <v>814</v>
      </c>
      <c r="P256" s="30" t="s">
        <v>11090</v>
      </c>
      <c r="Q256" s="208" t="s">
        <v>8580</v>
      </c>
      <c r="R256" s="246" t="s">
        <v>12502</v>
      </c>
    </row>
    <row r="257" customFormat="false" ht="114.75" hidden="false" customHeight="true" outlineLevel="0" collapsed="false">
      <c r="A257" s="256" t="s">
        <v>12503</v>
      </c>
      <c r="B257" s="256" t="s">
        <v>7841</v>
      </c>
      <c r="C257" s="268" t="s">
        <v>12504</v>
      </c>
      <c r="D257" s="256" t="s">
        <v>12505</v>
      </c>
      <c r="E257" s="256" t="s">
        <v>12506</v>
      </c>
      <c r="F257" s="256" t="s">
        <v>12507</v>
      </c>
      <c r="G257" s="256" t="s">
        <v>12508</v>
      </c>
      <c r="H257" s="256" t="s">
        <v>12509</v>
      </c>
      <c r="I257" s="267" t="s">
        <v>12510</v>
      </c>
      <c r="J257" s="256" t="s">
        <v>7838</v>
      </c>
      <c r="K257" s="268" t="s">
        <v>12511</v>
      </c>
      <c r="L257" s="208" t="s">
        <v>10927</v>
      </c>
      <c r="M257" s="6" t="s">
        <v>814</v>
      </c>
      <c r="N257" s="30" t="s">
        <v>814</v>
      </c>
      <c r="O257" s="30" t="s">
        <v>12512</v>
      </c>
      <c r="P257" s="30" t="s">
        <v>11062</v>
      </c>
      <c r="Q257" s="208" t="s">
        <v>8580</v>
      </c>
    </row>
    <row r="258" customFormat="false" ht="114.75" hidden="false" customHeight="true" outlineLevel="0" collapsed="false">
      <c r="A258" s="256" t="s">
        <v>12513</v>
      </c>
      <c r="B258" s="256" t="s">
        <v>7841</v>
      </c>
      <c r="C258" s="264" t="s">
        <v>12514</v>
      </c>
      <c r="D258" s="267" t="s">
        <v>12515</v>
      </c>
      <c r="E258" s="256" t="s">
        <v>814</v>
      </c>
      <c r="F258" s="267" t="s">
        <v>12516</v>
      </c>
      <c r="G258" s="256" t="s">
        <v>814</v>
      </c>
      <c r="H258" s="267" t="s">
        <v>12427</v>
      </c>
      <c r="I258" s="267" t="s">
        <v>12517</v>
      </c>
      <c r="J258" s="256" t="s">
        <v>7838</v>
      </c>
      <c r="K258" s="268" t="s">
        <v>12518</v>
      </c>
      <c r="L258" s="208" t="s">
        <v>10927</v>
      </c>
      <c r="M258" s="6" t="s">
        <v>814</v>
      </c>
      <c r="N258" s="30" t="s">
        <v>814</v>
      </c>
      <c r="O258" s="30" t="s">
        <v>814</v>
      </c>
      <c r="P258" s="30" t="s">
        <v>814</v>
      </c>
      <c r="Q258" s="30" t="s">
        <v>814</v>
      </c>
    </row>
    <row r="259" customFormat="false" ht="114.75" hidden="false" customHeight="true" outlineLevel="0" collapsed="false">
      <c r="A259" s="256" t="s">
        <v>12519</v>
      </c>
      <c r="B259" s="256" t="s">
        <v>7841</v>
      </c>
      <c r="C259" s="268" t="s">
        <v>12520</v>
      </c>
      <c r="D259" s="267" t="s">
        <v>12521</v>
      </c>
      <c r="E259" s="256" t="s">
        <v>814</v>
      </c>
      <c r="F259" s="267" t="s">
        <v>12522</v>
      </c>
      <c r="G259" s="256" t="s">
        <v>814</v>
      </c>
      <c r="H259" s="267" t="s">
        <v>12427</v>
      </c>
      <c r="I259" s="267" t="s">
        <v>12523</v>
      </c>
      <c r="J259" s="256" t="s">
        <v>7838</v>
      </c>
      <c r="K259" s="268" t="s">
        <v>12524</v>
      </c>
      <c r="L259" s="208" t="s">
        <v>10927</v>
      </c>
      <c r="M259" s="6" t="s">
        <v>10482</v>
      </c>
      <c r="N259" s="30" t="s">
        <v>814</v>
      </c>
      <c r="O259" s="30" t="s">
        <v>814</v>
      </c>
      <c r="P259" s="30" t="s">
        <v>814</v>
      </c>
      <c r="Q259" s="30" t="s">
        <v>814</v>
      </c>
      <c r="R259" s="246" t="s">
        <v>12525</v>
      </c>
    </row>
    <row r="260" customFormat="false" ht="114.75" hidden="false" customHeight="true" outlineLevel="0" collapsed="false">
      <c r="A260" s="256" t="s">
        <v>12526</v>
      </c>
      <c r="B260" s="256" t="s">
        <v>7841</v>
      </c>
      <c r="C260" s="264" t="s">
        <v>12527</v>
      </c>
      <c r="D260" s="267" t="s">
        <v>12528</v>
      </c>
      <c r="E260" s="256" t="s">
        <v>12529</v>
      </c>
      <c r="F260" s="256" t="s">
        <v>12530</v>
      </c>
      <c r="G260" s="256" t="s">
        <v>814</v>
      </c>
      <c r="H260" s="267" t="s">
        <v>12531</v>
      </c>
      <c r="I260" s="267" t="s">
        <v>12532</v>
      </c>
      <c r="J260" s="256" t="s">
        <v>7838</v>
      </c>
      <c r="K260" s="268" t="s">
        <v>12533</v>
      </c>
      <c r="L260" s="208" t="s">
        <v>10927</v>
      </c>
      <c r="M260" s="6" t="s">
        <v>814</v>
      </c>
      <c r="N260" s="30" t="s">
        <v>814</v>
      </c>
      <c r="O260" s="30" t="s">
        <v>12534</v>
      </c>
      <c r="P260" s="30" t="s">
        <v>814</v>
      </c>
      <c r="Q260" s="208" t="s">
        <v>8687</v>
      </c>
    </row>
    <row r="261" customFormat="false" ht="114.75" hidden="false" customHeight="true" outlineLevel="0" collapsed="false">
      <c r="A261" s="256" t="s">
        <v>12535</v>
      </c>
      <c r="B261" s="256" t="s">
        <v>7841</v>
      </c>
      <c r="C261" s="264" t="s">
        <v>12536</v>
      </c>
      <c r="D261" s="256" t="s">
        <v>12537</v>
      </c>
      <c r="E261" s="256" t="s">
        <v>12538</v>
      </c>
      <c r="F261" s="256" t="s">
        <v>12539</v>
      </c>
      <c r="G261" s="256" t="s">
        <v>12540</v>
      </c>
      <c r="H261" s="256" t="s">
        <v>12541</v>
      </c>
      <c r="I261" s="267" t="s">
        <v>12542</v>
      </c>
      <c r="J261" s="256" t="s">
        <v>7838</v>
      </c>
      <c r="K261" s="268" t="s">
        <v>12543</v>
      </c>
      <c r="L261" s="208" t="s">
        <v>10927</v>
      </c>
      <c r="M261" s="6" t="s">
        <v>12544</v>
      </c>
      <c r="N261" s="30" t="s">
        <v>814</v>
      </c>
      <c r="O261" s="30" t="s">
        <v>814</v>
      </c>
      <c r="P261" s="30" t="s">
        <v>11090</v>
      </c>
      <c r="Q261" s="208" t="s">
        <v>8580</v>
      </c>
      <c r="R261" s="246" t="s">
        <v>12545</v>
      </c>
    </row>
    <row r="262" customFormat="false" ht="114.75" hidden="false" customHeight="true" outlineLevel="0" collapsed="false">
      <c r="A262" s="256" t="s">
        <v>12546</v>
      </c>
      <c r="B262" s="256" t="s">
        <v>7841</v>
      </c>
      <c r="C262" s="264" t="s">
        <v>12547</v>
      </c>
      <c r="D262" s="256" t="s">
        <v>12548</v>
      </c>
      <c r="E262" s="267" t="s">
        <v>12549</v>
      </c>
      <c r="F262" s="256" t="s">
        <v>12550</v>
      </c>
      <c r="G262" s="256" t="s">
        <v>814</v>
      </c>
      <c r="H262" s="267" t="s">
        <v>12551</v>
      </c>
      <c r="I262" s="267" t="s">
        <v>12552</v>
      </c>
      <c r="J262" s="256" t="s">
        <v>7871</v>
      </c>
      <c r="K262" s="268" t="s">
        <v>12553</v>
      </c>
      <c r="L262" s="208" t="s">
        <v>10927</v>
      </c>
      <c r="M262" s="6" t="s">
        <v>12554</v>
      </c>
      <c r="N262" s="30" t="s">
        <v>814</v>
      </c>
      <c r="O262" s="30" t="s">
        <v>12555</v>
      </c>
      <c r="P262" s="30" t="s">
        <v>11062</v>
      </c>
      <c r="Q262" s="208" t="s">
        <v>8580</v>
      </c>
      <c r="R262" s="246" t="s">
        <v>12556</v>
      </c>
    </row>
    <row r="263" customFormat="false" ht="114.75" hidden="false" customHeight="true" outlineLevel="0" collapsed="false">
      <c r="A263" s="256" t="s">
        <v>12557</v>
      </c>
      <c r="B263" s="256" t="s">
        <v>7841</v>
      </c>
      <c r="C263" s="264" t="s">
        <v>12558</v>
      </c>
      <c r="D263" s="256" t="s">
        <v>12559</v>
      </c>
      <c r="E263" s="267" t="s">
        <v>12560</v>
      </c>
      <c r="F263" s="256" t="s">
        <v>12561</v>
      </c>
      <c r="G263" s="256" t="s">
        <v>814</v>
      </c>
      <c r="H263" s="267" t="s">
        <v>12562</v>
      </c>
      <c r="I263" s="267" t="s">
        <v>12563</v>
      </c>
      <c r="J263" s="256" t="s">
        <v>7871</v>
      </c>
      <c r="K263" s="264" t="s">
        <v>12564</v>
      </c>
      <c r="L263" s="208" t="s">
        <v>10927</v>
      </c>
      <c r="M263" s="6" t="s">
        <v>814</v>
      </c>
      <c r="N263" s="30" t="s">
        <v>814</v>
      </c>
      <c r="O263" s="30" t="s">
        <v>12555</v>
      </c>
      <c r="P263" s="30" t="s">
        <v>11062</v>
      </c>
      <c r="Q263" s="208" t="s">
        <v>8580</v>
      </c>
    </row>
    <row r="264" customFormat="false" ht="114.75" hidden="false" customHeight="true" outlineLevel="0" collapsed="false">
      <c r="A264" s="256" t="s">
        <v>12565</v>
      </c>
      <c r="B264" s="256" t="s">
        <v>7841</v>
      </c>
      <c r="C264" s="264" t="s">
        <v>12566</v>
      </c>
      <c r="D264" s="256" t="s">
        <v>12567</v>
      </c>
      <c r="E264" s="267" t="s">
        <v>12568</v>
      </c>
      <c r="F264" s="256" t="s">
        <v>12569</v>
      </c>
      <c r="G264" s="256" t="s">
        <v>814</v>
      </c>
      <c r="H264" s="267" t="s">
        <v>12551</v>
      </c>
      <c r="I264" s="267" t="s">
        <v>12570</v>
      </c>
      <c r="J264" s="256" t="s">
        <v>7871</v>
      </c>
      <c r="K264" s="268" t="s">
        <v>12571</v>
      </c>
      <c r="L264" s="208" t="s">
        <v>10927</v>
      </c>
      <c r="M264" s="6" t="s">
        <v>814</v>
      </c>
      <c r="N264" s="30" t="s">
        <v>814</v>
      </c>
      <c r="O264" s="30" t="s">
        <v>12555</v>
      </c>
      <c r="P264" s="30" t="s">
        <v>11062</v>
      </c>
      <c r="Q264" s="208" t="s">
        <v>12493</v>
      </c>
    </row>
    <row r="265" customFormat="false" ht="114.75" hidden="false" customHeight="true" outlineLevel="0" collapsed="false">
      <c r="A265" s="256" t="s">
        <v>12572</v>
      </c>
      <c r="B265" s="256" t="s">
        <v>7841</v>
      </c>
      <c r="C265" s="264" t="s">
        <v>12573</v>
      </c>
      <c r="D265" s="267" t="s">
        <v>12574</v>
      </c>
      <c r="E265" s="256" t="s">
        <v>12529</v>
      </c>
      <c r="F265" s="256" t="s">
        <v>12575</v>
      </c>
      <c r="G265" s="256" t="s">
        <v>814</v>
      </c>
      <c r="H265" s="256" t="s">
        <v>12576</v>
      </c>
      <c r="I265" s="267" t="s">
        <v>12577</v>
      </c>
      <c r="J265" s="256" t="s">
        <v>7871</v>
      </c>
      <c r="K265" s="268" t="s">
        <v>12578</v>
      </c>
      <c r="L265" s="208" t="s">
        <v>10927</v>
      </c>
      <c r="M265" s="6" t="s">
        <v>814</v>
      </c>
      <c r="N265" s="30" t="s">
        <v>814</v>
      </c>
      <c r="O265" s="30" t="s">
        <v>12555</v>
      </c>
      <c r="P265" s="30" t="s">
        <v>814</v>
      </c>
      <c r="Q265" s="208" t="s">
        <v>8687</v>
      </c>
    </row>
    <row r="266" customFormat="false" ht="114.75" hidden="false" customHeight="true" outlineLevel="0" collapsed="false">
      <c r="A266" s="256" t="s">
        <v>12579</v>
      </c>
      <c r="B266" s="256" t="s">
        <v>7841</v>
      </c>
      <c r="C266" s="264" t="s">
        <v>12580</v>
      </c>
      <c r="D266" s="267" t="s">
        <v>12581</v>
      </c>
      <c r="E266" s="256" t="s">
        <v>12529</v>
      </c>
      <c r="F266" s="256" t="s">
        <v>12582</v>
      </c>
      <c r="G266" s="256" t="s">
        <v>814</v>
      </c>
      <c r="H266" s="267" t="s">
        <v>12583</v>
      </c>
      <c r="I266" s="267" t="s">
        <v>12584</v>
      </c>
      <c r="J266" s="256" t="s">
        <v>7871</v>
      </c>
      <c r="K266" s="268" t="s">
        <v>12585</v>
      </c>
      <c r="L266" s="208" t="s">
        <v>10927</v>
      </c>
      <c r="M266" s="6" t="s">
        <v>814</v>
      </c>
      <c r="N266" s="30" t="s">
        <v>814</v>
      </c>
      <c r="O266" s="30" t="s">
        <v>12555</v>
      </c>
      <c r="P266" s="30" t="s">
        <v>814</v>
      </c>
      <c r="Q266" s="208" t="s">
        <v>8687</v>
      </c>
    </row>
    <row r="267" customFormat="false" ht="114.75" hidden="false" customHeight="true" outlineLevel="0" collapsed="false">
      <c r="A267" s="256" t="s">
        <v>10682</v>
      </c>
      <c r="B267" s="256" t="s">
        <v>7841</v>
      </c>
      <c r="C267" s="264" t="s">
        <v>12586</v>
      </c>
      <c r="D267" s="256" t="s">
        <v>12587</v>
      </c>
      <c r="E267" s="256" t="s">
        <v>12438</v>
      </c>
      <c r="F267" s="256" t="s">
        <v>12588</v>
      </c>
      <c r="G267" s="256" t="s">
        <v>12589</v>
      </c>
      <c r="H267" s="256" t="s">
        <v>12590</v>
      </c>
      <c r="I267" s="267" t="s">
        <v>12591</v>
      </c>
      <c r="J267" s="256" t="s">
        <v>7871</v>
      </c>
      <c r="K267" s="268" t="s">
        <v>12592</v>
      </c>
      <c r="L267" s="208" t="s">
        <v>10927</v>
      </c>
      <c r="M267" s="6" t="s">
        <v>7044</v>
      </c>
      <c r="N267" s="30" t="s">
        <v>814</v>
      </c>
      <c r="O267" s="30" t="s">
        <v>814</v>
      </c>
      <c r="P267" s="30" t="s">
        <v>11090</v>
      </c>
      <c r="Q267" s="208" t="s">
        <v>8580</v>
      </c>
    </row>
    <row r="268" customFormat="false" ht="114.75" hidden="false" customHeight="true" outlineLevel="0" collapsed="false">
      <c r="A268" s="256" t="s">
        <v>12593</v>
      </c>
      <c r="B268" s="256" t="s">
        <v>7891</v>
      </c>
      <c r="C268" s="264" t="s">
        <v>12594</v>
      </c>
      <c r="D268" s="256" t="s">
        <v>12595</v>
      </c>
      <c r="E268" s="267" t="s">
        <v>12596</v>
      </c>
      <c r="F268" s="256" t="s">
        <v>12597</v>
      </c>
      <c r="G268" s="256" t="s">
        <v>814</v>
      </c>
      <c r="H268" s="256" t="s">
        <v>814</v>
      </c>
      <c r="I268" s="267" t="s">
        <v>12598</v>
      </c>
      <c r="J268" s="256" t="s">
        <v>7888</v>
      </c>
      <c r="K268" s="268" t="s">
        <v>12599</v>
      </c>
      <c r="L268" s="208" t="s">
        <v>10927</v>
      </c>
      <c r="M268" s="6" t="s">
        <v>814</v>
      </c>
      <c r="N268" s="30" t="s">
        <v>814</v>
      </c>
      <c r="O268" s="30" t="s">
        <v>814</v>
      </c>
      <c r="P268" s="30" t="s">
        <v>814</v>
      </c>
      <c r="Q268" s="208" t="s">
        <v>8687</v>
      </c>
    </row>
    <row r="269" customFormat="false" ht="100.5" hidden="false" customHeight="true" outlineLevel="0" collapsed="false">
      <c r="A269" s="256" t="s">
        <v>12600</v>
      </c>
      <c r="B269" s="256" t="s">
        <v>7891</v>
      </c>
      <c r="C269" s="264" t="s">
        <v>12601</v>
      </c>
      <c r="D269" s="256" t="s">
        <v>12602</v>
      </c>
      <c r="E269" s="256" t="s">
        <v>12603</v>
      </c>
      <c r="F269" s="256" t="s">
        <v>12604</v>
      </c>
      <c r="G269" s="256" t="s">
        <v>814</v>
      </c>
      <c r="H269" s="256" t="s">
        <v>12605</v>
      </c>
      <c r="I269" s="267" t="s">
        <v>12606</v>
      </c>
      <c r="J269" s="256" t="s">
        <v>7888</v>
      </c>
      <c r="K269" s="264" t="s">
        <v>12607</v>
      </c>
      <c r="L269" s="208" t="s">
        <v>10927</v>
      </c>
      <c r="M269" s="6" t="s">
        <v>814</v>
      </c>
      <c r="N269" s="30" t="s">
        <v>814</v>
      </c>
      <c r="O269" s="30" t="s">
        <v>814</v>
      </c>
      <c r="P269" s="30" t="s">
        <v>11090</v>
      </c>
      <c r="Q269" s="208" t="s">
        <v>8580</v>
      </c>
    </row>
    <row r="270" customFormat="false" ht="100.5" hidden="false" customHeight="true" outlineLevel="0" collapsed="false">
      <c r="A270" s="256" t="s">
        <v>12608</v>
      </c>
      <c r="B270" s="256" t="s">
        <v>7891</v>
      </c>
      <c r="C270" s="264" t="s">
        <v>12609</v>
      </c>
      <c r="D270" s="256" t="s">
        <v>12610</v>
      </c>
      <c r="E270" s="256" t="s">
        <v>12611</v>
      </c>
      <c r="F270" s="256" t="s">
        <v>12612</v>
      </c>
      <c r="G270" s="256" t="s">
        <v>12613</v>
      </c>
      <c r="H270" s="256" t="s">
        <v>12614</v>
      </c>
      <c r="I270" s="267" t="s">
        <v>12615</v>
      </c>
      <c r="J270" s="256" t="s">
        <v>7888</v>
      </c>
      <c r="K270" s="268" t="s">
        <v>12616</v>
      </c>
      <c r="L270" s="208" t="s">
        <v>10927</v>
      </c>
      <c r="M270" s="6" t="s">
        <v>814</v>
      </c>
      <c r="N270" s="30" t="s">
        <v>814</v>
      </c>
      <c r="O270" s="30" t="s">
        <v>12617</v>
      </c>
      <c r="P270" s="30" t="s">
        <v>11062</v>
      </c>
      <c r="Q270" s="208" t="s">
        <v>8580</v>
      </c>
    </row>
    <row r="271" customFormat="false" ht="100.5" hidden="false" customHeight="true" outlineLevel="0" collapsed="false">
      <c r="A271" s="256" t="s">
        <v>12618</v>
      </c>
      <c r="B271" s="256" t="s">
        <v>7891</v>
      </c>
      <c r="C271" s="264" t="s">
        <v>12619</v>
      </c>
      <c r="D271" s="256" t="s">
        <v>12620</v>
      </c>
      <c r="E271" s="256" t="s">
        <v>12621</v>
      </c>
      <c r="F271" s="256" t="s">
        <v>12622</v>
      </c>
      <c r="G271" s="256" t="s">
        <v>814</v>
      </c>
      <c r="H271" s="256" t="s">
        <v>814</v>
      </c>
      <c r="I271" s="267" t="s">
        <v>12623</v>
      </c>
      <c r="J271" s="256" t="s">
        <v>7888</v>
      </c>
      <c r="K271" s="268" t="s">
        <v>12624</v>
      </c>
      <c r="L271" s="208" t="s">
        <v>10927</v>
      </c>
      <c r="M271" s="6" t="s">
        <v>814</v>
      </c>
      <c r="N271" s="30" t="s">
        <v>814</v>
      </c>
      <c r="O271" s="30" t="s">
        <v>814</v>
      </c>
      <c r="P271" s="30" t="s">
        <v>11062</v>
      </c>
      <c r="Q271" s="208" t="s">
        <v>8580</v>
      </c>
    </row>
    <row r="272" customFormat="false" ht="114.75" hidden="false" customHeight="true" outlineLevel="0" collapsed="false">
      <c r="A272" s="256" t="s">
        <v>12625</v>
      </c>
      <c r="B272" s="256" t="s">
        <v>7891</v>
      </c>
      <c r="C272" s="264" t="s">
        <v>12626</v>
      </c>
      <c r="D272" s="256" t="s">
        <v>12627</v>
      </c>
      <c r="E272" s="256" t="s">
        <v>12628</v>
      </c>
      <c r="F272" s="256" t="s">
        <v>12622</v>
      </c>
      <c r="G272" s="256" t="s">
        <v>814</v>
      </c>
      <c r="H272" s="256" t="s">
        <v>12629</v>
      </c>
      <c r="I272" s="267" t="s">
        <v>12630</v>
      </c>
      <c r="J272" s="256" t="s">
        <v>7888</v>
      </c>
      <c r="K272" s="264" t="s">
        <v>12631</v>
      </c>
      <c r="L272" s="208" t="s">
        <v>10927</v>
      </c>
      <c r="M272" s="6" t="s">
        <v>814</v>
      </c>
      <c r="N272" s="30" t="s">
        <v>814</v>
      </c>
      <c r="O272" s="30" t="s">
        <v>814</v>
      </c>
      <c r="P272" s="30" t="s">
        <v>11062</v>
      </c>
      <c r="Q272" s="208" t="s">
        <v>8580</v>
      </c>
    </row>
    <row r="273" customFormat="false" ht="100.5" hidden="false" customHeight="true" outlineLevel="0" collapsed="false">
      <c r="A273" s="256" t="s">
        <v>12632</v>
      </c>
      <c r="B273" s="256" t="s">
        <v>7891</v>
      </c>
      <c r="C273" s="264" t="s">
        <v>12633</v>
      </c>
      <c r="D273" s="256" t="s">
        <v>12634</v>
      </c>
      <c r="E273" s="256" t="s">
        <v>12635</v>
      </c>
      <c r="F273" s="256" t="s">
        <v>12636</v>
      </c>
      <c r="G273" s="256" t="s">
        <v>814</v>
      </c>
      <c r="H273" s="256" t="s">
        <v>814</v>
      </c>
      <c r="I273" s="267" t="s">
        <v>12623</v>
      </c>
      <c r="J273" s="256" t="s">
        <v>7888</v>
      </c>
      <c r="K273" s="268" t="s">
        <v>12637</v>
      </c>
      <c r="L273" s="208" t="s">
        <v>10927</v>
      </c>
      <c r="M273" s="6" t="s">
        <v>814</v>
      </c>
      <c r="N273" s="30" t="s">
        <v>814</v>
      </c>
      <c r="O273" s="30" t="s">
        <v>814</v>
      </c>
      <c r="P273" s="30" t="s">
        <v>11062</v>
      </c>
      <c r="Q273" s="208" t="s">
        <v>8580</v>
      </c>
    </row>
    <row r="274" customFormat="false" ht="114.75" hidden="false" customHeight="true" outlineLevel="0" collapsed="false">
      <c r="A274" s="256" t="s">
        <v>12638</v>
      </c>
      <c r="B274" s="256" t="s">
        <v>7891</v>
      </c>
      <c r="C274" s="264" t="s">
        <v>12639</v>
      </c>
      <c r="D274" s="256" t="s">
        <v>12640</v>
      </c>
      <c r="E274" s="256" t="s">
        <v>12641</v>
      </c>
      <c r="F274" s="256" t="s">
        <v>10303</v>
      </c>
      <c r="G274" s="256" t="s">
        <v>12642</v>
      </c>
      <c r="H274" s="256" t="s">
        <v>12643</v>
      </c>
      <c r="I274" s="267" t="s">
        <v>12644</v>
      </c>
      <c r="J274" s="256" t="s">
        <v>7888</v>
      </c>
      <c r="K274" s="268" t="s">
        <v>12645</v>
      </c>
      <c r="L274" s="208" t="s">
        <v>10927</v>
      </c>
      <c r="M274" s="6" t="s">
        <v>10303</v>
      </c>
      <c r="N274" s="30" t="s">
        <v>814</v>
      </c>
      <c r="O274" s="30" t="s">
        <v>12646</v>
      </c>
      <c r="P274" s="30" t="s">
        <v>11090</v>
      </c>
      <c r="Q274" s="208" t="s">
        <v>8580</v>
      </c>
      <c r="R274" s="246" t="s">
        <v>12647</v>
      </c>
    </row>
    <row r="275" customFormat="false" ht="114.75" hidden="false" customHeight="true" outlineLevel="0" collapsed="false">
      <c r="A275" s="256" t="s">
        <v>12648</v>
      </c>
      <c r="B275" s="256" t="s">
        <v>7891</v>
      </c>
      <c r="C275" s="264" t="s">
        <v>12649</v>
      </c>
      <c r="D275" s="256" t="s">
        <v>12650</v>
      </c>
      <c r="E275" s="256" t="s">
        <v>12651</v>
      </c>
      <c r="F275" s="256" t="s">
        <v>12652</v>
      </c>
      <c r="G275" s="256" t="s">
        <v>814</v>
      </c>
      <c r="H275" s="256" t="s">
        <v>12653</v>
      </c>
      <c r="I275" s="267" t="s">
        <v>12654</v>
      </c>
      <c r="J275" s="256" t="s">
        <v>7888</v>
      </c>
      <c r="K275" s="264" t="s">
        <v>12655</v>
      </c>
      <c r="L275" s="208" t="s">
        <v>10927</v>
      </c>
      <c r="M275" s="6" t="s">
        <v>814</v>
      </c>
      <c r="N275" s="30" t="s">
        <v>814</v>
      </c>
      <c r="O275" s="30" t="s">
        <v>814</v>
      </c>
      <c r="P275" s="30" t="s">
        <v>11062</v>
      </c>
      <c r="Q275" s="208" t="s">
        <v>8580</v>
      </c>
    </row>
    <row r="276" customFormat="false" ht="114.75" hidden="false" customHeight="true" outlineLevel="0" collapsed="false">
      <c r="A276" s="256" t="s">
        <v>12656</v>
      </c>
      <c r="B276" s="256" t="s">
        <v>7891</v>
      </c>
      <c r="C276" s="264" t="s">
        <v>12657</v>
      </c>
      <c r="D276" s="256" t="s">
        <v>12658</v>
      </c>
      <c r="E276" s="256" t="s">
        <v>12659</v>
      </c>
      <c r="F276" s="256" t="s">
        <v>12660</v>
      </c>
      <c r="G276" s="256" t="s">
        <v>814</v>
      </c>
      <c r="H276" s="256" t="s">
        <v>814</v>
      </c>
      <c r="I276" s="267" t="s">
        <v>12661</v>
      </c>
      <c r="J276" s="256" t="s">
        <v>7888</v>
      </c>
      <c r="K276" s="268" t="s">
        <v>12662</v>
      </c>
      <c r="L276" s="208" t="s">
        <v>10927</v>
      </c>
      <c r="M276" s="6" t="s">
        <v>814</v>
      </c>
      <c r="N276" s="30" t="s">
        <v>814</v>
      </c>
      <c r="O276" s="30" t="s">
        <v>814</v>
      </c>
      <c r="P276" s="30" t="s">
        <v>11116</v>
      </c>
      <c r="Q276" s="208" t="s">
        <v>8687</v>
      </c>
    </row>
    <row r="277" customFormat="false" ht="100.5" hidden="false" customHeight="true" outlineLevel="0" collapsed="false">
      <c r="A277" s="256" t="s">
        <v>12663</v>
      </c>
      <c r="B277" s="256" t="s">
        <v>7891</v>
      </c>
      <c r="C277" s="268" t="s">
        <v>12664</v>
      </c>
      <c r="D277" s="256" t="s">
        <v>12665</v>
      </c>
      <c r="E277" s="256" t="s">
        <v>137</v>
      </c>
      <c r="F277" s="256" t="s">
        <v>12666</v>
      </c>
      <c r="G277" s="256" t="s">
        <v>814</v>
      </c>
      <c r="H277" s="256" t="s">
        <v>12667</v>
      </c>
      <c r="I277" s="267" t="s">
        <v>12661</v>
      </c>
      <c r="J277" s="256" t="s">
        <v>7888</v>
      </c>
      <c r="K277" s="268" t="s">
        <v>12668</v>
      </c>
      <c r="L277" s="208" t="s">
        <v>10927</v>
      </c>
      <c r="M277" s="6" t="s">
        <v>814</v>
      </c>
      <c r="N277" s="30" t="s">
        <v>814</v>
      </c>
      <c r="O277" s="30" t="s">
        <v>814</v>
      </c>
      <c r="P277" s="30" t="s">
        <v>11062</v>
      </c>
      <c r="Q277" s="208" t="s">
        <v>12493</v>
      </c>
    </row>
    <row r="278" customFormat="false" ht="114.75" hidden="false" customHeight="true" outlineLevel="0" collapsed="false">
      <c r="A278" s="256" t="s">
        <v>12669</v>
      </c>
      <c r="B278" s="256" t="s">
        <v>7891</v>
      </c>
      <c r="C278" s="264" t="s">
        <v>12670</v>
      </c>
      <c r="D278" s="256" t="s">
        <v>12671</v>
      </c>
      <c r="E278" s="256" t="s">
        <v>12672</v>
      </c>
      <c r="F278" s="256" t="s">
        <v>12673</v>
      </c>
      <c r="G278" s="256" t="s">
        <v>814</v>
      </c>
      <c r="H278" s="256" t="s">
        <v>12674</v>
      </c>
      <c r="I278" s="267" t="s">
        <v>12675</v>
      </c>
      <c r="J278" s="256" t="s">
        <v>7888</v>
      </c>
      <c r="K278" s="264" t="s">
        <v>12676</v>
      </c>
      <c r="L278" s="208" t="s">
        <v>10927</v>
      </c>
      <c r="M278" s="6" t="s">
        <v>814</v>
      </c>
      <c r="N278" s="30" t="s">
        <v>814</v>
      </c>
      <c r="O278" s="30" t="s">
        <v>814</v>
      </c>
      <c r="P278" s="30" t="s">
        <v>11062</v>
      </c>
      <c r="Q278" s="208" t="s">
        <v>12493</v>
      </c>
    </row>
    <row r="279" customFormat="false" ht="114.75" hidden="false" customHeight="true" outlineLevel="0" collapsed="false">
      <c r="A279" s="256" t="s">
        <v>12677</v>
      </c>
      <c r="B279" s="256" t="s">
        <v>7891</v>
      </c>
      <c r="C279" s="264" t="s">
        <v>12678</v>
      </c>
      <c r="D279" s="256" t="s">
        <v>12679</v>
      </c>
      <c r="E279" s="256" t="s">
        <v>12621</v>
      </c>
      <c r="F279" s="256" t="s">
        <v>12680</v>
      </c>
      <c r="G279" s="256" t="s">
        <v>814</v>
      </c>
      <c r="H279" s="256" t="s">
        <v>12681</v>
      </c>
      <c r="I279" s="267" t="s">
        <v>12675</v>
      </c>
      <c r="J279" s="256" t="s">
        <v>7888</v>
      </c>
      <c r="K279" s="264" t="s">
        <v>12682</v>
      </c>
      <c r="L279" s="208" t="s">
        <v>10927</v>
      </c>
      <c r="M279" s="6" t="s">
        <v>814</v>
      </c>
      <c r="N279" s="30" t="s">
        <v>814</v>
      </c>
      <c r="O279" s="30" t="s">
        <v>814</v>
      </c>
      <c r="P279" s="30" t="s">
        <v>11062</v>
      </c>
      <c r="Q279" s="208" t="s">
        <v>8580</v>
      </c>
    </row>
    <row r="280" customFormat="false" ht="114.75" hidden="false" customHeight="true" outlineLevel="0" collapsed="false">
      <c r="A280" s="256" t="s">
        <v>12683</v>
      </c>
      <c r="B280" s="256" t="s">
        <v>7891</v>
      </c>
      <c r="C280" s="268" t="s">
        <v>12684</v>
      </c>
      <c r="D280" s="256" t="s">
        <v>12685</v>
      </c>
      <c r="E280" s="256" t="s">
        <v>180</v>
      </c>
      <c r="F280" s="256" t="s">
        <v>12686</v>
      </c>
      <c r="G280" s="256" t="s">
        <v>12687</v>
      </c>
      <c r="H280" s="256" t="s">
        <v>12688</v>
      </c>
      <c r="I280" s="267" t="s">
        <v>12689</v>
      </c>
      <c r="J280" s="256" t="s">
        <v>7888</v>
      </c>
      <c r="K280" s="264" t="s">
        <v>12690</v>
      </c>
      <c r="L280" s="208" t="s">
        <v>10927</v>
      </c>
      <c r="M280" s="6" t="s">
        <v>814</v>
      </c>
      <c r="N280" s="30" t="s">
        <v>814</v>
      </c>
      <c r="O280" s="30" t="s">
        <v>12691</v>
      </c>
      <c r="P280" s="30" t="s">
        <v>814</v>
      </c>
      <c r="Q280" s="208" t="s">
        <v>8687</v>
      </c>
    </row>
    <row r="281" customFormat="false" ht="114.75" hidden="false" customHeight="true" outlineLevel="0" collapsed="false">
      <c r="A281" s="256" t="s">
        <v>12692</v>
      </c>
      <c r="B281" s="256" t="s">
        <v>7891</v>
      </c>
      <c r="C281" s="268" t="s">
        <v>12693</v>
      </c>
      <c r="D281" s="256" t="s">
        <v>12694</v>
      </c>
      <c r="E281" s="256" t="s">
        <v>180</v>
      </c>
      <c r="F281" s="267" t="s">
        <v>12695</v>
      </c>
      <c r="G281" s="256" t="s">
        <v>814</v>
      </c>
      <c r="H281" s="256" t="s">
        <v>12696</v>
      </c>
      <c r="I281" s="267" t="s">
        <v>12697</v>
      </c>
      <c r="J281" s="256" t="s">
        <v>7888</v>
      </c>
      <c r="K281" s="268" t="s">
        <v>12698</v>
      </c>
      <c r="L281" s="208" t="s">
        <v>10927</v>
      </c>
      <c r="M281" s="6" t="s">
        <v>814</v>
      </c>
      <c r="N281" s="30" t="s">
        <v>814</v>
      </c>
      <c r="O281" s="30" t="s">
        <v>12699</v>
      </c>
      <c r="P281" s="30" t="s">
        <v>814</v>
      </c>
      <c r="Q281" s="208" t="s">
        <v>8687</v>
      </c>
    </row>
    <row r="282" customFormat="false" ht="100.5" hidden="false" customHeight="true" outlineLevel="0" collapsed="false">
      <c r="A282" s="256" t="s">
        <v>12700</v>
      </c>
      <c r="B282" s="256" t="s">
        <v>7891</v>
      </c>
      <c r="C282" s="264" t="s">
        <v>12701</v>
      </c>
      <c r="D282" s="256" t="s">
        <v>12702</v>
      </c>
      <c r="E282" s="256" t="s">
        <v>12703</v>
      </c>
      <c r="F282" s="267" t="s">
        <v>12704</v>
      </c>
      <c r="G282" s="256" t="s">
        <v>814</v>
      </c>
      <c r="H282" s="267" t="s">
        <v>635</v>
      </c>
      <c r="I282" s="267" t="s">
        <v>12705</v>
      </c>
      <c r="J282" s="256" t="s">
        <v>7888</v>
      </c>
      <c r="K282" s="268" t="s">
        <v>12706</v>
      </c>
      <c r="L282" s="208" t="s">
        <v>10927</v>
      </c>
      <c r="M282" s="6" t="s">
        <v>814</v>
      </c>
      <c r="N282" s="30" t="s">
        <v>814</v>
      </c>
      <c r="O282" s="30" t="s">
        <v>4556</v>
      </c>
      <c r="P282" s="30" t="s">
        <v>11062</v>
      </c>
      <c r="Q282" s="208" t="s">
        <v>12493</v>
      </c>
    </row>
    <row r="283" customFormat="false" ht="114.75" hidden="false" customHeight="true" outlineLevel="0" collapsed="false">
      <c r="A283" s="256" t="s">
        <v>12707</v>
      </c>
      <c r="B283" s="256" t="s">
        <v>7891</v>
      </c>
      <c r="C283" s="264" t="s">
        <v>12708</v>
      </c>
      <c r="D283" s="256" t="s">
        <v>12709</v>
      </c>
      <c r="E283" s="267" t="s">
        <v>12596</v>
      </c>
      <c r="F283" s="256" t="s">
        <v>12710</v>
      </c>
      <c r="G283" s="256" t="s">
        <v>12711</v>
      </c>
      <c r="H283" s="256" t="s">
        <v>814</v>
      </c>
      <c r="I283" s="267" t="s">
        <v>12712</v>
      </c>
      <c r="J283" s="256" t="s">
        <v>7888</v>
      </c>
      <c r="K283" s="268" t="s">
        <v>12713</v>
      </c>
      <c r="L283" s="208" t="s">
        <v>10927</v>
      </c>
      <c r="M283" s="6" t="s">
        <v>814</v>
      </c>
      <c r="N283" s="30" t="s">
        <v>814</v>
      </c>
      <c r="O283" s="30" t="s">
        <v>814</v>
      </c>
      <c r="P283" s="30" t="s">
        <v>814</v>
      </c>
      <c r="Q283" s="208" t="s">
        <v>8687</v>
      </c>
    </row>
    <row r="284" customFormat="false" ht="114.75" hidden="false" customHeight="true" outlineLevel="0" collapsed="false">
      <c r="A284" s="256" t="s">
        <v>12714</v>
      </c>
      <c r="B284" s="256" t="s">
        <v>7891</v>
      </c>
      <c r="C284" s="268" t="s">
        <v>12715</v>
      </c>
      <c r="D284" s="256" t="s">
        <v>12716</v>
      </c>
      <c r="E284" s="256" t="s">
        <v>180</v>
      </c>
      <c r="F284" s="256" t="s">
        <v>12717</v>
      </c>
      <c r="G284" s="256" t="s">
        <v>12718</v>
      </c>
      <c r="H284" s="267" t="s">
        <v>12719</v>
      </c>
      <c r="I284" s="267" t="s">
        <v>12720</v>
      </c>
      <c r="J284" s="256" t="s">
        <v>7888</v>
      </c>
      <c r="K284" s="268" t="s">
        <v>12721</v>
      </c>
      <c r="L284" s="208" t="s">
        <v>10927</v>
      </c>
      <c r="M284" s="6" t="s">
        <v>814</v>
      </c>
      <c r="N284" s="30" t="s">
        <v>814</v>
      </c>
      <c r="O284" s="30" t="s">
        <v>12722</v>
      </c>
      <c r="P284" s="30" t="s">
        <v>814</v>
      </c>
      <c r="Q284" s="208" t="s">
        <v>8687</v>
      </c>
    </row>
    <row r="285" customFormat="false" ht="114.75" hidden="false" customHeight="true" outlineLevel="0" collapsed="false">
      <c r="A285" s="256" t="s">
        <v>12723</v>
      </c>
      <c r="B285" s="256" t="s">
        <v>7891</v>
      </c>
      <c r="C285" s="264" t="s">
        <v>12724</v>
      </c>
      <c r="D285" s="256" t="s">
        <v>12725</v>
      </c>
      <c r="E285" s="256" t="s">
        <v>12726</v>
      </c>
      <c r="F285" s="256" t="s">
        <v>10303</v>
      </c>
      <c r="G285" s="256" t="s">
        <v>12727</v>
      </c>
      <c r="H285" s="256" t="s">
        <v>12643</v>
      </c>
      <c r="I285" s="267" t="s">
        <v>12728</v>
      </c>
      <c r="J285" s="256" t="s">
        <v>7888</v>
      </c>
      <c r="K285" s="268" t="s">
        <v>12729</v>
      </c>
      <c r="L285" s="208" t="s">
        <v>10927</v>
      </c>
      <c r="M285" s="6" t="s">
        <v>10303</v>
      </c>
      <c r="N285" s="30" t="s">
        <v>814</v>
      </c>
      <c r="O285" s="30" t="s">
        <v>12730</v>
      </c>
      <c r="P285" s="30" t="s">
        <v>11090</v>
      </c>
      <c r="Q285" s="208" t="s">
        <v>8580</v>
      </c>
    </row>
    <row r="286" customFormat="false" ht="100.5" hidden="false" customHeight="true" outlineLevel="0" collapsed="false">
      <c r="A286" s="256" t="s">
        <v>12731</v>
      </c>
      <c r="B286" s="256" t="s">
        <v>7891</v>
      </c>
      <c r="C286" s="268" t="s">
        <v>12732</v>
      </c>
      <c r="D286" s="256" t="s">
        <v>12733</v>
      </c>
      <c r="E286" s="256" t="s">
        <v>12734</v>
      </c>
      <c r="F286" s="256" t="s">
        <v>12735</v>
      </c>
      <c r="G286" s="256" t="s">
        <v>12736</v>
      </c>
      <c r="H286" s="256" t="s">
        <v>12737</v>
      </c>
      <c r="I286" s="267" t="s">
        <v>12738</v>
      </c>
      <c r="J286" s="256" t="s">
        <v>7888</v>
      </c>
      <c r="K286" s="268" t="s">
        <v>12739</v>
      </c>
      <c r="L286" s="208" t="s">
        <v>10927</v>
      </c>
      <c r="M286" s="6" t="s">
        <v>4163</v>
      </c>
      <c r="N286" s="30" t="s">
        <v>814</v>
      </c>
      <c r="O286" s="30" t="s">
        <v>12740</v>
      </c>
      <c r="P286" s="30" t="s">
        <v>11090</v>
      </c>
      <c r="Q286" s="208" t="s">
        <v>8580</v>
      </c>
    </row>
    <row r="287" customFormat="false" ht="114.75" hidden="false" customHeight="true" outlineLevel="0" collapsed="false">
      <c r="A287" s="256" t="s">
        <v>10693</v>
      </c>
      <c r="B287" s="256" t="s">
        <v>7891</v>
      </c>
      <c r="C287" s="264" t="s">
        <v>12741</v>
      </c>
      <c r="D287" s="256" t="s">
        <v>12742</v>
      </c>
      <c r="E287" s="267" t="s">
        <v>12743</v>
      </c>
      <c r="F287" s="256" t="s">
        <v>12744</v>
      </c>
      <c r="G287" s="256" t="s">
        <v>12736</v>
      </c>
      <c r="H287" s="256" t="s">
        <v>12745</v>
      </c>
      <c r="I287" s="267" t="s">
        <v>12746</v>
      </c>
      <c r="J287" s="256" t="s">
        <v>7888</v>
      </c>
      <c r="K287" s="268" t="s">
        <v>12747</v>
      </c>
      <c r="L287" s="208" t="s">
        <v>10927</v>
      </c>
      <c r="M287" s="6" t="s">
        <v>12748</v>
      </c>
      <c r="N287" s="30" t="s">
        <v>814</v>
      </c>
      <c r="O287" s="30" t="s">
        <v>12749</v>
      </c>
      <c r="P287" s="30" t="s">
        <v>11090</v>
      </c>
      <c r="Q287" s="208" t="s">
        <v>8687</v>
      </c>
    </row>
    <row r="288" customFormat="false" ht="100.5" hidden="false" customHeight="true" outlineLevel="0" collapsed="false">
      <c r="A288" s="256" t="s">
        <v>12750</v>
      </c>
      <c r="B288" s="256" t="s">
        <v>7891</v>
      </c>
      <c r="C288" s="268" t="s">
        <v>12751</v>
      </c>
      <c r="D288" s="256" t="s">
        <v>12752</v>
      </c>
      <c r="E288" s="256" t="s">
        <v>12753</v>
      </c>
      <c r="F288" s="256" t="s">
        <v>12754</v>
      </c>
      <c r="G288" s="256" t="s">
        <v>814</v>
      </c>
      <c r="H288" s="256" t="s">
        <v>12653</v>
      </c>
      <c r="I288" s="267" t="s">
        <v>12755</v>
      </c>
      <c r="J288" s="256" t="s">
        <v>7888</v>
      </c>
      <c r="K288" s="268" t="s">
        <v>12756</v>
      </c>
      <c r="L288" s="208" t="s">
        <v>10927</v>
      </c>
      <c r="M288" s="6" t="s">
        <v>814</v>
      </c>
      <c r="N288" s="30" t="s">
        <v>814</v>
      </c>
      <c r="O288" s="30" t="s">
        <v>814</v>
      </c>
      <c r="P288" s="30" t="s">
        <v>11062</v>
      </c>
      <c r="Q288" s="208" t="s">
        <v>8580</v>
      </c>
    </row>
    <row r="289" customFormat="false" ht="114.75" hidden="false" customHeight="true" outlineLevel="0" collapsed="false">
      <c r="A289" s="256" t="s">
        <v>12757</v>
      </c>
      <c r="B289" s="256" t="s">
        <v>7891</v>
      </c>
      <c r="C289" s="264" t="s">
        <v>12758</v>
      </c>
      <c r="D289" s="256" t="s">
        <v>12759</v>
      </c>
      <c r="E289" s="256" t="s">
        <v>12611</v>
      </c>
      <c r="F289" s="256" t="s">
        <v>12612</v>
      </c>
      <c r="G289" s="256" t="s">
        <v>12613</v>
      </c>
      <c r="H289" s="256" t="s">
        <v>12760</v>
      </c>
      <c r="I289" s="267" t="s">
        <v>12761</v>
      </c>
      <c r="J289" s="256" t="s">
        <v>7888</v>
      </c>
      <c r="K289" s="268" t="s">
        <v>12762</v>
      </c>
      <c r="L289" s="208" t="s">
        <v>10927</v>
      </c>
      <c r="M289" s="6" t="s">
        <v>814</v>
      </c>
      <c r="N289" s="30" t="s">
        <v>814</v>
      </c>
      <c r="O289" s="30" t="s">
        <v>12617</v>
      </c>
      <c r="P289" s="30" t="s">
        <v>11062</v>
      </c>
      <c r="Q289" s="208" t="s">
        <v>8580</v>
      </c>
    </row>
    <row r="290" customFormat="false" ht="100.5" hidden="false" customHeight="true" outlineLevel="0" collapsed="false">
      <c r="A290" s="256" t="s">
        <v>12763</v>
      </c>
      <c r="B290" s="256" t="s">
        <v>7957</v>
      </c>
      <c r="C290" s="264" t="s">
        <v>12764</v>
      </c>
      <c r="D290" s="256" t="s">
        <v>12765</v>
      </c>
      <c r="E290" s="256" t="s">
        <v>12766</v>
      </c>
      <c r="F290" s="256" t="s">
        <v>12767</v>
      </c>
      <c r="G290" s="256" t="s">
        <v>12768</v>
      </c>
      <c r="H290" s="267" t="s">
        <v>12769</v>
      </c>
      <c r="I290" s="267" t="s">
        <v>12770</v>
      </c>
      <c r="J290" s="256" t="s">
        <v>7989</v>
      </c>
      <c r="K290" s="268" t="s">
        <v>12771</v>
      </c>
      <c r="L290" s="208" t="s">
        <v>10927</v>
      </c>
      <c r="M290" s="6" t="s">
        <v>814</v>
      </c>
      <c r="N290" s="30" t="s">
        <v>814</v>
      </c>
      <c r="O290" s="30" t="s">
        <v>12772</v>
      </c>
      <c r="P290" s="30" t="s">
        <v>11116</v>
      </c>
      <c r="Q290" s="208" t="s">
        <v>8580</v>
      </c>
    </row>
    <row r="291" customFormat="false" ht="72" hidden="false" customHeight="true" outlineLevel="0" collapsed="false">
      <c r="A291" s="256" t="s">
        <v>12773</v>
      </c>
      <c r="B291" s="256" t="s">
        <v>7957</v>
      </c>
      <c r="C291" s="264" t="s">
        <v>12774</v>
      </c>
      <c r="D291" s="256" t="s">
        <v>12775</v>
      </c>
      <c r="E291" s="256" t="s">
        <v>245</v>
      </c>
      <c r="F291" s="256" t="s">
        <v>12776</v>
      </c>
      <c r="G291" s="256" t="s">
        <v>12777</v>
      </c>
      <c r="H291" s="256" t="s">
        <v>12778</v>
      </c>
      <c r="I291" s="267" t="s">
        <v>12779</v>
      </c>
      <c r="J291" s="256" t="s">
        <v>7989</v>
      </c>
      <c r="K291" s="268" t="s">
        <v>12780</v>
      </c>
      <c r="L291" s="208" t="s">
        <v>10927</v>
      </c>
      <c r="M291" s="6" t="s">
        <v>814</v>
      </c>
      <c r="N291" s="30" t="s">
        <v>814</v>
      </c>
      <c r="O291" s="30" t="s">
        <v>12772</v>
      </c>
      <c r="P291" s="30" t="s">
        <v>11116</v>
      </c>
      <c r="Q291" s="208" t="s">
        <v>8580</v>
      </c>
    </row>
    <row r="292" customFormat="false" ht="72" hidden="false" customHeight="true" outlineLevel="0" collapsed="false">
      <c r="A292" s="256" t="s">
        <v>12781</v>
      </c>
      <c r="B292" s="256" t="s">
        <v>7957</v>
      </c>
      <c r="C292" s="264" t="s">
        <v>12782</v>
      </c>
      <c r="D292" s="256" t="s">
        <v>12783</v>
      </c>
      <c r="E292" s="256" t="s">
        <v>245</v>
      </c>
      <c r="F292" s="256" t="s">
        <v>12784</v>
      </c>
      <c r="G292" s="256" t="s">
        <v>814</v>
      </c>
      <c r="H292" s="256" t="s">
        <v>12785</v>
      </c>
      <c r="I292" s="267" t="s">
        <v>10924</v>
      </c>
      <c r="J292" s="256" t="s">
        <v>7989</v>
      </c>
      <c r="K292" s="268" t="s">
        <v>12786</v>
      </c>
      <c r="L292" s="208" t="s">
        <v>10927</v>
      </c>
      <c r="M292" s="6" t="s">
        <v>814</v>
      </c>
      <c r="N292" s="30" t="s">
        <v>814</v>
      </c>
      <c r="O292" s="30" t="s">
        <v>12772</v>
      </c>
      <c r="P292" s="30" t="s">
        <v>12787</v>
      </c>
      <c r="Q292" s="208" t="s">
        <v>8580</v>
      </c>
    </row>
    <row r="293" customFormat="false" ht="72" hidden="false" customHeight="true" outlineLevel="0" collapsed="false">
      <c r="A293" s="256" t="s">
        <v>12788</v>
      </c>
      <c r="B293" s="256" t="s">
        <v>7957</v>
      </c>
      <c r="C293" s="264" t="s">
        <v>12789</v>
      </c>
      <c r="D293" s="256" t="s">
        <v>12790</v>
      </c>
      <c r="E293" s="256" t="s">
        <v>180</v>
      </c>
      <c r="F293" s="256" t="s">
        <v>12791</v>
      </c>
      <c r="G293" s="256" t="s">
        <v>12792</v>
      </c>
      <c r="H293" s="267" t="s">
        <v>12793</v>
      </c>
      <c r="I293" s="267" t="s">
        <v>12794</v>
      </c>
      <c r="J293" s="256" t="s">
        <v>7989</v>
      </c>
      <c r="K293" s="268" t="s">
        <v>12795</v>
      </c>
      <c r="L293" s="208" t="s">
        <v>10927</v>
      </c>
      <c r="M293" s="6" t="s">
        <v>814</v>
      </c>
      <c r="N293" s="30" t="s">
        <v>814</v>
      </c>
      <c r="O293" s="30" t="s">
        <v>12772</v>
      </c>
      <c r="P293" s="30" t="s">
        <v>814</v>
      </c>
      <c r="Q293" s="208" t="s">
        <v>8687</v>
      </c>
    </row>
    <row r="294" customFormat="false" ht="72" hidden="false" customHeight="true" outlineLevel="0" collapsed="false">
      <c r="A294" s="256" t="s">
        <v>12796</v>
      </c>
      <c r="B294" s="256" t="s">
        <v>7957</v>
      </c>
      <c r="C294" s="268" t="s">
        <v>12797</v>
      </c>
      <c r="D294" s="256" t="s">
        <v>12798</v>
      </c>
      <c r="E294" s="256" t="s">
        <v>245</v>
      </c>
      <c r="F294" s="256" t="s">
        <v>12799</v>
      </c>
      <c r="G294" s="256" t="s">
        <v>814</v>
      </c>
      <c r="H294" s="256" t="s">
        <v>12800</v>
      </c>
      <c r="I294" s="267" t="s">
        <v>12801</v>
      </c>
      <c r="J294" s="256" t="s">
        <v>7989</v>
      </c>
      <c r="K294" s="268" t="s">
        <v>12802</v>
      </c>
      <c r="L294" s="208" t="s">
        <v>10927</v>
      </c>
      <c r="M294" s="6" t="s">
        <v>814</v>
      </c>
      <c r="N294" s="30" t="s">
        <v>814</v>
      </c>
      <c r="O294" s="30" t="s">
        <v>12772</v>
      </c>
      <c r="P294" s="30" t="s">
        <v>11116</v>
      </c>
      <c r="Q294" s="208" t="s">
        <v>8580</v>
      </c>
    </row>
    <row r="295" customFormat="false" ht="72" hidden="false" customHeight="true" outlineLevel="0" collapsed="false">
      <c r="A295" s="256" t="s">
        <v>12803</v>
      </c>
      <c r="B295" s="256" t="s">
        <v>7957</v>
      </c>
      <c r="C295" s="264" t="s">
        <v>12804</v>
      </c>
      <c r="D295" s="256" t="s">
        <v>12805</v>
      </c>
      <c r="E295" s="256" t="s">
        <v>180</v>
      </c>
      <c r="F295" s="256" t="s">
        <v>12806</v>
      </c>
      <c r="G295" s="256" t="s">
        <v>814</v>
      </c>
      <c r="H295" s="256" t="s">
        <v>12807</v>
      </c>
      <c r="I295" s="267" t="s">
        <v>12808</v>
      </c>
      <c r="J295" s="256" t="s">
        <v>7989</v>
      </c>
      <c r="K295" s="268" t="s">
        <v>12809</v>
      </c>
      <c r="L295" s="208" t="s">
        <v>10927</v>
      </c>
      <c r="M295" s="6" t="s">
        <v>814</v>
      </c>
      <c r="N295" s="30" t="s">
        <v>814</v>
      </c>
      <c r="O295" s="30" t="s">
        <v>12772</v>
      </c>
      <c r="P295" s="30" t="s">
        <v>12810</v>
      </c>
      <c r="Q295" s="208" t="s">
        <v>8687</v>
      </c>
    </row>
    <row r="296" customFormat="false" ht="100.5" hidden="false" customHeight="true" outlineLevel="0" collapsed="false">
      <c r="A296" s="256" t="s">
        <v>12811</v>
      </c>
      <c r="B296" s="256" t="s">
        <v>7957</v>
      </c>
      <c r="C296" s="264" t="s">
        <v>12812</v>
      </c>
      <c r="D296" s="267" t="s">
        <v>12813</v>
      </c>
      <c r="E296" s="256" t="s">
        <v>245</v>
      </c>
      <c r="F296" s="256" t="s">
        <v>12814</v>
      </c>
      <c r="G296" s="256" t="s">
        <v>814</v>
      </c>
      <c r="H296" s="256" t="s">
        <v>12815</v>
      </c>
      <c r="I296" s="267" t="s">
        <v>12816</v>
      </c>
      <c r="J296" s="256" t="s">
        <v>7989</v>
      </c>
      <c r="K296" s="264" t="s">
        <v>12817</v>
      </c>
      <c r="L296" s="208" t="s">
        <v>10927</v>
      </c>
      <c r="M296" s="6" t="s">
        <v>814</v>
      </c>
      <c r="N296" s="30" t="s">
        <v>814</v>
      </c>
      <c r="O296" s="30" t="s">
        <v>12772</v>
      </c>
      <c r="P296" s="30" t="s">
        <v>12145</v>
      </c>
      <c r="Q296" s="208" t="s">
        <v>8580</v>
      </c>
    </row>
    <row r="297" customFormat="false" ht="72" hidden="false" customHeight="true" outlineLevel="0" collapsed="false">
      <c r="A297" s="256" t="s">
        <v>12818</v>
      </c>
      <c r="B297" s="256" t="s">
        <v>7957</v>
      </c>
      <c r="C297" s="264" t="s">
        <v>12819</v>
      </c>
      <c r="D297" s="256" t="s">
        <v>12820</v>
      </c>
      <c r="E297" s="256" t="s">
        <v>245</v>
      </c>
      <c r="F297" s="267" t="s">
        <v>12821</v>
      </c>
      <c r="G297" s="256" t="s">
        <v>814</v>
      </c>
      <c r="H297" s="256" t="s">
        <v>12822</v>
      </c>
      <c r="I297" s="267" t="s">
        <v>12823</v>
      </c>
      <c r="J297" s="256" t="s">
        <v>7989</v>
      </c>
      <c r="K297" s="268" t="s">
        <v>12824</v>
      </c>
      <c r="L297" s="208" t="s">
        <v>10927</v>
      </c>
      <c r="M297" s="6" t="s">
        <v>814</v>
      </c>
      <c r="N297" s="30" t="s">
        <v>814</v>
      </c>
      <c r="O297" s="30" t="s">
        <v>12772</v>
      </c>
      <c r="P297" s="30" t="s">
        <v>11116</v>
      </c>
      <c r="Q297" s="208" t="s">
        <v>8580</v>
      </c>
    </row>
    <row r="298" customFormat="false" ht="86.25" hidden="false" customHeight="true" outlineLevel="0" collapsed="false">
      <c r="A298" s="256" t="s">
        <v>12825</v>
      </c>
      <c r="B298" s="256" t="s">
        <v>7957</v>
      </c>
      <c r="C298" s="264" t="s">
        <v>12826</v>
      </c>
      <c r="D298" s="256" t="s">
        <v>12827</v>
      </c>
      <c r="E298" s="256" t="s">
        <v>12828</v>
      </c>
      <c r="F298" s="256" t="s">
        <v>12829</v>
      </c>
      <c r="G298" s="256" t="s">
        <v>12830</v>
      </c>
      <c r="H298" s="256" t="s">
        <v>12831</v>
      </c>
      <c r="I298" s="267" t="s">
        <v>12832</v>
      </c>
      <c r="J298" s="256" t="s">
        <v>8043</v>
      </c>
      <c r="K298" s="264" t="s">
        <v>12833</v>
      </c>
      <c r="L298" s="208" t="s">
        <v>10927</v>
      </c>
      <c r="M298" s="6" t="s">
        <v>814</v>
      </c>
      <c r="N298" s="30" t="s">
        <v>814</v>
      </c>
      <c r="O298" s="30" t="s">
        <v>12834</v>
      </c>
      <c r="P298" s="30" t="s">
        <v>12835</v>
      </c>
      <c r="Q298" s="208" t="s">
        <v>8580</v>
      </c>
    </row>
    <row r="299" customFormat="false" ht="72" hidden="false" customHeight="true" outlineLevel="0" collapsed="false">
      <c r="A299" s="256" t="s">
        <v>12836</v>
      </c>
      <c r="B299" s="256" t="s">
        <v>7957</v>
      </c>
      <c r="C299" s="268" t="s">
        <v>12837</v>
      </c>
      <c r="D299" s="256" t="s">
        <v>12838</v>
      </c>
      <c r="E299" s="256" t="s">
        <v>12839</v>
      </c>
      <c r="F299" s="256" t="s">
        <v>12840</v>
      </c>
      <c r="G299" s="267" t="s">
        <v>12841</v>
      </c>
      <c r="H299" s="267" t="s">
        <v>12842</v>
      </c>
      <c r="I299" s="267" t="s">
        <v>12843</v>
      </c>
      <c r="J299" s="256" t="s">
        <v>8043</v>
      </c>
      <c r="K299" s="268" t="s">
        <v>12844</v>
      </c>
      <c r="L299" s="208" t="s">
        <v>10927</v>
      </c>
      <c r="M299" s="6" t="s">
        <v>814</v>
      </c>
      <c r="N299" s="30" t="s">
        <v>814</v>
      </c>
      <c r="O299" s="30" t="s">
        <v>12834</v>
      </c>
      <c r="P299" s="30" t="s">
        <v>11062</v>
      </c>
      <c r="Q299" s="208" t="s">
        <v>8687</v>
      </c>
    </row>
    <row r="300" customFormat="false" ht="72" hidden="false" customHeight="true" outlineLevel="0" collapsed="false">
      <c r="A300" s="256" t="s">
        <v>12845</v>
      </c>
      <c r="B300" s="256" t="s">
        <v>7957</v>
      </c>
      <c r="C300" s="264" t="s">
        <v>12846</v>
      </c>
      <c r="D300" s="256" t="s">
        <v>12847</v>
      </c>
      <c r="E300" s="256" t="s">
        <v>12848</v>
      </c>
      <c r="F300" s="256" t="s">
        <v>12849</v>
      </c>
      <c r="G300" s="256" t="s">
        <v>12850</v>
      </c>
      <c r="H300" s="256" t="s">
        <v>12851</v>
      </c>
      <c r="I300" s="267" t="s">
        <v>12852</v>
      </c>
      <c r="J300" s="256" t="s">
        <v>8043</v>
      </c>
      <c r="K300" s="268" t="s">
        <v>12853</v>
      </c>
      <c r="L300" s="208" t="s">
        <v>10927</v>
      </c>
      <c r="M300" s="6" t="s">
        <v>814</v>
      </c>
      <c r="N300" s="30" t="s">
        <v>814</v>
      </c>
      <c r="O300" s="30" t="s">
        <v>12834</v>
      </c>
      <c r="P300" s="30" t="s">
        <v>11062</v>
      </c>
      <c r="Q300" s="208" t="s">
        <v>8687</v>
      </c>
    </row>
    <row r="301" customFormat="false" ht="72" hidden="false" customHeight="true" outlineLevel="0" collapsed="false">
      <c r="A301" s="256" t="s">
        <v>12854</v>
      </c>
      <c r="B301" s="256" t="s">
        <v>7957</v>
      </c>
      <c r="C301" s="264" t="s">
        <v>12855</v>
      </c>
      <c r="D301" s="256" t="s">
        <v>12856</v>
      </c>
      <c r="E301" s="256" t="s">
        <v>12857</v>
      </c>
      <c r="F301" s="256" t="s">
        <v>12858</v>
      </c>
      <c r="G301" s="267" t="s">
        <v>12859</v>
      </c>
      <c r="H301" s="267" t="s">
        <v>12860</v>
      </c>
      <c r="I301" s="267" t="s">
        <v>12861</v>
      </c>
      <c r="J301" s="256" t="s">
        <v>8043</v>
      </c>
      <c r="K301" s="268" t="s">
        <v>12862</v>
      </c>
      <c r="L301" s="208" t="s">
        <v>10927</v>
      </c>
      <c r="M301" s="6" t="s">
        <v>814</v>
      </c>
      <c r="N301" s="30" t="s">
        <v>814</v>
      </c>
      <c r="O301" s="30" t="s">
        <v>12834</v>
      </c>
      <c r="P301" s="30" t="s">
        <v>12863</v>
      </c>
      <c r="Q301" s="208" t="s">
        <v>8687</v>
      </c>
    </row>
    <row r="302" customFormat="false" ht="86.25" hidden="false" customHeight="true" outlineLevel="0" collapsed="false">
      <c r="A302" s="256" t="s">
        <v>9669</v>
      </c>
      <c r="B302" s="256" t="s">
        <v>7957</v>
      </c>
      <c r="C302" s="264" t="s">
        <v>12864</v>
      </c>
      <c r="D302" s="256" t="s">
        <v>12865</v>
      </c>
      <c r="E302" s="267" t="s">
        <v>12866</v>
      </c>
      <c r="F302" s="256" t="s">
        <v>12867</v>
      </c>
      <c r="G302" s="256" t="s">
        <v>12868</v>
      </c>
      <c r="H302" s="267" t="s">
        <v>12869</v>
      </c>
      <c r="I302" s="267" t="s">
        <v>12870</v>
      </c>
      <c r="J302" s="256" t="s">
        <v>8107</v>
      </c>
      <c r="K302" s="268" t="s">
        <v>12871</v>
      </c>
      <c r="L302" s="208" t="s">
        <v>10927</v>
      </c>
      <c r="M302" s="6" t="s">
        <v>12872</v>
      </c>
      <c r="N302" s="30" t="s">
        <v>814</v>
      </c>
      <c r="O302" s="30" t="s">
        <v>12873</v>
      </c>
      <c r="P302" s="30" t="s">
        <v>12874</v>
      </c>
      <c r="Q302" s="208" t="s">
        <v>8580</v>
      </c>
    </row>
    <row r="303" customFormat="false" ht="171" hidden="false" customHeight="true" outlineLevel="0" collapsed="false">
      <c r="A303" s="256" t="s">
        <v>9717</v>
      </c>
      <c r="B303" s="256" t="s">
        <v>7957</v>
      </c>
      <c r="C303" s="268" t="s">
        <v>12875</v>
      </c>
      <c r="D303" s="256" t="s">
        <v>12876</v>
      </c>
      <c r="E303" s="256" t="s">
        <v>12877</v>
      </c>
      <c r="F303" s="256" t="s">
        <v>12878</v>
      </c>
      <c r="G303" s="256" t="s">
        <v>12879</v>
      </c>
      <c r="H303" s="256" t="s">
        <v>12880</v>
      </c>
      <c r="I303" s="267" t="s">
        <v>12881</v>
      </c>
      <c r="J303" s="256" t="s">
        <v>8153</v>
      </c>
      <c r="K303" s="268" t="s">
        <v>12882</v>
      </c>
      <c r="L303" s="208" t="s">
        <v>10927</v>
      </c>
      <c r="M303" s="6" t="s">
        <v>12883</v>
      </c>
      <c r="N303" s="30" t="s">
        <v>814</v>
      </c>
      <c r="O303" s="30" t="s">
        <v>12884</v>
      </c>
      <c r="P303" s="30" t="s">
        <v>12145</v>
      </c>
      <c r="Q303" s="208" t="s">
        <v>12885</v>
      </c>
    </row>
    <row r="304" customFormat="false" ht="83.25" hidden="false" customHeight="true" outlineLevel="0" collapsed="false">
      <c r="A304" s="256" t="s">
        <v>8947</v>
      </c>
      <c r="B304" s="256" t="s">
        <v>7957</v>
      </c>
      <c r="C304" s="268" t="s">
        <v>12886</v>
      </c>
      <c r="D304" s="256" t="s">
        <v>12887</v>
      </c>
      <c r="E304" s="256" t="s">
        <v>12888</v>
      </c>
      <c r="F304" s="256" t="s">
        <v>12889</v>
      </c>
      <c r="G304" s="267" t="s">
        <v>12890</v>
      </c>
      <c r="H304" s="267" t="s">
        <v>12891</v>
      </c>
      <c r="I304" s="267" t="s">
        <v>12892</v>
      </c>
      <c r="J304" s="256" t="s">
        <v>8221</v>
      </c>
      <c r="K304" s="268" t="s">
        <v>12893</v>
      </c>
      <c r="L304" s="208" t="s">
        <v>10927</v>
      </c>
      <c r="M304" s="6" t="s">
        <v>12894</v>
      </c>
      <c r="N304" s="30" t="s">
        <v>814</v>
      </c>
      <c r="O304" s="30" t="s">
        <v>12895</v>
      </c>
      <c r="P304" s="30" t="s">
        <v>11116</v>
      </c>
      <c r="Q304" s="208" t="s">
        <v>12896</v>
      </c>
    </row>
    <row r="305" customFormat="false" ht="72" hidden="false" customHeight="true" outlineLevel="0" collapsed="false">
      <c r="A305" s="256" t="s">
        <v>9080</v>
      </c>
      <c r="B305" s="256" t="s">
        <v>8284</v>
      </c>
      <c r="C305" s="264" t="s">
        <v>12897</v>
      </c>
      <c r="D305" s="256" t="s">
        <v>12898</v>
      </c>
      <c r="E305" s="256" t="s">
        <v>12899</v>
      </c>
      <c r="F305" s="256" t="s">
        <v>12900</v>
      </c>
      <c r="G305" s="256" t="s">
        <v>12901</v>
      </c>
      <c r="H305" s="256" t="s">
        <v>12902</v>
      </c>
      <c r="I305" s="267" t="s">
        <v>12903</v>
      </c>
      <c r="J305" s="256" t="s">
        <v>12904</v>
      </c>
      <c r="K305" s="264" t="s">
        <v>12905</v>
      </c>
      <c r="L305" s="208" t="s">
        <v>10927</v>
      </c>
      <c r="M305" s="6" t="s">
        <v>12906</v>
      </c>
      <c r="N305" s="30" t="s">
        <v>814</v>
      </c>
      <c r="O305" s="208" t="s">
        <v>12907</v>
      </c>
      <c r="P305" s="30" t="s">
        <v>11116</v>
      </c>
      <c r="Q305" s="208" t="s">
        <v>12908</v>
      </c>
      <c r="R305" s="246" t="s">
        <v>12909</v>
      </c>
    </row>
    <row r="306" customFormat="false" ht="72" hidden="false" customHeight="true" outlineLevel="0" collapsed="false">
      <c r="A306" s="256" t="s">
        <v>10027</v>
      </c>
      <c r="B306" s="256" t="s">
        <v>8284</v>
      </c>
      <c r="C306" s="264" t="s">
        <v>12910</v>
      </c>
      <c r="D306" s="256" t="s">
        <v>12911</v>
      </c>
      <c r="E306" s="256" t="s">
        <v>12912</v>
      </c>
      <c r="F306" s="256" t="s">
        <v>12913</v>
      </c>
      <c r="G306" s="256" t="s">
        <v>12914</v>
      </c>
      <c r="H306" s="256" t="s">
        <v>12915</v>
      </c>
      <c r="I306" s="267" t="s">
        <v>12916</v>
      </c>
      <c r="J306" s="256" t="s">
        <v>12904</v>
      </c>
      <c r="K306" s="264" t="s">
        <v>12917</v>
      </c>
      <c r="L306" s="208" t="s">
        <v>10927</v>
      </c>
      <c r="M306" s="6" t="s">
        <v>12918</v>
      </c>
      <c r="N306" s="30" t="s">
        <v>814</v>
      </c>
      <c r="O306" s="208" t="s">
        <v>12919</v>
      </c>
      <c r="P306" s="30" t="s">
        <v>11116</v>
      </c>
      <c r="Q306" s="208" t="s">
        <v>12920</v>
      </c>
      <c r="R306" s="246" t="s">
        <v>12921</v>
      </c>
    </row>
    <row r="307" customFormat="false" ht="72" hidden="false" customHeight="true" outlineLevel="0" collapsed="false">
      <c r="A307" s="256" t="s">
        <v>8962</v>
      </c>
      <c r="B307" s="256" t="s">
        <v>8284</v>
      </c>
      <c r="C307" s="264" t="s">
        <v>12922</v>
      </c>
      <c r="D307" s="256" t="s">
        <v>12923</v>
      </c>
      <c r="E307" s="256" t="s">
        <v>245</v>
      </c>
      <c r="F307" s="256" t="s">
        <v>12924</v>
      </c>
      <c r="G307" s="256" t="s">
        <v>12925</v>
      </c>
      <c r="H307" s="256" t="s">
        <v>12926</v>
      </c>
      <c r="I307" s="267" t="s">
        <v>12927</v>
      </c>
      <c r="J307" s="256" t="s">
        <v>12904</v>
      </c>
      <c r="K307" s="264" t="s">
        <v>12928</v>
      </c>
      <c r="L307" s="208" t="s">
        <v>10927</v>
      </c>
      <c r="M307" s="6" t="s">
        <v>12929</v>
      </c>
      <c r="N307" s="30" t="s">
        <v>814</v>
      </c>
      <c r="O307" s="208" t="s">
        <v>12930</v>
      </c>
      <c r="P307" s="30" t="s">
        <v>11116</v>
      </c>
      <c r="Q307" s="208" t="s">
        <v>8580</v>
      </c>
      <c r="R307" s="246" t="s">
        <v>12931</v>
      </c>
    </row>
    <row r="308" customFormat="false" ht="86.25" hidden="false" customHeight="true" outlineLevel="0" collapsed="false">
      <c r="A308" s="256" t="s">
        <v>12932</v>
      </c>
      <c r="B308" s="256" t="s">
        <v>8284</v>
      </c>
      <c r="C308" s="264" t="s">
        <v>12933</v>
      </c>
      <c r="D308" s="256" t="s">
        <v>12934</v>
      </c>
      <c r="E308" s="256" t="s">
        <v>814</v>
      </c>
      <c r="F308" s="256" t="s">
        <v>12935</v>
      </c>
      <c r="G308" s="256" t="s">
        <v>12936</v>
      </c>
      <c r="H308" s="267" t="s">
        <v>12937</v>
      </c>
      <c r="I308" s="267" t="s">
        <v>12938</v>
      </c>
      <c r="J308" s="256" t="s">
        <v>12904</v>
      </c>
      <c r="K308" s="264" t="s">
        <v>12939</v>
      </c>
      <c r="L308" s="208" t="s">
        <v>10961</v>
      </c>
      <c r="M308" s="6" t="s">
        <v>9662</v>
      </c>
      <c r="N308" s="30" t="s">
        <v>814</v>
      </c>
      <c r="O308" s="208" t="s">
        <v>12940</v>
      </c>
      <c r="P308" s="30" t="s">
        <v>814</v>
      </c>
      <c r="Q308" s="30" t="s">
        <v>814</v>
      </c>
      <c r="R308" s="246" t="s">
        <v>12941</v>
      </c>
    </row>
    <row r="309" customFormat="false" ht="72" hidden="false" customHeight="true" outlineLevel="0" collapsed="false">
      <c r="A309" s="256" t="s">
        <v>12942</v>
      </c>
      <c r="B309" s="256" t="s">
        <v>8284</v>
      </c>
      <c r="C309" s="264" t="s">
        <v>12943</v>
      </c>
      <c r="D309" s="256" t="s">
        <v>12944</v>
      </c>
      <c r="E309" s="256" t="s">
        <v>12945</v>
      </c>
      <c r="F309" s="256" t="s">
        <v>12946</v>
      </c>
      <c r="G309" s="256" t="s">
        <v>12947</v>
      </c>
      <c r="H309" s="256" t="s">
        <v>12948</v>
      </c>
      <c r="I309" s="267" t="s">
        <v>12949</v>
      </c>
      <c r="J309" s="256" t="s">
        <v>12904</v>
      </c>
      <c r="K309" s="264" t="s">
        <v>12950</v>
      </c>
      <c r="L309" s="208" t="s">
        <v>10961</v>
      </c>
      <c r="M309" s="6" t="s">
        <v>814</v>
      </c>
      <c r="N309" s="30" t="s">
        <v>814</v>
      </c>
      <c r="O309" s="208" t="s">
        <v>12951</v>
      </c>
      <c r="P309" s="30" t="s">
        <v>814</v>
      </c>
      <c r="Q309" s="30" t="s">
        <v>814</v>
      </c>
      <c r="R309" s="246" t="s">
        <v>12952</v>
      </c>
    </row>
    <row r="310" customFormat="false" ht="72" hidden="false" customHeight="true" outlineLevel="0" collapsed="false">
      <c r="A310" s="256" t="s">
        <v>12953</v>
      </c>
      <c r="B310" s="256" t="s">
        <v>8284</v>
      </c>
      <c r="C310" s="264" t="s">
        <v>12954</v>
      </c>
      <c r="D310" s="256" t="s">
        <v>12955</v>
      </c>
      <c r="E310" s="256" t="s">
        <v>12956</v>
      </c>
      <c r="F310" s="256" t="s">
        <v>12957</v>
      </c>
      <c r="G310" s="256" t="s">
        <v>12958</v>
      </c>
      <c r="H310" s="256" t="s">
        <v>12959</v>
      </c>
      <c r="I310" s="267" t="s">
        <v>12960</v>
      </c>
      <c r="J310" s="256" t="s">
        <v>12904</v>
      </c>
      <c r="K310" s="264" t="s">
        <v>12961</v>
      </c>
      <c r="L310" s="208" t="s">
        <v>10927</v>
      </c>
      <c r="M310" s="6" t="s">
        <v>814</v>
      </c>
      <c r="N310" s="30" t="s">
        <v>814</v>
      </c>
      <c r="O310" s="208" t="s">
        <v>12951</v>
      </c>
      <c r="P310" s="30" t="s">
        <v>11062</v>
      </c>
      <c r="Q310" s="208" t="s">
        <v>12493</v>
      </c>
      <c r="R310" s="246" t="s">
        <v>12962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2026-10-17T07:43:03Z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